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 activeTab="2"/>
  </bookViews>
  <sheets>
    <sheet name="opatrenia" sheetId="21" r:id="rId1"/>
    <sheet name="úpravy" sheetId="28" r:id="rId2"/>
    <sheet name="zmena9" sheetId="41" r:id="rId3"/>
    <sheet name="zmena8" sheetId="40" r:id="rId4"/>
    <sheet name="zmena7" sheetId="39" r:id="rId5"/>
    <sheet name="zmena6" sheetId="38" r:id="rId6"/>
    <sheet name="zmena5" sheetId="37" r:id="rId7"/>
    <sheet name="zmena4" sheetId="35" r:id="rId8"/>
    <sheet name="zmena3" sheetId="34" r:id="rId9"/>
    <sheet name="zmena2" sheetId="29" r:id="rId10"/>
    <sheet name="zmena1 " sheetId="27" r:id="rId11"/>
    <sheet name="Investície19" sheetId="17" r:id="rId12"/>
    <sheet name="R19-21" sheetId="18" r:id="rId13"/>
    <sheet name="Investície20" sheetId="15" r:id="rId14"/>
  </sheets>
  <definedNames>
    <definedName name="_xlnm.Print_Area" localSheetId="2">zmena9!$A$1:$Y$241</definedName>
  </definedNames>
  <calcPr calcId="152511"/>
</workbook>
</file>

<file path=xl/calcChain.xml><?xml version="1.0" encoding="utf-8"?>
<calcChain xmlns="http://schemas.openxmlformats.org/spreadsheetml/2006/main">
  <c r="Y157" i="41" l="1"/>
  <c r="X157" i="41"/>
  <c r="Y17" i="41"/>
  <c r="Y31" i="41"/>
  <c r="Y32" i="41"/>
  <c r="M180" i="41" l="1"/>
  <c r="M41" i="41"/>
  <c r="W31" i="41"/>
  <c r="X31" i="41"/>
  <c r="W32" i="41"/>
  <c r="X32" i="41"/>
  <c r="V17" i="41"/>
  <c r="W17" i="41"/>
  <c r="X17" i="41"/>
  <c r="C9" i="28"/>
  <c r="L16" i="41"/>
  <c r="C52" i="28"/>
  <c r="P137" i="41"/>
  <c r="O137" i="41"/>
  <c r="L137" i="41"/>
  <c r="L136" i="41"/>
  <c r="L71" i="41"/>
  <c r="M69" i="41"/>
  <c r="L69" i="41"/>
  <c r="L94" i="41"/>
  <c r="L125" i="41"/>
  <c r="L124" i="41"/>
  <c r="L123" i="41"/>
  <c r="L122" i="41"/>
  <c r="L58" i="41"/>
  <c r="P32" i="41"/>
  <c r="Q32" i="41"/>
  <c r="R32" i="41"/>
  <c r="S32" i="41"/>
  <c r="T32" i="41"/>
  <c r="U32" i="41"/>
  <c r="V32" i="41"/>
  <c r="P31" i="41"/>
  <c r="Q31" i="41"/>
  <c r="R31" i="41"/>
  <c r="S31" i="41"/>
  <c r="T31" i="41"/>
  <c r="U31" i="41"/>
  <c r="V31" i="41"/>
  <c r="L31" i="41"/>
  <c r="L28" i="41"/>
  <c r="U17" i="41"/>
  <c r="L14" i="41"/>
  <c r="D38" i="28"/>
  <c r="D11" i="28"/>
  <c r="O71" i="41" l="1"/>
  <c r="M70" i="41"/>
  <c r="C34" i="28" l="1"/>
  <c r="L73" i="41"/>
  <c r="K73" i="41" l="1"/>
  <c r="K82" i="40"/>
  <c r="N14" i="17"/>
  <c r="N13" i="17"/>
  <c r="K73" i="40" l="1"/>
  <c r="L67" i="41" l="1"/>
  <c r="L91" i="41"/>
  <c r="L83" i="41"/>
  <c r="L63" i="41" l="1"/>
  <c r="L82" i="41" l="1"/>
  <c r="K82" i="41"/>
  <c r="L85" i="41"/>
  <c r="K85" i="41"/>
  <c r="K85" i="40"/>
  <c r="E14" i="17"/>
  <c r="F13" i="17"/>
  <c r="E13" i="17"/>
  <c r="G34" i="28"/>
  <c r="G33" i="28"/>
  <c r="K67" i="40"/>
  <c r="K67" i="41"/>
  <c r="L10" i="41"/>
  <c r="K10" i="41"/>
  <c r="K169" i="41"/>
  <c r="K172" i="41"/>
  <c r="K152" i="41"/>
  <c r="L169" i="41"/>
  <c r="L152" i="41"/>
  <c r="C14" i="17"/>
  <c r="K169" i="40"/>
  <c r="K152" i="40"/>
  <c r="K10" i="40"/>
  <c r="H15" i="28"/>
  <c r="W188" i="41" l="1"/>
  <c r="W190" i="41"/>
  <c r="W192" i="41"/>
  <c r="W194" i="41"/>
  <c r="W157" i="41"/>
  <c r="W161" i="41"/>
  <c r="W73" i="41"/>
  <c r="C48" i="28"/>
  <c r="C42" i="28"/>
  <c r="C31" i="28"/>
  <c r="C20" i="28"/>
  <c r="C16" i="28"/>
  <c r="C7" i="28"/>
  <c r="C50" i="28" l="1"/>
  <c r="C53" i="28" s="1"/>
  <c r="C24" i="28"/>
  <c r="C27" i="28" s="1"/>
  <c r="N189" i="41"/>
  <c r="N190" i="41"/>
  <c r="N191" i="41"/>
  <c r="N192" i="41"/>
  <c r="N193" i="41"/>
  <c r="N195" i="41"/>
  <c r="N196" i="41"/>
  <c r="N197" i="41"/>
  <c r="N188" i="41"/>
  <c r="N152" i="41"/>
  <c r="N154" i="41"/>
  <c r="N155" i="41"/>
  <c r="N156" i="41"/>
  <c r="N157" i="41"/>
  <c r="N159" i="41"/>
  <c r="N160" i="41"/>
  <c r="N161" i="41"/>
  <c r="N162" i="41"/>
  <c r="N164" i="41"/>
  <c r="N165" i="41"/>
  <c r="N166" i="41"/>
  <c r="N167" i="41"/>
  <c r="N168" i="41"/>
  <c r="N169" i="41"/>
  <c r="N170" i="41"/>
  <c r="N171" i="41"/>
  <c r="N172" i="41"/>
  <c r="N173" i="41"/>
  <c r="N174" i="41"/>
  <c r="N175" i="41"/>
  <c r="N176" i="41"/>
  <c r="N177" i="41"/>
  <c r="N178" i="41"/>
  <c r="N179" i="41"/>
  <c r="N180" i="41"/>
  <c r="N181" i="41"/>
  <c r="N182" i="41"/>
  <c r="N82" i="41"/>
  <c r="N83" i="41"/>
  <c r="N84" i="41"/>
  <c r="N85" i="41"/>
  <c r="N86" i="41"/>
  <c r="N88" i="41"/>
  <c r="N90" i="41"/>
  <c r="N91" i="41"/>
  <c r="N93" i="41"/>
  <c r="N94" i="41"/>
  <c r="N95" i="41"/>
  <c r="N96" i="41"/>
  <c r="N98" i="41"/>
  <c r="N99" i="41"/>
  <c r="N100" i="41"/>
  <c r="N101" i="41"/>
  <c r="N103" i="41"/>
  <c r="N104" i="41"/>
  <c r="N105" i="41"/>
  <c r="N107" i="41"/>
  <c r="N108" i="41"/>
  <c r="N109" i="41"/>
  <c r="N110" i="41"/>
  <c r="N111" i="41"/>
  <c r="N112" i="41"/>
  <c r="N113" i="41"/>
  <c r="N114" i="41"/>
  <c r="N115" i="41"/>
  <c r="N116" i="41"/>
  <c r="N118" i="41"/>
  <c r="N119" i="41"/>
  <c r="N120" i="41"/>
  <c r="N121" i="41"/>
  <c r="N122" i="41"/>
  <c r="N123" i="41"/>
  <c r="N124" i="41"/>
  <c r="N125" i="41"/>
  <c r="N126" i="41"/>
  <c r="N128" i="41"/>
  <c r="N129" i="41"/>
  <c r="N130" i="41"/>
  <c r="N131" i="41"/>
  <c r="N132" i="41"/>
  <c r="N136" i="41"/>
  <c r="N137" i="41"/>
  <c r="N138" i="41"/>
  <c r="N141" i="41"/>
  <c r="N5" i="41"/>
  <c r="N6" i="41"/>
  <c r="N7" i="41"/>
  <c r="N8" i="41"/>
  <c r="N9" i="41"/>
  <c r="N10" i="41"/>
  <c r="N11" i="41"/>
  <c r="N13" i="41"/>
  <c r="N14" i="41"/>
  <c r="N15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N28" i="41"/>
  <c r="N29" i="41"/>
  <c r="N30" i="41"/>
  <c r="N31" i="41"/>
  <c r="N32" i="41"/>
  <c r="N33" i="41"/>
  <c r="N34" i="41"/>
  <c r="N36" i="41"/>
  <c r="N37" i="41"/>
  <c r="N38" i="41"/>
  <c r="N39" i="41"/>
  <c r="N40" i="41"/>
  <c r="N42" i="41"/>
  <c r="N44" i="41"/>
  <c r="N45" i="41"/>
  <c r="N46" i="41"/>
  <c r="N47" i="41"/>
  <c r="N48" i="41"/>
  <c r="N49" i="41"/>
  <c r="N50" i="41"/>
  <c r="N51" i="41"/>
  <c r="N52" i="41"/>
  <c r="N53" i="41"/>
  <c r="N54" i="41"/>
  <c r="N55" i="41"/>
  <c r="N56" i="41"/>
  <c r="N57" i="41"/>
  <c r="N58" i="41"/>
  <c r="N59" i="41"/>
  <c r="N60" i="41"/>
  <c r="N61" i="41"/>
  <c r="N62" i="41"/>
  <c r="N63" i="41"/>
  <c r="N64" i="41"/>
  <c r="N65" i="41"/>
  <c r="N66" i="41"/>
  <c r="N67" i="41"/>
  <c r="N69" i="41"/>
  <c r="N70" i="41"/>
  <c r="N71" i="41"/>
  <c r="N73" i="41"/>
  <c r="H211" i="41"/>
  <c r="C210" i="41"/>
  <c r="C206" i="41"/>
  <c r="C208" i="41" s="1"/>
  <c r="T194" i="41"/>
  <c r="P194" i="41"/>
  <c r="M194" i="41"/>
  <c r="N194" i="41" s="1"/>
  <c r="L194" i="41"/>
  <c r="L210" i="41" s="1"/>
  <c r="K194" i="41"/>
  <c r="V194" i="41" s="1"/>
  <c r="J194" i="41"/>
  <c r="J210" i="41" s="1"/>
  <c r="I194" i="41"/>
  <c r="I210" i="41" s="1"/>
  <c r="H194" i="41"/>
  <c r="H210" i="41" s="1"/>
  <c r="G194" i="41"/>
  <c r="R194" i="41" s="1"/>
  <c r="F194" i="41"/>
  <c r="F210" i="41" s="1"/>
  <c r="E194" i="41"/>
  <c r="E210" i="41" s="1"/>
  <c r="D194" i="41"/>
  <c r="D210" i="41" s="1"/>
  <c r="C194" i="41"/>
  <c r="O194" i="41" s="1"/>
  <c r="U192" i="41"/>
  <c r="R192" i="41"/>
  <c r="Q192" i="41"/>
  <c r="P192" i="41"/>
  <c r="L191" i="41"/>
  <c r="L188" i="41" s="1"/>
  <c r="L209" i="41" s="1"/>
  <c r="L211" i="41" s="1"/>
  <c r="K191" i="41"/>
  <c r="J191" i="41"/>
  <c r="I191" i="41"/>
  <c r="V192" i="41" s="1"/>
  <c r="H191" i="41"/>
  <c r="H188" i="41" s="1"/>
  <c r="H209" i="41" s="1"/>
  <c r="G191" i="41"/>
  <c r="T192" i="41" s="1"/>
  <c r="F191" i="41"/>
  <c r="S192" i="41" s="1"/>
  <c r="V190" i="41"/>
  <c r="U190" i="41"/>
  <c r="T190" i="41"/>
  <c r="S190" i="41"/>
  <c r="R190" i="41"/>
  <c r="Q190" i="41"/>
  <c r="P190" i="41"/>
  <c r="M190" i="41"/>
  <c r="R188" i="41"/>
  <c r="M188" i="41"/>
  <c r="M209" i="41" s="1"/>
  <c r="K188" i="41"/>
  <c r="J188" i="41"/>
  <c r="U188" i="41" s="1"/>
  <c r="I188" i="41"/>
  <c r="I209" i="41" s="1"/>
  <c r="G188" i="41"/>
  <c r="G209" i="41" s="1"/>
  <c r="F188" i="41"/>
  <c r="E188" i="41"/>
  <c r="E209" i="41" s="1"/>
  <c r="D188" i="41"/>
  <c r="D209" i="41" s="1"/>
  <c r="D211" i="41" s="1"/>
  <c r="C188" i="41"/>
  <c r="C209" i="41" s="1"/>
  <c r="L182" i="41"/>
  <c r="K182" i="41"/>
  <c r="J182" i="41"/>
  <c r="I182" i="41"/>
  <c r="H182" i="41"/>
  <c r="G182" i="41"/>
  <c r="F182" i="41"/>
  <c r="E182" i="41"/>
  <c r="D182" i="41"/>
  <c r="L181" i="41"/>
  <c r="K181" i="41"/>
  <c r="J181" i="41"/>
  <c r="I181" i="41"/>
  <c r="H181" i="41"/>
  <c r="G181" i="41"/>
  <c r="F181" i="41"/>
  <c r="E181" i="41"/>
  <c r="D181" i="41"/>
  <c r="L179" i="41"/>
  <c r="K179" i="41"/>
  <c r="J179" i="41"/>
  <c r="I179" i="41"/>
  <c r="H179" i="41"/>
  <c r="G179" i="41"/>
  <c r="F179" i="41"/>
  <c r="E179" i="41"/>
  <c r="D179" i="41"/>
  <c r="L173" i="41"/>
  <c r="K173" i="41"/>
  <c r="J173" i="41"/>
  <c r="I173" i="41"/>
  <c r="L172" i="41"/>
  <c r="J172" i="41"/>
  <c r="I172" i="41"/>
  <c r="H172" i="41"/>
  <c r="G172" i="41"/>
  <c r="F172" i="41"/>
  <c r="E172" i="41"/>
  <c r="D172" i="41"/>
  <c r="J169" i="41"/>
  <c r="I169" i="41"/>
  <c r="H169" i="41"/>
  <c r="G169" i="41"/>
  <c r="F169" i="41"/>
  <c r="E169" i="41"/>
  <c r="D169" i="41"/>
  <c r="L168" i="41"/>
  <c r="K168" i="41"/>
  <c r="J168" i="41"/>
  <c r="I168" i="41"/>
  <c r="L166" i="41"/>
  <c r="K166" i="41"/>
  <c r="J166" i="41"/>
  <c r="I166" i="41"/>
  <c r="H166" i="41"/>
  <c r="G166" i="41"/>
  <c r="F166" i="41"/>
  <c r="L165" i="41"/>
  <c r="K165" i="41"/>
  <c r="J165" i="41"/>
  <c r="I165" i="41"/>
  <c r="H165" i="41"/>
  <c r="G165" i="41"/>
  <c r="F165" i="41"/>
  <c r="E165" i="41"/>
  <c r="D165" i="41"/>
  <c r="L163" i="41"/>
  <c r="K163" i="41"/>
  <c r="J163" i="41"/>
  <c r="I163" i="41"/>
  <c r="H163" i="41"/>
  <c r="G163" i="41"/>
  <c r="L162" i="41"/>
  <c r="K162" i="41"/>
  <c r="J162" i="41"/>
  <c r="I162" i="41"/>
  <c r="H162" i="41"/>
  <c r="G162" i="41"/>
  <c r="F162" i="41"/>
  <c r="E162" i="41"/>
  <c r="D162" i="41"/>
  <c r="O161" i="41"/>
  <c r="L161" i="41"/>
  <c r="K161" i="41"/>
  <c r="J161" i="41"/>
  <c r="I161" i="41"/>
  <c r="H161" i="41"/>
  <c r="G161" i="41"/>
  <c r="F161" i="41"/>
  <c r="E161" i="41"/>
  <c r="D161" i="41"/>
  <c r="L160" i="41"/>
  <c r="K160" i="41"/>
  <c r="J160" i="41"/>
  <c r="I160" i="41"/>
  <c r="H160" i="41"/>
  <c r="G160" i="41"/>
  <c r="F160" i="41"/>
  <c r="E160" i="41"/>
  <c r="L159" i="41"/>
  <c r="K159" i="41"/>
  <c r="J159" i="41"/>
  <c r="I159" i="41"/>
  <c r="H159" i="41"/>
  <c r="T161" i="41" s="1"/>
  <c r="G159" i="41"/>
  <c r="F159" i="41"/>
  <c r="E159" i="41"/>
  <c r="D159" i="41"/>
  <c r="M158" i="41"/>
  <c r="M207" i="41" s="1"/>
  <c r="H158" i="41"/>
  <c r="C158" i="41"/>
  <c r="C207" i="41" s="1"/>
  <c r="T157" i="41"/>
  <c r="P157" i="41"/>
  <c r="O157" i="41"/>
  <c r="L157" i="41"/>
  <c r="K157" i="41"/>
  <c r="J157" i="41"/>
  <c r="I157" i="41"/>
  <c r="H157" i="41"/>
  <c r="G157" i="41"/>
  <c r="F157" i="41"/>
  <c r="L156" i="41"/>
  <c r="K156" i="41"/>
  <c r="J156" i="41"/>
  <c r="I156" i="41"/>
  <c r="H156" i="41"/>
  <c r="G156" i="41"/>
  <c r="F156" i="41"/>
  <c r="E156" i="41"/>
  <c r="D156" i="41"/>
  <c r="L155" i="41"/>
  <c r="K155" i="41"/>
  <c r="J155" i="41"/>
  <c r="I155" i="41"/>
  <c r="I151" i="41" s="1"/>
  <c r="I206" i="41" s="1"/>
  <c r="H155" i="41"/>
  <c r="G155" i="41"/>
  <c r="F155" i="41"/>
  <c r="E155" i="41"/>
  <c r="E151" i="41" s="1"/>
  <c r="D155" i="41"/>
  <c r="L154" i="41"/>
  <c r="K154" i="41"/>
  <c r="J154" i="41"/>
  <c r="I154" i="41"/>
  <c r="H154" i="41"/>
  <c r="G154" i="41"/>
  <c r="F154" i="41"/>
  <c r="R157" i="41" s="1"/>
  <c r="E154" i="41"/>
  <c r="D154" i="41"/>
  <c r="L153" i="41"/>
  <c r="L151" i="41" s="1"/>
  <c r="K153" i="41"/>
  <c r="K151" i="41" s="1"/>
  <c r="J153" i="41"/>
  <c r="I153" i="41"/>
  <c r="H153" i="41"/>
  <c r="G153" i="41"/>
  <c r="S157" i="41" s="1"/>
  <c r="J152" i="41"/>
  <c r="I152" i="41"/>
  <c r="H152" i="41"/>
  <c r="G152" i="41"/>
  <c r="F152" i="41"/>
  <c r="T151" i="41"/>
  <c r="M151" i="41"/>
  <c r="H151" i="41"/>
  <c r="H206" i="41" s="1"/>
  <c r="D151" i="41"/>
  <c r="D206" i="41" s="1"/>
  <c r="C151" i="41"/>
  <c r="O151" i="41" s="1"/>
  <c r="D143" i="41"/>
  <c r="O143" i="41" s="1"/>
  <c r="M143" i="41"/>
  <c r="G142" i="41"/>
  <c r="F142" i="41"/>
  <c r="F143" i="41" s="1"/>
  <c r="E142" i="41"/>
  <c r="D142" i="41"/>
  <c r="C142" i="41"/>
  <c r="L141" i="41"/>
  <c r="K141" i="41"/>
  <c r="J141" i="41"/>
  <c r="I141" i="41"/>
  <c r="I143" i="41" s="1"/>
  <c r="T143" i="41" s="1"/>
  <c r="H141" i="41"/>
  <c r="G141" i="41"/>
  <c r="G143" i="41" s="1"/>
  <c r="R143" i="41" s="1"/>
  <c r="F141" i="41"/>
  <c r="E141" i="41"/>
  <c r="E143" i="41" s="1"/>
  <c r="P143" i="41" s="1"/>
  <c r="D141" i="41"/>
  <c r="C141" i="41"/>
  <c r="C143" i="41" s="1"/>
  <c r="L139" i="41"/>
  <c r="K139" i="41"/>
  <c r="J139" i="41"/>
  <c r="I139" i="41"/>
  <c r="H139" i="41"/>
  <c r="G139" i="41"/>
  <c r="F139" i="41"/>
  <c r="E139" i="41"/>
  <c r="D139" i="41"/>
  <c r="C139" i="41"/>
  <c r="G135" i="41"/>
  <c r="F135" i="41"/>
  <c r="E135" i="41"/>
  <c r="D135" i="41"/>
  <c r="C135" i="41"/>
  <c r="M134" i="41"/>
  <c r="L132" i="41"/>
  <c r="K132" i="41"/>
  <c r="J132" i="41"/>
  <c r="I132" i="41"/>
  <c r="H132" i="41"/>
  <c r="G132" i="41"/>
  <c r="F132" i="41"/>
  <c r="E132" i="41"/>
  <c r="L130" i="41"/>
  <c r="K130" i="41"/>
  <c r="J130" i="41"/>
  <c r="I130" i="41"/>
  <c r="H130" i="41"/>
  <c r="G130" i="41"/>
  <c r="F130" i="41"/>
  <c r="E130" i="41"/>
  <c r="L128" i="41"/>
  <c r="K128" i="41"/>
  <c r="J128" i="41"/>
  <c r="I128" i="41"/>
  <c r="H128" i="41"/>
  <c r="G128" i="41"/>
  <c r="F128" i="41"/>
  <c r="E128" i="41"/>
  <c r="D128" i="41"/>
  <c r="M127" i="41"/>
  <c r="N127" i="41" s="1"/>
  <c r="L127" i="41"/>
  <c r="J127" i="41"/>
  <c r="H127" i="41"/>
  <c r="F127" i="41"/>
  <c r="D127" i="41"/>
  <c r="C127" i="41"/>
  <c r="K125" i="41"/>
  <c r="J125" i="41"/>
  <c r="J117" i="41" s="1"/>
  <c r="I125" i="41"/>
  <c r="H125" i="41"/>
  <c r="G125" i="41"/>
  <c r="F125" i="41"/>
  <c r="F117" i="41" s="1"/>
  <c r="E125" i="41"/>
  <c r="K124" i="41"/>
  <c r="J124" i="41"/>
  <c r="I124" i="41"/>
  <c r="H124" i="41"/>
  <c r="G124" i="41"/>
  <c r="F124" i="41"/>
  <c r="E124" i="41"/>
  <c r="K123" i="41"/>
  <c r="J123" i="41"/>
  <c r="I123" i="41"/>
  <c r="H123" i="41"/>
  <c r="G123" i="41"/>
  <c r="F123" i="41"/>
  <c r="E123" i="41"/>
  <c r="K122" i="41"/>
  <c r="J122" i="41"/>
  <c r="I122" i="41"/>
  <c r="H122" i="41"/>
  <c r="G122" i="41"/>
  <c r="F122" i="41"/>
  <c r="E122" i="41"/>
  <c r="L120" i="41"/>
  <c r="K120" i="41"/>
  <c r="J120" i="41"/>
  <c r="I120" i="41"/>
  <c r="L119" i="41"/>
  <c r="L117" i="41" s="1"/>
  <c r="K119" i="41"/>
  <c r="J119" i="41"/>
  <c r="I119" i="41"/>
  <c r="L118" i="41"/>
  <c r="K118" i="41"/>
  <c r="K117" i="41" s="1"/>
  <c r="J118" i="41"/>
  <c r="I118" i="41"/>
  <c r="I117" i="41" s="1"/>
  <c r="H118" i="41"/>
  <c r="G118" i="41"/>
  <c r="G117" i="41" s="1"/>
  <c r="F118" i="41"/>
  <c r="E118" i="41"/>
  <c r="E117" i="41" s="1"/>
  <c r="D118" i="41"/>
  <c r="M117" i="41"/>
  <c r="H117" i="41"/>
  <c r="D117" i="41"/>
  <c r="C117" i="41"/>
  <c r="L116" i="41"/>
  <c r="K116" i="41"/>
  <c r="J116" i="41"/>
  <c r="I116" i="41"/>
  <c r="H116" i="41"/>
  <c r="G116" i="41"/>
  <c r="F116" i="41"/>
  <c r="E116" i="41"/>
  <c r="D116" i="41"/>
  <c r="L115" i="41"/>
  <c r="K115" i="41"/>
  <c r="J115" i="41"/>
  <c r="I115" i="41"/>
  <c r="H115" i="41"/>
  <c r="G115" i="41"/>
  <c r="F115" i="41"/>
  <c r="E115" i="41"/>
  <c r="D115" i="41"/>
  <c r="L114" i="41"/>
  <c r="K114" i="41"/>
  <c r="J114" i="41"/>
  <c r="L113" i="41"/>
  <c r="K113" i="41"/>
  <c r="J113" i="41"/>
  <c r="I113" i="41"/>
  <c r="H113" i="41"/>
  <c r="G113" i="41"/>
  <c r="F113" i="41"/>
  <c r="E113" i="41"/>
  <c r="D113" i="41"/>
  <c r="L112" i="41"/>
  <c r="K112" i="41"/>
  <c r="K111" i="41" s="1"/>
  <c r="J112" i="41"/>
  <c r="I112" i="41"/>
  <c r="H112" i="41"/>
  <c r="G112" i="41"/>
  <c r="G111" i="41" s="1"/>
  <c r="F112" i="41"/>
  <c r="E112" i="41"/>
  <c r="D112" i="41"/>
  <c r="M111" i="41"/>
  <c r="L111" i="41"/>
  <c r="J111" i="41"/>
  <c r="H111" i="41"/>
  <c r="F111" i="41"/>
  <c r="D111" i="41"/>
  <c r="C111" i="41"/>
  <c r="L109" i="41"/>
  <c r="L106" i="41" s="1"/>
  <c r="K109" i="41"/>
  <c r="J109" i="41"/>
  <c r="J106" i="41" s="1"/>
  <c r="I109" i="41"/>
  <c r="H109" i="41"/>
  <c r="H106" i="41" s="1"/>
  <c r="G109" i="41"/>
  <c r="F109" i="41"/>
  <c r="F106" i="41" s="1"/>
  <c r="E109" i="41"/>
  <c r="D109" i="41"/>
  <c r="D106" i="41" s="1"/>
  <c r="M106" i="41"/>
  <c r="N106" i="41" s="1"/>
  <c r="K106" i="41"/>
  <c r="I106" i="41"/>
  <c r="G106" i="41"/>
  <c r="E106" i="41"/>
  <c r="C106" i="41"/>
  <c r="L105" i="41"/>
  <c r="K105" i="41"/>
  <c r="J105" i="41"/>
  <c r="I105" i="41"/>
  <c r="H105" i="41"/>
  <c r="G105" i="41"/>
  <c r="F105" i="41"/>
  <c r="E105" i="41"/>
  <c r="D105" i="41"/>
  <c r="L104" i="41"/>
  <c r="K104" i="41"/>
  <c r="J104" i="41"/>
  <c r="I104" i="41"/>
  <c r="H104" i="41"/>
  <c r="G104" i="41"/>
  <c r="F104" i="41"/>
  <c r="E104" i="41"/>
  <c r="D104" i="41"/>
  <c r="L103" i="41"/>
  <c r="L102" i="41" s="1"/>
  <c r="K103" i="41"/>
  <c r="J103" i="41"/>
  <c r="I103" i="41"/>
  <c r="H103" i="41"/>
  <c r="H102" i="41" s="1"/>
  <c r="G103" i="41"/>
  <c r="F103" i="41"/>
  <c r="E103" i="41"/>
  <c r="D103" i="41"/>
  <c r="D102" i="41" s="1"/>
  <c r="M102" i="41"/>
  <c r="N102" i="41" s="1"/>
  <c r="K102" i="41"/>
  <c r="I102" i="41"/>
  <c r="G102" i="41"/>
  <c r="E102" i="41"/>
  <c r="C102" i="41"/>
  <c r="L100" i="41"/>
  <c r="K100" i="41"/>
  <c r="J100" i="41"/>
  <c r="L99" i="41"/>
  <c r="K99" i="41"/>
  <c r="J99" i="41"/>
  <c r="I99" i="41"/>
  <c r="H99" i="41"/>
  <c r="G99" i="41"/>
  <c r="F99" i="41"/>
  <c r="E99" i="41"/>
  <c r="D99" i="41"/>
  <c r="L98" i="41"/>
  <c r="K98" i="41"/>
  <c r="K97" i="41" s="1"/>
  <c r="J98" i="41"/>
  <c r="I98" i="41"/>
  <c r="H98" i="41"/>
  <c r="G98" i="41"/>
  <c r="G97" i="41" s="1"/>
  <c r="F98" i="41"/>
  <c r="E98" i="41"/>
  <c r="D98" i="41"/>
  <c r="M97" i="41"/>
  <c r="N97" i="41" s="1"/>
  <c r="L97" i="41"/>
  <c r="J97" i="41"/>
  <c r="H97" i="41"/>
  <c r="F97" i="41"/>
  <c r="D97" i="41"/>
  <c r="C97" i="41"/>
  <c r="L96" i="41"/>
  <c r="K96" i="41"/>
  <c r="J96" i="41"/>
  <c r="I96" i="41"/>
  <c r="H96" i="41"/>
  <c r="G96" i="41"/>
  <c r="F96" i="41"/>
  <c r="E96" i="41"/>
  <c r="D96" i="41"/>
  <c r="L95" i="41"/>
  <c r="K95" i="41"/>
  <c r="J95" i="41"/>
  <c r="I95" i="41"/>
  <c r="H95" i="41"/>
  <c r="G95" i="41"/>
  <c r="F95" i="41"/>
  <c r="K94" i="41"/>
  <c r="J94" i="41"/>
  <c r="I94" i="41"/>
  <c r="H94" i="41"/>
  <c r="G94" i="41"/>
  <c r="G92" i="41" s="1"/>
  <c r="F94" i="41"/>
  <c r="E94" i="41"/>
  <c r="E92" i="41" s="1"/>
  <c r="D94" i="41"/>
  <c r="L93" i="41"/>
  <c r="K93" i="41"/>
  <c r="K92" i="41" s="1"/>
  <c r="J93" i="41"/>
  <c r="I93" i="41"/>
  <c r="I92" i="41" s="1"/>
  <c r="M92" i="41"/>
  <c r="L92" i="41"/>
  <c r="N92" i="41" s="1"/>
  <c r="J92" i="41"/>
  <c r="H92" i="41"/>
  <c r="F92" i="41"/>
  <c r="D92" i="41"/>
  <c r="C92" i="41"/>
  <c r="L89" i="41"/>
  <c r="N89" i="41" s="1"/>
  <c r="K91" i="41"/>
  <c r="J91" i="41"/>
  <c r="J89" i="41" s="1"/>
  <c r="L90" i="41"/>
  <c r="K90" i="41"/>
  <c r="J90" i="41"/>
  <c r="I90" i="41"/>
  <c r="H90" i="41"/>
  <c r="G90" i="41"/>
  <c r="F90" i="41"/>
  <c r="E90" i="41"/>
  <c r="M89" i="41"/>
  <c r="K89" i="41"/>
  <c r="I89" i="41"/>
  <c r="H89" i="41"/>
  <c r="G89" i="41"/>
  <c r="F89" i="41"/>
  <c r="E89" i="41"/>
  <c r="D89" i="41"/>
  <c r="C89" i="41"/>
  <c r="L88" i="41"/>
  <c r="K88" i="41"/>
  <c r="K87" i="41" s="1"/>
  <c r="J88" i="41"/>
  <c r="I88" i="41"/>
  <c r="I87" i="41" s="1"/>
  <c r="H88" i="41"/>
  <c r="G88" i="41"/>
  <c r="G87" i="41" s="1"/>
  <c r="F88" i="41"/>
  <c r="E88" i="41"/>
  <c r="E87" i="41" s="1"/>
  <c r="D88" i="41"/>
  <c r="M87" i="41"/>
  <c r="N87" i="41" s="1"/>
  <c r="L87" i="41"/>
  <c r="J87" i="41"/>
  <c r="H87" i="41"/>
  <c r="F87" i="41"/>
  <c r="D87" i="41"/>
  <c r="C87" i="41"/>
  <c r="L86" i="41"/>
  <c r="K86" i="41"/>
  <c r="J86" i="41"/>
  <c r="I86" i="41"/>
  <c r="H86" i="41"/>
  <c r="G86" i="41"/>
  <c r="F86" i="41"/>
  <c r="E86" i="41"/>
  <c r="D86" i="41"/>
  <c r="J85" i="41"/>
  <c r="I85" i="41"/>
  <c r="H85" i="41"/>
  <c r="G85" i="41"/>
  <c r="F85" i="41"/>
  <c r="E85" i="41"/>
  <c r="D85" i="41"/>
  <c r="L84" i="41"/>
  <c r="K84" i="41"/>
  <c r="J84" i="41"/>
  <c r="I84" i="41"/>
  <c r="H84" i="41"/>
  <c r="G84" i="41"/>
  <c r="F84" i="41"/>
  <c r="E84" i="41"/>
  <c r="K83" i="41"/>
  <c r="J83" i="41"/>
  <c r="I83" i="41"/>
  <c r="H83" i="41"/>
  <c r="G83" i="41"/>
  <c r="F83" i="41"/>
  <c r="E83" i="41"/>
  <c r="D83" i="41"/>
  <c r="J82" i="41"/>
  <c r="I82" i="41"/>
  <c r="H82" i="41"/>
  <c r="G82" i="41"/>
  <c r="F82" i="41"/>
  <c r="E82" i="41"/>
  <c r="D82" i="41"/>
  <c r="M81" i="41"/>
  <c r="K81" i="41"/>
  <c r="I81" i="41"/>
  <c r="G81" i="41"/>
  <c r="E81" i="41"/>
  <c r="C81" i="41"/>
  <c r="C133" i="41" s="1"/>
  <c r="G74" i="41"/>
  <c r="D74" i="41"/>
  <c r="O74" i="41" s="1"/>
  <c r="C74" i="41"/>
  <c r="T73" i="41"/>
  <c r="S73" i="41"/>
  <c r="R73" i="41"/>
  <c r="Q73" i="41"/>
  <c r="P73" i="41"/>
  <c r="O73" i="41"/>
  <c r="L142" i="41"/>
  <c r="L143" i="41" s="1"/>
  <c r="N143" i="41" s="1"/>
  <c r="K142" i="41"/>
  <c r="J73" i="41"/>
  <c r="J142" i="41" s="1"/>
  <c r="J143" i="41" s="1"/>
  <c r="I73" i="41"/>
  <c r="I142" i="41" s="1"/>
  <c r="H73" i="41"/>
  <c r="H142" i="41" s="1"/>
  <c r="H143" i="41" s="1"/>
  <c r="S143" i="41" s="1"/>
  <c r="J72" i="41"/>
  <c r="U72" i="41" s="1"/>
  <c r="I72" i="41"/>
  <c r="G72" i="41"/>
  <c r="F72" i="41"/>
  <c r="Q72" i="41" s="1"/>
  <c r="E72" i="41"/>
  <c r="P72" i="41" s="1"/>
  <c r="D72" i="41"/>
  <c r="O72" i="41" s="1"/>
  <c r="C72" i="41"/>
  <c r="M136" i="41"/>
  <c r="M139" i="41"/>
  <c r="N139" i="41" s="1"/>
  <c r="O69" i="41"/>
  <c r="M135" i="41"/>
  <c r="L135" i="41"/>
  <c r="K69" i="41"/>
  <c r="K135" i="41" s="1"/>
  <c r="J69" i="41"/>
  <c r="J135" i="41" s="1"/>
  <c r="I69" i="41"/>
  <c r="I135" i="41" s="1"/>
  <c r="H69" i="41"/>
  <c r="H135" i="41" s="1"/>
  <c r="L134" i="41"/>
  <c r="K134" i="41"/>
  <c r="J67" i="41"/>
  <c r="J134" i="41" s="1"/>
  <c r="I67" i="41"/>
  <c r="I134" i="41" s="1"/>
  <c r="I140" i="41" s="1"/>
  <c r="H67" i="41"/>
  <c r="H134" i="41" s="1"/>
  <c r="G67" i="41"/>
  <c r="G134" i="41" s="1"/>
  <c r="G140" i="41" s="1"/>
  <c r="F67" i="41"/>
  <c r="F134" i="41" s="1"/>
  <c r="F140" i="41" s="1"/>
  <c r="E67" i="41"/>
  <c r="E134" i="41" s="1"/>
  <c r="E140" i="41" s="1"/>
  <c r="D67" i="41"/>
  <c r="D134" i="41" s="1"/>
  <c r="D140" i="41" s="1"/>
  <c r="C67" i="41"/>
  <c r="C134" i="41" s="1"/>
  <c r="C140" i="41" s="1"/>
  <c r="C144" i="41" s="1"/>
  <c r="L66" i="41"/>
  <c r="K66" i="41"/>
  <c r="J66" i="41"/>
  <c r="I66" i="41"/>
  <c r="H66" i="41"/>
  <c r="G66" i="41"/>
  <c r="F66" i="41"/>
  <c r="E66" i="41"/>
  <c r="D66" i="41"/>
  <c r="L64" i="41"/>
  <c r="K64" i="41"/>
  <c r="J64" i="41"/>
  <c r="I64" i="41"/>
  <c r="H64" i="41"/>
  <c r="G64" i="41"/>
  <c r="F64" i="41"/>
  <c r="E64" i="41"/>
  <c r="D64" i="41"/>
  <c r="K63" i="41"/>
  <c r="J63" i="41"/>
  <c r="I63" i="41"/>
  <c r="H63" i="41"/>
  <c r="G63" i="41"/>
  <c r="F63" i="41"/>
  <c r="E63" i="41"/>
  <c r="D63" i="41"/>
  <c r="L62" i="41"/>
  <c r="K62" i="41"/>
  <c r="J62" i="41"/>
  <c r="I62" i="41"/>
  <c r="H62" i="41"/>
  <c r="G62" i="41"/>
  <c r="F62" i="41"/>
  <c r="E62" i="41"/>
  <c r="D62" i="41"/>
  <c r="L61" i="41"/>
  <c r="K61" i="41"/>
  <c r="J61" i="41"/>
  <c r="I61" i="41"/>
  <c r="H61" i="41"/>
  <c r="G61" i="41"/>
  <c r="F61" i="41"/>
  <c r="E61" i="41"/>
  <c r="E43" i="41" s="1"/>
  <c r="D61" i="41"/>
  <c r="D43" i="41" s="1"/>
  <c r="L59" i="41"/>
  <c r="K59" i="41"/>
  <c r="J59" i="41"/>
  <c r="I59" i="41"/>
  <c r="H59" i="41"/>
  <c r="G59" i="41"/>
  <c r="F59" i="41"/>
  <c r="K58" i="41"/>
  <c r="J58" i="41"/>
  <c r="I58" i="41"/>
  <c r="H58" i="41"/>
  <c r="G58" i="41"/>
  <c r="F58" i="41"/>
  <c r="L56" i="41"/>
  <c r="K56" i="41"/>
  <c r="J56" i="41"/>
  <c r="I56" i="41"/>
  <c r="M50" i="41"/>
  <c r="L49" i="41"/>
  <c r="L43" i="41" s="1"/>
  <c r="K49" i="41"/>
  <c r="J49" i="41"/>
  <c r="I49" i="41"/>
  <c r="I43" i="41" s="1"/>
  <c r="H49" i="41"/>
  <c r="H43" i="41" s="1"/>
  <c r="L48" i="41"/>
  <c r="K48" i="41"/>
  <c r="J48" i="41"/>
  <c r="I48" i="41"/>
  <c r="H48" i="41"/>
  <c r="G48" i="41"/>
  <c r="G43" i="41" s="1"/>
  <c r="F48" i="41"/>
  <c r="E48" i="41"/>
  <c r="D48" i="41"/>
  <c r="M43" i="41"/>
  <c r="J43" i="41"/>
  <c r="F43" i="41"/>
  <c r="C43" i="41"/>
  <c r="M35" i="41"/>
  <c r="N35" i="41" s="1"/>
  <c r="K41" i="41"/>
  <c r="G41" i="41"/>
  <c r="G35" i="41" s="1"/>
  <c r="C41" i="41"/>
  <c r="C35" i="41" s="1"/>
  <c r="L40" i="41"/>
  <c r="L41" i="41" s="1"/>
  <c r="L35" i="41" s="1"/>
  <c r="K40" i="41"/>
  <c r="J40" i="41"/>
  <c r="J41" i="41" s="1"/>
  <c r="I40" i="41"/>
  <c r="I41" i="41" s="1"/>
  <c r="I35" i="41" s="1"/>
  <c r="H40" i="41"/>
  <c r="H41" i="41" s="1"/>
  <c r="H35" i="41" s="1"/>
  <c r="G40" i="41"/>
  <c r="F40" i="41"/>
  <c r="F41" i="41" s="1"/>
  <c r="E40" i="41"/>
  <c r="E41" i="41" s="1"/>
  <c r="E35" i="41" s="1"/>
  <c r="D40" i="41"/>
  <c r="D41" i="41" s="1"/>
  <c r="D35" i="41" s="1"/>
  <c r="M33" i="41"/>
  <c r="L33" i="41"/>
  <c r="K33" i="41"/>
  <c r="J33" i="41"/>
  <c r="I33" i="41"/>
  <c r="H33" i="41"/>
  <c r="G33" i="41"/>
  <c r="F33" i="41"/>
  <c r="E33" i="41"/>
  <c r="D33" i="41"/>
  <c r="C33" i="41"/>
  <c r="O31" i="41"/>
  <c r="K31" i="41"/>
  <c r="J31" i="41"/>
  <c r="I31" i="41"/>
  <c r="H31" i="41"/>
  <c r="L30" i="41"/>
  <c r="K30" i="41"/>
  <c r="J30" i="41"/>
  <c r="I30" i="41"/>
  <c r="H30" i="41"/>
  <c r="K28" i="41"/>
  <c r="J28" i="41"/>
  <c r="I28" i="41"/>
  <c r="H28" i="41"/>
  <c r="L26" i="41"/>
  <c r="K26" i="41"/>
  <c r="J26" i="41"/>
  <c r="I26" i="41"/>
  <c r="H26" i="41"/>
  <c r="G26" i="41"/>
  <c r="F26" i="41"/>
  <c r="E26" i="41"/>
  <c r="D26" i="41"/>
  <c r="C26" i="41"/>
  <c r="O32" i="41" s="1"/>
  <c r="L25" i="41"/>
  <c r="K25" i="41"/>
  <c r="L23" i="41"/>
  <c r="K23" i="41"/>
  <c r="J23" i="41"/>
  <c r="I23" i="41"/>
  <c r="H23" i="41"/>
  <c r="G23" i="41"/>
  <c r="F23" i="41"/>
  <c r="L21" i="41"/>
  <c r="K21" i="41"/>
  <c r="J21" i="41"/>
  <c r="J12" i="41" s="1"/>
  <c r="I21" i="41"/>
  <c r="H21" i="41"/>
  <c r="G21" i="41"/>
  <c r="F21" i="41"/>
  <c r="E21" i="41"/>
  <c r="D21" i="41"/>
  <c r="L18" i="41"/>
  <c r="K18" i="41"/>
  <c r="R17" i="41"/>
  <c r="O17" i="41"/>
  <c r="L17" i="41"/>
  <c r="K17" i="41"/>
  <c r="J17" i="41"/>
  <c r="I17" i="41"/>
  <c r="H17" i="41"/>
  <c r="G17" i="41"/>
  <c r="F17" i="41"/>
  <c r="K16" i="41"/>
  <c r="J16" i="41"/>
  <c r="I16" i="41"/>
  <c r="H16" i="41"/>
  <c r="G16" i="41"/>
  <c r="F16" i="41"/>
  <c r="E16" i="41"/>
  <c r="D16" i="41"/>
  <c r="P17" i="41" s="1"/>
  <c r="L15" i="41"/>
  <c r="K15" i="41"/>
  <c r="J15" i="41"/>
  <c r="I15" i="41"/>
  <c r="H15" i="41"/>
  <c r="G15" i="41"/>
  <c r="F15" i="41"/>
  <c r="E15" i="41"/>
  <c r="L13" i="41"/>
  <c r="L12" i="41" s="1"/>
  <c r="K13" i="41"/>
  <c r="J13" i="41"/>
  <c r="I13" i="41"/>
  <c r="H13" i="41"/>
  <c r="T17" i="41" s="1"/>
  <c r="G13" i="41"/>
  <c r="S17" i="41" s="1"/>
  <c r="F13" i="41"/>
  <c r="E13" i="41"/>
  <c r="Q17" i="41" s="1"/>
  <c r="M12" i="41"/>
  <c r="K12" i="41"/>
  <c r="G12" i="41"/>
  <c r="C12" i="41"/>
  <c r="J10" i="41"/>
  <c r="I10" i="41"/>
  <c r="H10" i="41"/>
  <c r="G10" i="41"/>
  <c r="F10" i="41"/>
  <c r="L9" i="41"/>
  <c r="K9" i="41"/>
  <c r="J9" i="41"/>
  <c r="I9" i="41"/>
  <c r="L8" i="41"/>
  <c r="L4" i="41" s="1"/>
  <c r="K8" i="41"/>
  <c r="J8" i="41"/>
  <c r="I8" i="41"/>
  <c r="H8" i="41"/>
  <c r="H4" i="41" s="1"/>
  <c r="G8" i="41"/>
  <c r="F8" i="41"/>
  <c r="E8" i="41"/>
  <c r="L5" i="41"/>
  <c r="K5" i="41"/>
  <c r="J5" i="41"/>
  <c r="I5" i="41"/>
  <c r="H5" i="41"/>
  <c r="G5" i="41"/>
  <c r="G4" i="41" s="1"/>
  <c r="F5" i="41"/>
  <c r="E5" i="41"/>
  <c r="D5" i="41"/>
  <c r="M4" i="41"/>
  <c r="J4" i="41"/>
  <c r="I4" i="41"/>
  <c r="F4" i="41"/>
  <c r="E4" i="41"/>
  <c r="D4" i="41"/>
  <c r="C4" i="41"/>
  <c r="N117" i="41" l="1"/>
  <c r="N41" i="41"/>
  <c r="N12" i="41"/>
  <c r="N4" i="41"/>
  <c r="N135" i="41"/>
  <c r="P139" i="41"/>
  <c r="O139" i="41"/>
  <c r="M68" i="41"/>
  <c r="N43" i="41"/>
  <c r="N134" i="41"/>
  <c r="L68" i="41"/>
  <c r="N142" i="41"/>
  <c r="L206" i="41"/>
  <c r="W151" i="41"/>
  <c r="N151" i="41"/>
  <c r="C54" i="28"/>
  <c r="C68" i="41"/>
  <c r="C75" i="41" s="1"/>
  <c r="C203" i="41" s="1"/>
  <c r="O140" i="41"/>
  <c r="D144" i="41"/>
  <c r="O144" i="41" s="1"/>
  <c r="H140" i="41"/>
  <c r="L140" i="41"/>
  <c r="G144" i="41"/>
  <c r="R144" i="41" s="1"/>
  <c r="R140" i="41"/>
  <c r="H68" i="41"/>
  <c r="G68" i="41"/>
  <c r="C145" i="41"/>
  <c r="C204" i="41" s="1"/>
  <c r="C215" i="41" s="1"/>
  <c r="C218" i="41" s="1"/>
  <c r="I144" i="41"/>
  <c r="T140" i="41"/>
  <c r="R72" i="41"/>
  <c r="K4" i="41"/>
  <c r="D12" i="41"/>
  <c r="D68" i="41" s="1"/>
  <c r="H12" i="41"/>
  <c r="F35" i="41"/>
  <c r="J35" i="41"/>
  <c r="J68" i="41" s="1"/>
  <c r="K43" i="41"/>
  <c r="F144" i="41"/>
  <c r="Q140" i="41"/>
  <c r="J140" i="41"/>
  <c r="K72" i="41"/>
  <c r="U73" i="41"/>
  <c r="E74" i="41"/>
  <c r="P74" i="41" s="1"/>
  <c r="I74" i="41"/>
  <c r="G133" i="41"/>
  <c r="D81" i="41"/>
  <c r="D133" i="41" s="1"/>
  <c r="H81" i="41"/>
  <c r="H133" i="41" s="1"/>
  <c r="L81" i="41"/>
  <c r="E127" i="41"/>
  <c r="I127" i="41"/>
  <c r="K206" i="41"/>
  <c r="E206" i="41"/>
  <c r="P151" i="41"/>
  <c r="P161" i="41"/>
  <c r="D158" i="41"/>
  <c r="L158" i="41"/>
  <c r="G158" i="41"/>
  <c r="S161" i="41"/>
  <c r="K158" i="41"/>
  <c r="F158" i="41"/>
  <c r="R161" i="41"/>
  <c r="J158" i="41"/>
  <c r="V161" i="41"/>
  <c r="M133" i="41"/>
  <c r="E12" i="41"/>
  <c r="E68" i="41" s="1"/>
  <c r="I12" i="41"/>
  <c r="I68" i="41" s="1"/>
  <c r="K35" i="41"/>
  <c r="M140" i="41"/>
  <c r="H72" i="41"/>
  <c r="L72" i="41"/>
  <c r="V73" i="41"/>
  <c r="F74" i="41"/>
  <c r="Q74" i="41" s="1"/>
  <c r="J74" i="41"/>
  <c r="U74" i="41" s="1"/>
  <c r="E97" i="41"/>
  <c r="I97" i="41"/>
  <c r="I133" i="41" s="1"/>
  <c r="F102" i="41"/>
  <c r="J102" i="41"/>
  <c r="E111" i="41"/>
  <c r="I111" i="41"/>
  <c r="K143" i="41"/>
  <c r="G151" i="41"/>
  <c r="S158" i="41"/>
  <c r="Q188" i="41"/>
  <c r="F209" i="41"/>
  <c r="F211" i="41" s="1"/>
  <c r="K209" i="41"/>
  <c r="K211" i="41" s="1"/>
  <c r="V188" i="41"/>
  <c r="H207" i="41"/>
  <c r="E144" i="41"/>
  <c r="P144" i="41" s="1"/>
  <c r="P140" i="41"/>
  <c r="E133" i="41"/>
  <c r="F12" i="41"/>
  <c r="F68" i="41" s="1"/>
  <c r="M72" i="41"/>
  <c r="U143" i="41"/>
  <c r="F81" i="41"/>
  <c r="F133" i="41" s="1"/>
  <c r="J81" i="41"/>
  <c r="J133" i="41" s="1"/>
  <c r="G127" i="41"/>
  <c r="K127" i="41"/>
  <c r="K140" i="41"/>
  <c r="Q143" i="41"/>
  <c r="H208" i="41"/>
  <c r="F151" i="41"/>
  <c r="J151" i="41"/>
  <c r="V151" i="41" s="1"/>
  <c r="Q161" i="41"/>
  <c r="E158" i="41"/>
  <c r="U161" i="41"/>
  <c r="I158" i="41"/>
  <c r="C211" i="41"/>
  <c r="G211" i="41"/>
  <c r="S188" i="41"/>
  <c r="G210" i="41"/>
  <c r="U157" i="41"/>
  <c r="I211" i="41"/>
  <c r="K210" i="41"/>
  <c r="S151" i="41"/>
  <c r="V157" i="41"/>
  <c r="Q157" i="41"/>
  <c r="E211" i="41"/>
  <c r="O188" i="41"/>
  <c r="S194" i="41"/>
  <c r="J209" i="41"/>
  <c r="J211" i="41" s="1"/>
  <c r="P188" i="41"/>
  <c r="T188" i="41"/>
  <c r="Q194" i="41"/>
  <c r="U194" i="41"/>
  <c r="M206" i="41"/>
  <c r="M208" i="41" s="1"/>
  <c r="M210" i="41"/>
  <c r="M211" i="41" s="1"/>
  <c r="L142" i="40"/>
  <c r="L71" i="40"/>
  <c r="L69" i="40"/>
  <c r="L41" i="40"/>
  <c r="K113" i="40"/>
  <c r="K130" i="40"/>
  <c r="K114" i="40"/>
  <c r="K84" i="40"/>
  <c r="K25" i="40"/>
  <c r="K18" i="40"/>
  <c r="N68" i="41" l="1"/>
  <c r="W140" i="41"/>
  <c r="L207" i="41"/>
  <c r="L208" i="41" s="1"/>
  <c r="W158" i="41"/>
  <c r="N158" i="41"/>
  <c r="V143" i="41"/>
  <c r="W143" i="41"/>
  <c r="L133" i="41"/>
  <c r="N133" i="41" s="1"/>
  <c r="N81" i="41"/>
  <c r="L74" i="41"/>
  <c r="W72" i="41"/>
  <c r="N72" i="41"/>
  <c r="L144" i="41"/>
  <c r="N140" i="41"/>
  <c r="F75" i="41"/>
  <c r="Q68" i="41"/>
  <c r="E75" i="41"/>
  <c r="P68" i="41"/>
  <c r="D75" i="41"/>
  <c r="O68" i="41"/>
  <c r="J75" i="41"/>
  <c r="U68" i="41"/>
  <c r="I145" i="41"/>
  <c r="T133" i="41"/>
  <c r="T68" i="41"/>
  <c r="I75" i="41"/>
  <c r="E145" i="41"/>
  <c r="P133" i="41"/>
  <c r="R151" i="41"/>
  <c r="G206" i="41"/>
  <c r="J207" i="41"/>
  <c r="U158" i="41"/>
  <c r="S68" i="41"/>
  <c r="J145" i="41"/>
  <c r="U133" i="41"/>
  <c r="M74" i="41"/>
  <c r="J144" i="41"/>
  <c r="U144" i="41" s="1"/>
  <c r="U140" i="41"/>
  <c r="G75" i="41"/>
  <c r="R68" i="41"/>
  <c r="E207" i="41"/>
  <c r="P158" i="41"/>
  <c r="H74" i="41"/>
  <c r="S74" i="41" s="1"/>
  <c r="S72" i="41"/>
  <c r="D207" i="41"/>
  <c r="D208" i="41" s="1"/>
  <c r="O158" i="41"/>
  <c r="G145" i="41"/>
  <c r="R133" i="41"/>
  <c r="K74" i="41"/>
  <c r="V74" i="41" s="1"/>
  <c r="V72" i="41"/>
  <c r="T72" i="41"/>
  <c r="I207" i="41"/>
  <c r="I208" i="41" s="1"/>
  <c r="T158" i="41"/>
  <c r="J206" i="41"/>
  <c r="J208" i="41" s="1"/>
  <c r="U151" i="41"/>
  <c r="F145" i="41"/>
  <c r="Q133" i="41"/>
  <c r="M144" i="41"/>
  <c r="F207" i="41"/>
  <c r="Q158" i="41"/>
  <c r="G207" i="41"/>
  <c r="R158" i="41"/>
  <c r="S133" i="41"/>
  <c r="R74" i="41"/>
  <c r="H144" i="41"/>
  <c r="S144" i="41" s="1"/>
  <c r="S140" i="41"/>
  <c r="F206" i="41"/>
  <c r="Q151" i="41"/>
  <c r="K144" i="41"/>
  <c r="V144" i="41" s="1"/>
  <c r="V140" i="41"/>
  <c r="K133" i="41"/>
  <c r="K207" i="41"/>
  <c r="K208" i="41" s="1"/>
  <c r="V158" i="41"/>
  <c r="E208" i="41"/>
  <c r="O133" i="41"/>
  <c r="D145" i="41"/>
  <c r="Q144" i="41"/>
  <c r="K68" i="41"/>
  <c r="W68" i="41" s="1"/>
  <c r="C214" i="41"/>
  <c r="C217" i="41" s="1"/>
  <c r="C205" i="41"/>
  <c r="C212" i="41" s="1"/>
  <c r="K124" i="40"/>
  <c r="J124" i="40"/>
  <c r="K122" i="40"/>
  <c r="J122" i="40"/>
  <c r="K31" i="40"/>
  <c r="J31" i="40"/>
  <c r="I31" i="40"/>
  <c r="K28" i="40"/>
  <c r="J28" i="40"/>
  <c r="I28" i="40"/>
  <c r="J124" i="39"/>
  <c r="J122" i="39"/>
  <c r="J31" i="39"/>
  <c r="J28" i="39"/>
  <c r="I124" i="39"/>
  <c r="I122" i="39"/>
  <c r="I130" i="39"/>
  <c r="I31" i="39"/>
  <c r="I28" i="39"/>
  <c r="W133" i="41" l="1"/>
  <c r="N144" i="41"/>
  <c r="W144" i="41"/>
  <c r="L75" i="41"/>
  <c r="W74" i="41"/>
  <c r="N74" i="41"/>
  <c r="L145" i="41"/>
  <c r="R145" i="41"/>
  <c r="G204" i="41"/>
  <c r="G215" i="41" s="1"/>
  <c r="H145" i="41"/>
  <c r="E204" i="41"/>
  <c r="E215" i="41" s="1"/>
  <c r="P145" i="41"/>
  <c r="J203" i="41"/>
  <c r="U75" i="41"/>
  <c r="E203" i="41"/>
  <c r="P75" i="41"/>
  <c r="G203" i="41"/>
  <c r="R75" i="41"/>
  <c r="U145" i="41"/>
  <c r="J204" i="41"/>
  <c r="J215" i="41" s="1"/>
  <c r="D204" i="41"/>
  <c r="D215" i="41" s="1"/>
  <c r="O145" i="41"/>
  <c r="M75" i="41"/>
  <c r="H75" i="41"/>
  <c r="G208" i="41"/>
  <c r="I203" i="41"/>
  <c r="T75" i="41"/>
  <c r="K75" i="41"/>
  <c r="V68" i="41"/>
  <c r="V133" i="41"/>
  <c r="K145" i="41"/>
  <c r="F208" i="41"/>
  <c r="T144" i="41"/>
  <c r="M145" i="41"/>
  <c r="Q145" i="41"/>
  <c r="F204" i="41"/>
  <c r="F215" i="41" s="1"/>
  <c r="T74" i="41"/>
  <c r="T145" i="41"/>
  <c r="I204" i="41"/>
  <c r="I215" i="41" s="1"/>
  <c r="D203" i="41"/>
  <c r="O75" i="41"/>
  <c r="F203" i="41"/>
  <c r="Q75" i="41"/>
  <c r="O42" i="28"/>
  <c r="O12" i="28"/>
  <c r="I124" i="38"/>
  <c r="I122" i="38"/>
  <c r="I31" i="38"/>
  <c r="I28" i="38"/>
  <c r="W145" i="41" l="1"/>
  <c r="W75" i="41"/>
  <c r="N75" i="41"/>
  <c r="L203" i="41"/>
  <c r="L214" i="41" s="1"/>
  <c r="L204" i="41"/>
  <c r="N145" i="41"/>
  <c r="I214" i="41"/>
  <c r="I205" i="41"/>
  <c r="I212" i="41" s="1"/>
  <c r="E214" i="41"/>
  <c r="E205" i="41"/>
  <c r="E212" i="41" s="1"/>
  <c r="E218" i="41"/>
  <c r="P215" i="41"/>
  <c r="D214" i="41"/>
  <c r="D205" i="41"/>
  <c r="D212" i="41" s="1"/>
  <c r="H204" i="41"/>
  <c r="H215" i="41" s="1"/>
  <c r="S145" i="41"/>
  <c r="F218" i="41"/>
  <c r="Q218" i="41" s="1"/>
  <c r="Q215" i="41"/>
  <c r="T215" i="41"/>
  <c r="I218" i="41"/>
  <c r="V145" i="41"/>
  <c r="K204" i="41"/>
  <c r="K215" i="41" s="1"/>
  <c r="K203" i="41"/>
  <c r="V75" i="41"/>
  <c r="H203" i="41"/>
  <c r="S75" i="41"/>
  <c r="D218" i="41"/>
  <c r="O218" i="41" s="1"/>
  <c r="O215" i="41"/>
  <c r="G214" i="41"/>
  <c r="G205" i="41"/>
  <c r="G212" i="41" s="1"/>
  <c r="J205" i="41"/>
  <c r="J212" i="41" s="1"/>
  <c r="J214" i="41"/>
  <c r="G218" i="41"/>
  <c r="R218" i="41" s="1"/>
  <c r="R215" i="41"/>
  <c r="F205" i="41"/>
  <c r="F212" i="41" s="1"/>
  <c r="F214" i="41"/>
  <c r="M204" i="41"/>
  <c r="M215" i="41" s="1"/>
  <c r="M218" i="41" s="1"/>
  <c r="M203" i="41"/>
  <c r="J218" i="41"/>
  <c r="U218" i="41" s="1"/>
  <c r="U215" i="41"/>
  <c r="I124" i="40"/>
  <c r="I122" i="40"/>
  <c r="L217" i="41" l="1"/>
  <c r="L215" i="41"/>
  <c r="L205" i="41"/>
  <c r="L212" i="41" s="1"/>
  <c r="K218" i="41"/>
  <c r="V218" i="41" s="1"/>
  <c r="V215" i="41"/>
  <c r="G217" i="41"/>
  <c r="R214" i="41"/>
  <c r="O214" i="41"/>
  <c r="D217" i="41"/>
  <c r="O217" i="41" s="1"/>
  <c r="E217" i="41"/>
  <c r="P217" i="41" s="1"/>
  <c r="P214" i="41"/>
  <c r="H214" i="41"/>
  <c r="H205" i="41"/>
  <c r="H212" i="41" s="1"/>
  <c r="F217" i="41"/>
  <c r="Q217" i="41" s="1"/>
  <c r="Q214" i="41"/>
  <c r="J217" i="41"/>
  <c r="U214" i="41"/>
  <c r="T218" i="41"/>
  <c r="M214" i="41"/>
  <c r="M217" i="41" s="1"/>
  <c r="M205" i="41"/>
  <c r="M212" i="41" s="1"/>
  <c r="K214" i="41"/>
  <c r="W214" i="41" s="1"/>
  <c r="K205" i="41"/>
  <c r="K212" i="41" s="1"/>
  <c r="H218" i="41"/>
  <c r="S218" i="41" s="1"/>
  <c r="S215" i="41"/>
  <c r="P218" i="41"/>
  <c r="I217" i="41"/>
  <c r="T214" i="41"/>
  <c r="M189" i="40"/>
  <c r="M192" i="40"/>
  <c r="M193" i="40"/>
  <c r="M195" i="40"/>
  <c r="M196" i="40"/>
  <c r="M197" i="40"/>
  <c r="M156" i="40"/>
  <c r="M161" i="40"/>
  <c r="M164" i="40"/>
  <c r="M166" i="40"/>
  <c r="M167" i="40"/>
  <c r="M170" i="40"/>
  <c r="M171" i="40"/>
  <c r="M174" i="40"/>
  <c r="M175" i="40"/>
  <c r="M176" i="40"/>
  <c r="M177" i="40"/>
  <c r="M178" i="40"/>
  <c r="M180" i="40"/>
  <c r="M84" i="40"/>
  <c r="M101" i="40"/>
  <c r="M104" i="40"/>
  <c r="M107" i="40"/>
  <c r="M108" i="40"/>
  <c r="M109" i="40"/>
  <c r="M110" i="40"/>
  <c r="M113" i="40"/>
  <c r="M114" i="40"/>
  <c r="M116" i="40"/>
  <c r="M119" i="40"/>
  <c r="M121" i="40"/>
  <c r="M122" i="40"/>
  <c r="M123" i="40"/>
  <c r="M124" i="40"/>
  <c r="M126" i="40"/>
  <c r="M128" i="40"/>
  <c r="M129" i="40"/>
  <c r="M130" i="40"/>
  <c r="M131" i="40"/>
  <c r="M137" i="40"/>
  <c r="M138" i="40"/>
  <c r="M6" i="40"/>
  <c r="M7" i="40"/>
  <c r="M11" i="40"/>
  <c r="M13" i="40"/>
  <c r="M14" i="40"/>
  <c r="M18" i="40"/>
  <c r="M19" i="40"/>
  <c r="M20" i="40"/>
  <c r="M21" i="40"/>
  <c r="M22" i="40"/>
  <c r="M23" i="40"/>
  <c r="M24" i="40"/>
  <c r="M25" i="40"/>
  <c r="M27" i="40"/>
  <c r="M28" i="40"/>
  <c r="M29" i="40"/>
  <c r="M31" i="40"/>
  <c r="M32" i="40"/>
  <c r="M34" i="40"/>
  <c r="M36" i="40"/>
  <c r="M37" i="40"/>
  <c r="M38" i="40"/>
  <c r="M39" i="40"/>
  <c r="M42" i="40"/>
  <c r="M44" i="40"/>
  <c r="M45" i="40"/>
  <c r="M46" i="40"/>
  <c r="M47" i="40"/>
  <c r="M51" i="40"/>
  <c r="M52" i="40"/>
  <c r="M53" i="40"/>
  <c r="M54" i="40"/>
  <c r="M55" i="40"/>
  <c r="M57" i="40"/>
  <c r="M58" i="40"/>
  <c r="M60" i="40"/>
  <c r="M65" i="40"/>
  <c r="M66" i="40"/>
  <c r="M71" i="40"/>
  <c r="U190" i="40"/>
  <c r="K116" i="40"/>
  <c r="M85" i="40"/>
  <c r="M82" i="40"/>
  <c r="M73" i="40"/>
  <c r="M67" i="40"/>
  <c r="K23" i="40"/>
  <c r="K209" i="40"/>
  <c r="K188" i="40"/>
  <c r="K191" i="40"/>
  <c r="M191" i="40" s="1"/>
  <c r="K194" i="40"/>
  <c r="K210" i="40" s="1"/>
  <c r="K153" i="40"/>
  <c r="K154" i="40"/>
  <c r="M154" i="40" s="1"/>
  <c r="K155" i="40"/>
  <c r="M155" i="40" s="1"/>
  <c r="K156" i="40"/>
  <c r="K157" i="40"/>
  <c r="M157" i="40" s="1"/>
  <c r="K159" i="40"/>
  <c r="M159" i="40" s="1"/>
  <c r="K160" i="40"/>
  <c r="M160" i="40" s="1"/>
  <c r="K161" i="40"/>
  <c r="K162" i="40"/>
  <c r="K163" i="40"/>
  <c r="K165" i="40"/>
  <c r="M165" i="40" s="1"/>
  <c r="K166" i="40"/>
  <c r="K168" i="40"/>
  <c r="M168" i="40" s="1"/>
  <c r="M169" i="40"/>
  <c r="K172" i="40"/>
  <c r="M172" i="40" s="1"/>
  <c r="K173" i="40"/>
  <c r="M173" i="40" s="1"/>
  <c r="K179" i="40"/>
  <c r="M179" i="40" s="1"/>
  <c r="K181" i="40"/>
  <c r="M181" i="40" s="1"/>
  <c r="K182" i="40"/>
  <c r="M182" i="40" s="1"/>
  <c r="K83" i="40"/>
  <c r="K81" i="40" s="1"/>
  <c r="M81" i="40" s="1"/>
  <c r="K86" i="40"/>
  <c r="M86" i="40" s="1"/>
  <c r="K88" i="40"/>
  <c r="K87" i="40" s="1"/>
  <c r="K90" i="40"/>
  <c r="M90" i="40" s="1"/>
  <c r="K91" i="40"/>
  <c r="M91" i="40" s="1"/>
  <c r="K93" i="40"/>
  <c r="M93" i="40" s="1"/>
  <c r="K94" i="40"/>
  <c r="M94" i="40" s="1"/>
  <c r="K95" i="40"/>
  <c r="M95" i="40" s="1"/>
  <c r="K96" i="40"/>
  <c r="M96" i="40" s="1"/>
  <c r="K98" i="40"/>
  <c r="K99" i="40"/>
  <c r="M99" i="40" s="1"/>
  <c r="K100" i="40"/>
  <c r="M100" i="40" s="1"/>
  <c r="K103" i="40"/>
  <c r="K104" i="40"/>
  <c r="K105" i="40"/>
  <c r="M105" i="40" s="1"/>
  <c r="K109" i="40"/>
  <c r="K106" i="40" s="1"/>
  <c r="K112" i="40"/>
  <c r="K111" i="40" s="1"/>
  <c r="K115" i="40"/>
  <c r="M115" i="40" s="1"/>
  <c r="K118" i="40"/>
  <c r="K119" i="40"/>
  <c r="K120" i="40"/>
  <c r="M120" i="40" s="1"/>
  <c r="K123" i="40"/>
  <c r="K125" i="40"/>
  <c r="M125" i="40" s="1"/>
  <c r="K128" i="40"/>
  <c r="K132" i="40"/>
  <c r="M132" i="40" s="1"/>
  <c r="K139" i="40"/>
  <c r="K141" i="40"/>
  <c r="M141" i="40" s="1"/>
  <c r="K5" i="40"/>
  <c r="M5" i="40" s="1"/>
  <c r="K8" i="40"/>
  <c r="M8" i="40" s="1"/>
  <c r="K9" i="40"/>
  <c r="M9" i="40" s="1"/>
  <c r="K4" i="40"/>
  <c r="K13" i="40"/>
  <c r="K15" i="40"/>
  <c r="M15" i="40" s="1"/>
  <c r="K16" i="40"/>
  <c r="M16" i="40" s="1"/>
  <c r="K17" i="40"/>
  <c r="M17" i="40" s="1"/>
  <c r="K21" i="40"/>
  <c r="K26" i="40"/>
  <c r="M26" i="40" s="1"/>
  <c r="K30" i="40"/>
  <c r="M30" i="40" s="1"/>
  <c r="K33" i="40"/>
  <c r="K40" i="40"/>
  <c r="M40" i="40" s="1"/>
  <c r="K48" i="40"/>
  <c r="M48" i="40" s="1"/>
  <c r="K49" i="40"/>
  <c r="M49" i="40" s="1"/>
  <c r="K56" i="40"/>
  <c r="M56" i="40" s="1"/>
  <c r="K58" i="40"/>
  <c r="K59" i="40"/>
  <c r="M59" i="40" s="1"/>
  <c r="K61" i="40"/>
  <c r="M61" i="40" s="1"/>
  <c r="K62" i="40"/>
  <c r="M62" i="40" s="1"/>
  <c r="K63" i="40"/>
  <c r="M63" i="40" s="1"/>
  <c r="K64" i="40"/>
  <c r="M64" i="40" s="1"/>
  <c r="K66" i="40"/>
  <c r="K69" i="40"/>
  <c r="K72" i="40" s="1"/>
  <c r="K74" i="40" s="1"/>
  <c r="L194" i="40"/>
  <c r="L210" i="40" s="1"/>
  <c r="J194" i="40"/>
  <c r="I194" i="40"/>
  <c r="H194" i="40"/>
  <c r="H210" i="40" s="1"/>
  <c r="G194" i="40"/>
  <c r="G210" i="40" s="1"/>
  <c r="F194" i="40"/>
  <c r="F210" i="40" s="1"/>
  <c r="E194" i="40"/>
  <c r="D194" i="40"/>
  <c r="D210" i="40" s="1"/>
  <c r="C194" i="40"/>
  <c r="C210" i="40" s="1"/>
  <c r="T192" i="40"/>
  <c r="Q192" i="40"/>
  <c r="P192" i="40"/>
  <c r="O192" i="40"/>
  <c r="J191" i="40"/>
  <c r="I191" i="40"/>
  <c r="U192" i="40" s="1"/>
  <c r="H191" i="40"/>
  <c r="G191" i="40"/>
  <c r="G188" i="40" s="1"/>
  <c r="G209" i="40" s="1"/>
  <c r="G211" i="40" s="1"/>
  <c r="F191" i="40"/>
  <c r="T190" i="40"/>
  <c r="S190" i="40"/>
  <c r="R190" i="40"/>
  <c r="Q190" i="40"/>
  <c r="P190" i="40"/>
  <c r="O190" i="40"/>
  <c r="L190" i="40"/>
  <c r="M190" i="40" s="1"/>
  <c r="H188" i="40"/>
  <c r="H209" i="40" s="1"/>
  <c r="E188" i="40"/>
  <c r="D188" i="40"/>
  <c r="D209" i="40" s="1"/>
  <c r="C188" i="40"/>
  <c r="C209" i="40" s="1"/>
  <c r="J182" i="40"/>
  <c r="I182" i="40"/>
  <c r="H182" i="40"/>
  <c r="G182" i="40"/>
  <c r="F182" i="40"/>
  <c r="E182" i="40"/>
  <c r="D182" i="40"/>
  <c r="J181" i="40"/>
  <c r="I181" i="40"/>
  <c r="H181" i="40"/>
  <c r="G181" i="40"/>
  <c r="F181" i="40"/>
  <c r="E181" i="40"/>
  <c r="D181" i="40"/>
  <c r="J179" i="40"/>
  <c r="I179" i="40"/>
  <c r="H179" i="40"/>
  <c r="G179" i="40"/>
  <c r="F179" i="40"/>
  <c r="E179" i="40"/>
  <c r="D179" i="40"/>
  <c r="J173" i="40"/>
  <c r="I173" i="40"/>
  <c r="J172" i="40"/>
  <c r="I172" i="40"/>
  <c r="H172" i="40"/>
  <c r="G172" i="40"/>
  <c r="F172" i="40"/>
  <c r="E172" i="40"/>
  <c r="D172" i="40"/>
  <c r="J169" i="40"/>
  <c r="I169" i="40"/>
  <c r="H169" i="40"/>
  <c r="G169" i="40"/>
  <c r="F169" i="40"/>
  <c r="E169" i="40"/>
  <c r="D169" i="40"/>
  <c r="J168" i="40"/>
  <c r="I168" i="40"/>
  <c r="J166" i="40"/>
  <c r="I166" i="40"/>
  <c r="H166" i="40"/>
  <c r="G166" i="40"/>
  <c r="F166" i="40"/>
  <c r="J165" i="40"/>
  <c r="I165" i="40"/>
  <c r="H165" i="40"/>
  <c r="G165" i="40"/>
  <c r="F165" i="40"/>
  <c r="E165" i="40"/>
  <c r="D165" i="40"/>
  <c r="J163" i="40"/>
  <c r="I163" i="40"/>
  <c r="H163" i="40"/>
  <c r="G163" i="40"/>
  <c r="J162" i="40"/>
  <c r="I162" i="40"/>
  <c r="H162" i="40"/>
  <c r="G162" i="40"/>
  <c r="F162" i="40"/>
  <c r="E162" i="40"/>
  <c r="D162" i="40"/>
  <c r="N161" i="40"/>
  <c r="J161" i="40"/>
  <c r="I161" i="40"/>
  <c r="H161" i="40"/>
  <c r="G161" i="40"/>
  <c r="F161" i="40"/>
  <c r="E161" i="40"/>
  <c r="D161" i="40"/>
  <c r="J160" i="40"/>
  <c r="J158" i="40" s="1"/>
  <c r="I160" i="40"/>
  <c r="H160" i="40"/>
  <c r="G160" i="40"/>
  <c r="F160" i="40"/>
  <c r="E160" i="40"/>
  <c r="J159" i="40"/>
  <c r="U161" i="40" s="1"/>
  <c r="I159" i="40"/>
  <c r="H159" i="40"/>
  <c r="S161" i="40" s="1"/>
  <c r="G159" i="40"/>
  <c r="F159" i="40"/>
  <c r="Q161" i="40" s="1"/>
  <c r="E159" i="40"/>
  <c r="D159" i="40"/>
  <c r="O161" i="40" s="1"/>
  <c r="L158" i="40"/>
  <c r="L207" i="40" s="1"/>
  <c r="E158" i="40"/>
  <c r="E207" i="40" s="1"/>
  <c r="C158" i="40"/>
  <c r="C207" i="40" s="1"/>
  <c r="N157" i="40"/>
  <c r="J157" i="40"/>
  <c r="I157" i="40"/>
  <c r="H157" i="40"/>
  <c r="G157" i="40"/>
  <c r="F157" i="40"/>
  <c r="J156" i="40"/>
  <c r="I156" i="40"/>
  <c r="H156" i="40"/>
  <c r="G156" i="40"/>
  <c r="F156" i="40"/>
  <c r="E156" i="40"/>
  <c r="E151" i="40" s="1"/>
  <c r="E206" i="40" s="1"/>
  <c r="D156" i="40"/>
  <c r="J155" i="40"/>
  <c r="I155" i="40"/>
  <c r="H155" i="40"/>
  <c r="G155" i="40"/>
  <c r="F155" i="40"/>
  <c r="E155" i="40"/>
  <c r="D155" i="40"/>
  <c r="O157" i="40" s="1"/>
  <c r="J154" i="40"/>
  <c r="I154" i="40"/>
  <c r="T157" i="40" s="1"/>
  <c r="H154" i="40"/>
  <c r="G154" i="40"/>
  <c r="F154" i="40"/>
  <c r="E154" i="40"/>
  <c r="P157" i="40" s="1"/>
  <c r="D154" i="40"/>
  <c r="J153" i="40"/>
  <c r="U157" i="40" s="1"/>
  <c r="I153" i="40"/>
  <c r="H153" i="40"/>
  <c r="G153" i="40"/>
  <c r="J152" i="40"/>
  <c r="J151" i="40" s="1"/>
  <c r="T151" i="40" s="1"/>
  <c r="I152" i="40"/>
  <c r="H152" i="40"/>
  <c r="G152" i="40"/>
  <c r="F152" i="40"/>
  <c r="F151" i="40" s="1"/>
  <c r="L151" i="40"/>
  <c r="I151" i="40"/>
  <c r="I206" i="40" s="1"/>
  <c r="C151" i="40"/>
  <c r="C206" i="40" s="1"/>
  <c r="G142" i="40"/>
  <c r="F142" i="40"/>
  <c r="E142" i="40"/>
  <c r="D142" i="40"/>
  <c r="C142" i="40"/>
  <c r="L143" i="40"/>
  <c r="J141" i="40"/>
  <c r="I141" i="40"/>
  <c r="H141" i="40"/>
  <c r="G141" i="40"/>
  <c r="F141" i="40"/>
  <c r="E141" i="40"/>
  <c r="D141" i="40"/>
  <c r="C141" i="40"/>
  <c r="J139" i="40"/>
  <c r="I139" i="40"/>
  <c r="H139" i="40"/>
  <c r="G139" i="40"/>
  <c r="F139" i="40"/>
  <c r="E139" i="40"/>
  <c r="D139" i="40"/>
  <c r="C139" i="40"/>
  <c r="L136" i="40"/>
  <c r="M136" i="40" s="1"/>
  <c r="L135" i="40"/>
  <c r="G135" i="40"/>
  <c r="F135" i="40"/>
  <c r="E135" i="40"/>
  <c r="D135" i="40"/>
  <c r="C135" i="40"/>
  <c r="L134" i="40"/>
  <c r="J134" i="40"/>
  <c r="J132" i="40"/>
  <c r="I132" i="40"/>
  <c r="H132" i="40"/>
  <c r="G132" i="40"/>
  <c r="F132" i="40"/>
  <c r="E132" i="40"/>
  <c r="J130" i="40"/>
  <c r="I130" i="40"/>
  <c r="H130" i="40"/>
  <c r="G130" i="40"/>
  <c r="F130" i="40"/>
  <c r="E130" i="40"/>
  <c r="J128" i="40"/>
  <c r="J127" i="40" s="1"/>
  <c r="I128" i="40"/>
  <c r="I127" i="40" s="1"/>
  <c r="H128" i="40"/>
  <c r="G128" i="40"/>
  <c r="F128" i="40"/>
  <c r="F127" i="40" s="1"/>
  <c r="E128" i="40"/>
  <c r="E127" i="40" s="1"/>
  <c r="D128" i="40"/>
  <c r="D127" i="40" s="1"/>
  <c r="L127" i="40"/>
  <c r="C127" i="40"/>
  <c r="J125" i="40"/>
  <c r="I125" i="40"/>
  <c r="H125" i="40"/>
  <c r="G125" i="40"/>
  <c r="F125" i="40"/>
  <c r="E125" i="40"/>
  <c r="H124" i="40"/>
  <c r="G124" i="40"/>
  <c r="F124" i="40"/>
  <c r="E124" i="40"/>
  <c r="J123" i="40"/>
  <c r="I123" i="40"/>
  <c r="H123" i="40"/>
  <c r="G123" i="40"/>
  <c r="F123" i="40"/>
  <c r="E123" i="40"/>
  <c r="H122" i="40"/>
  <c r="G122" i="40"/>
  <c r="F122" i="40"/>
  <c r="E122" i="40"/>
  <c r="J120" i="40"/>
  <c r="I120" i="40"/>
  <c r="J119" i="40"/>
  <c r="I119" i="40"/>
  <c r="J118" i="40"/>
  <c r="I118" i="40"/>
  <c r="I117" i="40" s="1"/>
  <c r="H118" i="40"/>
  <c r="H117" i="40" s="1"/>
  <c r="G118" i="40"/>
  <c r="F118" i="40"/>
  <c r="E118" i="40"/>
  <c r="E117" i="40" s="1"/>
  <c r="D118" i="40"/>
  <c r="D117" i="40" s="1"/>
  <c r="L117" i="40"/>
  <c r="C117" i="40"/>
  <c r="J116" i="40"/>
  <c r="I116" i="40"/>
  <c r="H116" i="40"/>
  <c r="G116" i="40"/>
  <c r="F116" i="40"/>
  <c r="E116" i="40"/>
  <c r="D116" i="40"/>
  <c r="J115" i="40"/>
  <c r="I115" i="40"/>
  <c r="H115" i="40"/>
  <c r="G115" i="40"/>
  <c r="F115" i="40"/>
  <c r="E115" i="40"/>
  <c r="D115" i="40"/>
  <c r="J114" i="40"/>
  <c r="J113" i="40"/>
  <c r="I113" i="40"/>
  <c r="H113" i="40"/>
  <c r="G113" i="40"/>
  <c r="F113" i="40"/>
  <c r="E113" i="40"/>
  <c r="D113" i="40"/>
  <c r="J112" i="40"/>
  <c r="I112" i="40"/>
  <c r="H112" i="40"/>
  <c r="G112" i="40"/>
  <c r="G111" i="40" s="1"/>
  <c r="F112" i="40"/>
  <c r="E112" i="40"/>
  <c r="D112" i="40"/>
  <c r="L111" i="40"/>
  <c r="C111" i="40"/>
  <c r="J109" i="40"/>
  <c r="I109" i="40"/>
  <c r="I106" i="40" s="1"/>
  <c r="H109" i="40"/>
  <c r="G109" i="40"/>
  <c r="G106" i="40" s="1"/>
  <c r="F109" i="40"/>
  <c r="E109" i="40"/>
  <c r="E106" i="40" s="1"/>
  <c r="D109" i="40"/>
  <c r="L106" i="40"/>
  <c r="M106" i="40" s="1"/>
  <c r="J106" i="40"/>
  <c r="H106" i="40"/>
  <c r="F106" i="40"/>
  <c r="D106" i="40"/>
  <c r="C106" i="40"/>
  <c r="J105" i="40"/>
  <c r="I105" i="40"/>
  <c r="H105" i="40"/>
  <c r="G105" i="40"/>
  <c r="F105" i="40"/>
  <c r="E105" i="40"/>
  <c r="D105" i="40"/>
  <c r="J104" i="40"/>
  <c r="J102" i="40" s="1"/>
  <c r="I104" i="40"/>
  <c r="H104" i="40"/>
  <c r="G104" i="40"/>
  <c r="F104" i="40"/>
  <c r="F102" i="40" s="1"/>
  <c r="E104" i="40"/>
  <c r="D104" i="40"/>
  <c r="J103" i="40"/>
  <c r="I103" i="40"/>
  <c r="I102" i="40" s="1"/>
  <c r="H103" i="40"/>
  <c r="G103" i="40"/>
  <c r="F103" i="40"/>
  <c r="E103" i="40"/>
  <c r="E102" i="40" s="1"/>
  <c r="D103" i="40"/>
  <c r="L102" i="40"/>
  <c r="C102" i="40"/>
  <c r="J100" i="40"/>
  <c r="J99" i="40"/>
  <c r="I99" i="40"/>
  <c r="H99" i="40"/>
  <c r="G99" i="40"/>
  <c r="F99" i="40"/>
  <c r="E99" i="40"/>
  <c r="D99" i="40"/>
  <c r="J98" i="40"/>
  <c r="I98" i="40"/>
  <c r="H98" i="40"/>
  <c r="H97" i="40" s="1"/>
  <c r="G98" i="40"/>
  <c r="F98" i="40"/>
  <c r="F97" i="40" s="1"/>
  <c r="E98" i="40"/>
  <c r="D98" i="40"/>
  <c r="D97" i="40" s="1"/>
  <c r="L97" i="40"/>
  <c r="G97" i="40"/>
  <c r="C97" i="40"/>
  <c r="J96" i="40"/>
  <c r="I96" i="40"/>
  <c r="H96" i="40"/>
  <c r="G96" i="40"/>
  <c r="F96" i="40"/>
  <c r="E96" i="40"/>
  <c r="D96" i="40"/>
  <c r="J95" i="40"/>
  <c r="I95" i="40"/>
  <c r="H95" i="40"/>
  <c r="G95" i="40"/>
  <c r="G92" i="40" s="1"/>
  <c r="F95" i="40"/>
  <c r="J94" i="40"/>
  <c r="I94" i="40"/>
  <c r="H94" i="40"/>
  <c r="G94" i="40"/>
  <c r="F94" i="40"/>
  <c r="F92" i="40" s="1"/>
  <c r="E94" i="40"/>
  <c r="D94" i="40"/>
  <c r="J93" i="40"/>
  <c r="I93" i="40"/>
  <c r="I92" i="40" s="1"/>
  <c r="L92" i="40"/>
  <c r="E92" i="40"/>
  <c r="C92" i="40"/>
  <c r="J91" i="40"/>
  <c r="J89" i="40" s="1"/>
  <c r="J90" i="40"/>
  <c r="I90" i="40"/>
  <c r="H90" i="40"/>
  <c r="G90" i="40"/>
  <c r="G89" i="40" s="1"/>
  <c r="F90" i="40"/>
  <c r="F89" i="40" s="1"/>
  <c r="E90" i="40"/>
  <c r="L89" i="40"/>
  <c r="I89" i="40"/>
  <c r="H89" i="40"/>
  <c r="E89" i="40"/>
  <c r="D89" i="40"/>
  <c r="C89" i="40"/>
  <c r="J88" i="40"/>
  <c r="I88" i="40"/>
  <c r="I87" i="40" s="1"/>
  <c r="H88" i="40"/>
  <c r="H87" i="40" s="1"/>
  <c r="G88" i="40"/>
  <c r="F88" i="40"/>
  <c r="F87" i="40" s="1"/>
  <c r="E88" i="40"/>
  <c r="E87" i="40" s="1"/>
  <c r="D88" i="40"/>
  <c r="L87" i="40"/>
  <c r="G87" i="40"/>
  <c r="D87" i="40"/>
  <c r="C87" i="40"/>
  <c r="J86" i="40"/>
  <c r="I86" i="40"/>
  <c r="H86" i="40"/>
  <c r="G86" i="40"/>
  <c r="F86" i="40"/>
  <c r="E86" i="40"/>
  <c r="D86" i="40"/>
  <c r="J85" i="40"/>
  <c r="I85" i="40"/>
  <c r="H85" i="40"/>
  <c r="G85" i="40"/>
  <c r="F85" i="40"/>
  <c r="E85" i="40"/>
  <c r="D85" i="40"/>
  <c r="J84" i="40"/>
  <c r="I84" i="40"/>
  <c r="H84" i="40"/>
  <c r="G84" i="40"/>
  <c r="F84" i="40"/>
  <c r="E84" i="40"/>
  <c r="J83" i="40"/>
  <c r="I83" i="40"/>
  <c r="H83" i="40"/>
  <c r="G83" i="40"/>
  <c r="G81" i="40" s="1"/>
  <c r="F83" i="40"/>
  <c r="E83" i="40"/>
  <c r="D83" i="40"/>
  <c r="J82" i="40"/>
  <c r="J81" i="40" s="1"/>
  <c r="I82" i="40"/>
  <c r="H82" i="40"/>
  <c r="H81" i="40" s="1"/>
  <c r="G82" i="40"/>
  <c r="F82" i="40"/>
  <c r="F81" i="40" s="1"/>
  <c r="E82" i="40"/>
  <c r="D82" i="40"/>
  <c r="L81" i="40"/>
  <c r="I81" i="40"/>
  <c r="D81" i="40"/>
  <c r="C81" i="40"/>
  <c r="S73" i="40"/>
  <c r="Q73" i="40"/>
  <c r="P73" i="40"/>
  <c r="O73" i="40"/>
  <c r="N73" i="40"/>
  <c r="J73" i="40"/>
  <c r="I73" i="40"/>
  <c r="I142" i="40" s="1"/>
  <c r="I143" i="40" s="1"/>
  <c r="H73" i="40"/>
  <c r="H142" i="40" s="1"/>
  <c r="J72" i="40"/>
  <c r="G72" i="40"/>
  <c r="F72" i="40"/>
  <c r="F74" i="40" s="1"/>
  <c r="E72" i="40"/>
  <c r="E74" i="40" s="1"/>
  <c r="D72" i="40"/>
  <c r="D74" i="40" s="1"/>
  <c r="C72" i="40"/>
  <c r="C74" i="40" s="1"/>
  <c r="L70" i="40"/>
  <c r="L139" i="40" s="1"/>
  <c r="M139" i="40" s="1"/>
  <c r="J69" i="40"/>
  <c r="J135" i="40" s="1"/>
  <c r="I69" i="40"/>
  <c r="I135" i="40" s="1"/>
  <c r="H69" i="40"/>
  <c r="J67" i="40"/>
  <c r="I67" i="40"/>
  <c r="I134" i="40" s="1"/>
  <c r="H67" i="40"/>
  <c r="H134" i="40" s="1"/>
  <c r="G67" i="40"/>
  <c r="G134" i="40" s="1"/>
  <c r="F67" i="40"/>
  <c r="F134" i="40" s="1"/>
  <c r="E67" i="40"/>
  <c r="E134" i="40" s="1"/>
  <c r="E140" i="40" s="1"/>
  <c r="D67" i="40"/>
  <c r="D134" i="40" s="1"/>
  <c r="C67" i="40"/>
  <c r="C134" i="40" s="1"/>
  <c r="J66" i="40"/>
  <c r="I66" i="40"/>
  <c r="H66" i="40"/>
  <c r="G66" i="40"/>
  <c r="F66" i="40"/>
  <c r="E66" i="40"/>
  <c r="D66" i="40"/>
  <c r="J64" i="40"/>
  <c r="I64" i="40"/>
  <c r="H64" i="40"/>
  <c r="G64" i="40"/>
  <c r="F64" i="40"/>
  <c r="E64" i="40"/>
  <c r="D64" i="40"/>
  <c r="J63" i="40"/>
  <c r="I63" i="40"/>
  <c r="H63" i="40"/>
  <c r="G63" i="40"/>
  <c r="F63" i="40"/>
  <c r="E63" i="40"/>
  <c r="D63" i="40"/>
  <c r="J62" i="40"/>
  <c r="I62" i="40"/>
  <c r="H62" i="40"/>
  <c r="G62" i="40"/>
  <c r="F62" i="40"/>
  <c r="E62" i="40"/>
  <c r="D62" i="40"/>
  <c r="J61" i="40"/>
  <c r="I61" i="40"/>
  <c r="H61" i="40"/>
  <c r="G61" i="40"/>
  <c r="F61" i="40"/>
  <c r="E61" i="40"/>
  <c r="D61" i="40"/>
  <c r="J59" i="40"/>
  <c r="I59" i="40"/>
  <c r="H59" i="40"/>
  <c r="G59" i="40"/>
  <c r="F59" i="40"/>
  <c r="J58" i="40"/>
  <c r="I58" i="40"/>
  <c r="H58" i="40"/>
  <c r="G58" i="40"/>
  <c r="F58" i="40"/>
  <c r="J56" i="40"/>
  <c r="I56" i="40"/>
  <c r="L50" i="40"/>
  <c r="J49" i="40"/>
  <c r="I49" i="40"/>
  <c r="H49" i="40"/>
  <c r="J48" i="40"/>
  <c r="I48" i="40"/>
  <c r="H48" i="40"/>
  <c r="G48" i="40"/>
  <c r="F48" i="40"/>
  <c r="E48" i="40"/>
  <c r="D48" i="40"/>
  <c r="D43" i="40" s="1"/>
  <c r="G43" i="40"/>
  <c r="C43" i="40"/>
  <c r="C41" i="40"/>
  <c r="C35" i="40" s="1"/>
  <c r="J40" i="40"/>
  <c r="J41" i="40" s="1"/>
  <c r="J35" i="40" s="1"/>
  <c r="I40" i="40"/>
  <c r="I41" i="40" s="1"/>
  <c r="H40" i="40"/>
  <c r="H41" i="40" s="1"/>
  <c r="G40" i="40"/>
  <c r="G41" i="40" s="1"/>
  <c r="F40" i="40"/>
  <c r="F41" i="40" s="1"/>
  <c r="F35" i="40" s="1"/>
  <c r="E40" i="40"/>
  <c r="E41" i="40" s="1"/>
  <c r="D40" i="40"/>
  <c r="D41" i="40" s="1"/>
  <c r="E35" i="40"/>
  <c r="L33" i="40"/>
  <c r="J33" i="40"/>
  <c r="I33" i="40"/>
  <c r="H33" i="40"/>
  <c r="G33" i="40"/>
  <c r="F33" i="40"/>
  <c r="E33" i="40"/>
  <c r="D33" i="40"/>
  <c r="C33" i="40"/>
  <c r="U32" i="40"/>
  <c r="U31" i="40"/>
  <c r="T31" i="40"/>
  <c r="H31" i="40"/>
  <c r="J30" i="40"/>
  <c r="I30" i="40"/>
  <c r="H30" i="40"/>
  <c r="H28" i="40"/>
  <c r="J26" i="40"/>
  <c r="I26" i="40"/>
  <c r="H26" i="40"/>
  <c r="G26" i="40"/>
  <c r="F26" i="40"/>
  <c r="E26" i="40"/>
  <c r="D26" i="40"/>
  <c r="C26" i="40"/>
  <c r="J23" i="40"/>
  <c r="I23" i="40"/>
  <c r="H23" i="40"/>
  <c r="G23" i="40"/>
  <c r="R32" i="40" s="1"/>
  <c r="F23" i="40"/>
  <c r="J21" i="40"/>
  <c r="J12" i="40" s="1"/>
  <c r="I21" i="40"/>
  <c r="H21" i="40"/>
  <c r="G21" i="40"/>
  <c r="F21" i="40"/>
  <c r="F12" i="40" s="1"/>
  <c r="E21" i="40"/>
  <c r="D21" i="40"/>
  <c r="D12" i="40" s="1"/>
  <c r="U17" i="40"/>
  <c r="N17" i="40"/>
  <c r="J17" i="40"/>
  <c r="I17" i="40"/>
  <c r="H17" i="40"/>
  <c r="G17" i="40"/>
  <c r="F17" i="40"/>
  <c r="J16" i="40"/>
  <c r="I16" i="40"/>
  <c r="H16" i="40"/>
  <c r="S17" i="40" s="1"/>
  <c r="G16" i="40"/>
  <c r="F16" i="40"/>
  <c r="E16" i="40"/>
  <c r="D16" i="40"/>
  <c r="O17" i="40" s="1"/>
  <c r="J15" i="40"/>
  <c r="I15" i="40"/>
  <c r="H15" i="40"/>
  <c r="G15" i="40"/>
  <c r="G12" i="40" s="1"/>
  <c r="F15" i="40"/>
  <c r="E15" i="40"/>
  <c r="J13" i="40"/>
  <c r="I13" i="40"/>
  <c r="T17" i="40" s="1"/>
  <c r="H13" i="40"/>
  <c r="G13" i="40"/>
  <c r="F13" i="40"/>
  <c r="E13" i="40"/>
  <c r="P17" i="40" s="1"/>
  <c r="L12" i="40"/>
  <c r="J10" i="40"/>
  <c r="I10" i="40"/>
  <c r="H10" i="40"/>
  <c r="G10" i="40"/>
  <c r="F10" i="40"/>
  <c r="J9" i="40"/>
  <c r="I9" i="40"/>
  <c r="J8" i="40"/>
  <c r="I8" i="40"/>
  <c r="H8" i="40"/>
  <c r="G8" i="40"/>
  <c r="F8" i="40"/>
  <c r="E8" i="40"/>
  <c r="J5" i="40"/>
  <c r="I5" i="40"/>
  <c r="I4" i="40" s="1"/>
  <c r="H5" i="40"/>
  <c r="G5" i="40"/>
  <c r="F5" i="40"/>
  <c r="E5" i="40"/>
  <c r="E4" i="40" s="1"/>
  <c r="D5" i="40"/>
  <c r="L4" i="40"/>
  <c r="M4" i="40" s="1"/>
  <c r="D4" i="40"/>
  <c r="C4" i="40"/>
  <c r="J118" i="39"/>
  <c r="N53" i="17"/>
  <c r="N9" i="17"/>
  <c r="E27" i="17"/>
  <c r="D27" i="17"/>
  <c r="C27" i="17"/>
  <c r="E26" i="17"/>
  <c r="H26" i="17" s="1"/>
  <c r="I26" i="17" s="1"/>
  <c r="C26" i="17"/>
  <c r="H25" i="17"/>
  <c r="I25" i="17" s="1"/>
  <c r="E24" i="17"/>
  <c r="D24" i="17"/>
  <c r="H24" i="17" s="1"/>
  <c r="C24" i="17"/>
  <c r="H23" i="17"/>
  <c r="I23" i="17" s="1"/>
  <c r="H22" i="17"/>
  <c r="I22" i="17" s="1"/>
  <c r="N21" i="17"/>
  <c r="H21" i="17"/>
  <c r="I21" i="17" s="1"/>
  <c r="N20" i="17"/>
  <c r="H20" i="17"/>
  <c r="I20" i="17" s="1"/>
  <c r="H19" i="17"/>
  <c r="I19" i="17" s="1"/>
  <c r="H18" i="17"/>
  <c r="C18" i="17"/>
  <c r="E17" i="17"/>
  <c r="H17" i="17" s="1"/>
  <c r="C17" i="17"/>
  <c r="H16" i="17"/>
  <c r="I16" i="17" s="1"/>
  <c r="H15" i="17"/>
  <c r="I15" i="17" s="1"/>
  <c r="G14" i="17"/>
  <c r="H14" i="17" s="1"/>
  <c r="I14" i="17" s="1"/>
  <c r="H13" i="17"/>
  <c r="C13" i="17"/>
  <c r="H12" i="17"/>
  <c r="I12" i="17" s="1"/>
  <c r="E11" i="17"/>
  <c r="D11" i="17"/>
  <c r="C11" i="17"/>
  <c r="N10" i="17"/>
  <c r="H10" i="17"/>
  <c r="I10" i="17" s="1"/>
  <c r="H9" i="17"/>
  <c r="I9" i="17" s="1"/>
  <c r="G8" i="17"/>
  <c r="D8" i="17"/>
  <c r="C8" i="17"/>
  <c r="H7" i="17"/>
  <c r="I7" i="17" s="1"/>
  <c r="H6" i="17"/>
  <c r="C6" i="17"/>
  <c r="I6" i="17" s="1"/>
  <c r="N5" i="17"/>
  <c r="E5" i="17"/>
  <c r="H5" i="17" s="1"/>
  <c r="C5" i="17"/>
  <c r="G4" i="17"/>
  <c r="E4" i="17"/>
  <c r="D4" i="17"/>
  <c r="C4" i="17"/>
  <c r="N48" i="17"/>
  <c r="J64" i="39"/>
  <c r="G53" i="28"/>
  <c r="G47" i="28"/>
  <c r="G21" i="28"/>
  <c r="G17" i="28"/>
  <c r="G7" i="28"/>
  <c r="I116" i="39"/>
  <c r="J56" i="39"/>
  <c r="I56" i="39"/>
  <c r="J41" i="39"/>
  <c r="I41" i="39"/>
  <c r="J16" i="39"/>
  <c r="I16" i="39"/>
  <c r="J13" i="39"/>
  <c r="I13" i="39"/>
  <c r="J5" i="39"/>
  <c r="J9" i="39"/>
  <c r="I9" i="39"/>
  <c r="I5" i="39"/>
  <c r="I116" i="38"/>
  <c r="I56" i="38"/>
  <c r="I41" i="38"/>
  <c r="I16" i="38"/>
  <c r="I13" i="38"/>
  <c r="I9" i="38"/>
  <c r="I5" i="38"/>
  <c r="O11" i="28"/>
  <c r="I17" i="17" l="1"/>
  <c r="H4" i="17"/>
  <c r="H28" i="17" s="1"/>
  <c r="I28" i="17" s="1"/>
  <c r="I5" i="17"/>
  <c r="N15" i="17"/>
  <c r="H27" i="17"/>
  <c r="E28" i="17"/>
  <c r="E30" i="17" s="1"/>
  <c r="H11" i="17"/>
  <c r="I11" i="17" s="1"/>
  <c r="I13" i="17"/>
  <c r="I18" i="17"/>
  <c r="I27" i="17"/>
  <c r="N22" i="17"/>
  <c r="G28" i="17"/>
  <c r="G30" i="17" s="1"/>
  <c r="C28" i="17"/>
  <c r="H8" i="17"/>
  <c r="L218" i="41"/>
  <c r="W218" i="41" s="1"/>
  <c r="W215" i="41"/>
  <c r="E81" i="40"/>
  <c r="N32" i="40"/>
  <c r="C12" i="40"/>
  <c r="C68" i="40" s="1"/>
  <c r="C75" i="40" s="1"/>
  <c r="C203" i="40" s="1"/>
  <c r="C214" i="40" s="1"/>
  <c r="C217" i="40" s="1"/>
  <c r="H43" i="40"/>
  <c r="E43" i="40"/>
  <c r="G4" i="40"/>
  <c r="H4" i="40"/>
  <c r="R17" i="40"/>
  <c r="I12" i="40"/>
  <c r="L43" i="40"/>
  <c r="M50" i="40"/>
  <c r="D92" i="40"/>
  <c r="K135" i="40"/>
  <c r="K117" i="40"/>
  <c r="M87" i="40"/>
  <c r="K211" i="40"/>
  <c r="M10" i="40"/>
  <c r="M112" i="40"/>
  <c r="Q17" i="40"/>
  <c r="H12" i="40"/>
  <c r="E12" i="40"/>
  <c r="T32" i="40"/>
  <c r="O31" i="40"/>
  <c r="S31" i="40"/>
  <c r="P31" i="40"/>
  <c r="M33" i="40"/>
  <c r="I72" i="40"/>
  <c r="I74" i="40" s="1"/>
  <c r="T73" i="40"/>
  <c r="E97" i="40"/>
  <c r="I97" i="40"/>
  <c r="D111" i="40"/>
  <c r="H111" i="40"/>
  <c r="M135" i="40"/>
  <c r="D143" i="40"/>
  <c r="R157" i="40"/>
  <c r="D151" i="40"/>
  <c r="S157" i="40"/>
  <c r="F158" i="40"/>
  <c r="P161" i="40"/>
  <c r="T161" i="40"/>
  <c r="G158" i="40"/>
  <c r="D211" i="40"/>
  <c r="I188" i="40"/>
  <c r="I209" i="40" s="1"/>
  <c r="S192" i="40"/>
  <c r="K142" i="40"/>
  <c r="K134" i="40"/>
  <c r="K140" i="40" s="1"/>
  <c r="K97" i="40"/>
  <c r="M97" i="40" s="1"/>
  <c r="U73" i="40"/>
  <c r="M70" i="40"/>
  <c r="M102" i="40"/>
  <c r="G102" i="40"/>
  <c r="G133" i="40" s="1"/>
  <c r="E111" i="40"/>
  <c r="E133" i="40" s="1"/>
  <c r="I111" i="40"/>
  <c r="F117" i="40"/>
  <c r="G127" i="40"/>
  <c r="H151" i="40"/>
  <c r="H206" i="40" s="1"/>
  <c r="D158" i="40"/>
  <c r="H158" i="40"/>
  <c r="S158" i="40" s="1"/>
  <c r="U194" i="40"/>
  <c r="K102" i="40"/>
  <c r="K92" i="40"/>
  <c r="K158" i="40"/>
  <c r="M158" i="40" s="1"/>
  <c r="M69" i="40"/>
  <c r="M88" i="40"/>
  <c r="M83" i="40"/>
  <c r="F4" i="40"/>
  <c r="J4" i="40"/>
  <c r="I35" i="40"/>
  <c r="F140" i="40"/>
  <c r="M92" i="40"/>
  <c r="H92" i="40"/>
  <c r="D102" i="40"/>
  <c r="H102" i="40"/>
  <c r="H133" i="40" s="1"/>
  <c r="G117" i="40"/>
  <c r="H127" i="40"/>
  <c r="Q157" i="40"/>
  <c r="I158" i="40"/>
  <c r="I207" i="40" s="1"/>
  <c r="K43" i="40"/>
  <c r="K35" i="40"/>
  <c r="K41" i="40"/>
  <c r="M41" i="40" s="1"/>
  <c r="K12" i="40"/>
  <c r="K127" i="40"/>
  <c r="M127" i="40" s="1"/>
  <c r="K89" i="40"/>
  <c r="M89" i="40" s="1"/>
  <c r="K151" i="40"/>
  <c r="K206" i="40" s="1"/>
  <c r="M118" i="40"/>
  <c r="M103" i="40"/>
  <c r="M98" i="40"/>
  <c r="M162" i="40"/>
  <c r="M152" i="40"/>
  <c r="R217" i="41"/>
  <c r="K217" i="41"/>
  <c r="V217" i="41" s="1"/>
  <c r="V214" i="41"/>
  <c r="U217" i="41"/>
  <c r="H217" i="41"/>
  <c r="S217" i="41" s="1"/>
  <c r="S214" i="41"/>
  <c r="I140" i="40"/>
  <c r="O74" i="40"/>
  <c r="T72" i="40"/>
  <c r="C140" i="40"/>
  <c r="G140" i="40"/>
  <c r="Q72" i="40"/>
  <c r="C133" i="40"/>
  <c r="C143" i="40"/>
  <c r="N143" i="40" s="1"/>
  <c r="G143" i="40"/>
  <c r="U74" i="40"/>
  <c r="M111" i="40"/>
  <c r="U72" i="40"/>
  <c r="U151" i="40"/>
  <c r="M194" i="40"/>
  <c r="M117" i="40"/>
  <c r="L133" i="40"/>
  <c r="M12" i="40"/>
  <c r="G32" i="28"/>
  <c r="G55" i="28" s="1"/>
  <c r="G58" i="28" s="1"/>
  <c r="K133" i="40"/>
  <c r="R188" i="40"/>
  <c r="Q194" i="40"/>
  <c r="D140" i="40"/>
  <c r="N74" i="40"/>
  <c r="J140" i="40"/>
  <c r="H143" i="40"/>
  <c r="R143" i="40" s="1"/>
  <c r="S151" i="40"/>
  <c r="H211" i="40"/>
  <c r="R194" i="40"/>
  <c r="J210" i="40"/>
  <c r="E143" i="40"/>
  <c r="O143" i="40" s="1"/>
  <c r="E68" i="40"/>
  <c r="E75" i="40" s="1"/>
  <c r="N72" i="40"/>
  <c r="N188" i="40"/>
  <c r="N194" i="40"/>
  <c r="P140" i="40"/>
  <c r="O32" i="40"/>
  <c r="L35" i="40"/>
  <c r="M35" i="40" s="1"/>
  <c r="J87" i="40"/>
  <c r="N139" i="40"/>
  <c r="Q31" i="40"/>
  <c r="P32" i="40"/>
  <c r="H35" i="40"/>
  <c r="L72" i="40"/>
  <c r="M72" i="40" s="1"/>
  <c r="N69" i="40"/>
  <c r="P72" i="40"/>
  <c r="J74" i="40"/>
  <c r="T140" i="40"/>
  <c r="S32" i="40"/>
  <c r="J97" i="40"/>
  <c r="N31" i="40"/>
  <c r="R31" i="40"/>
  <c r="Q32" i="40"/>
  <c r="F43" i="40"/>
  <c r="J43" i="40"/>
  <c r="I43" i="40"/>
  <c r="I68" i="40" s="1"/>
  <c r="H135" i="40"/>
  <c r="H140" i="40" s="1"/>
  <c r="H72" i="40"/>
  <c r="O72" i="40"/>
  <c r="J92" i="40"/>
  <c r="J117" i="40"/>
  <c r="G207" i="40"/>
  <c r="Q158" i="40"/>
  <c r="E209" i="40"/>
  <c r="O188" i="40"/>
  <c r="E210" i="40"/>
  <c r="O194" i="40"/>
  <c r="I210" i="40"/>
  <c r="S194" i="40"/>
  <c r="D35" i="40"/>
  <c r="D68" i="40" s="1"/>
  <c r="G35" i="40"/>
  <c r="G68" i="40" s="1"/>
  <c r="E144" i="40"/>
  <c r="I144" i="40"/>
  <c r="J142" i="40"/>
  <c r="J143" i="40" s="1"/>
  <c r="P74" i="40"/>
  <c r="D133" i="40"/>
  <c r="F111" i="40"/>
  <c r="F133" i="40" s="1"/>
  <c r="J111" i="40"/>
  <c r="P151" i="40"/>
  <c r="F206" i="40"/>
  <c r="G74" i="40"/>
  <c r="Q74" i="40" s="1"/>
  <c r="I133" i="40"/>
  <c r="I208" i="40"/>
  <c r="G151" i="40"/>
  <c r="O158" i="40"/>
  <c r="P194" i="40"/>
  <c r="T194" i="40"/>
  <c r="Q140" i="40"/>
  <c r="R73" i="40"/>
  <c r="F143" i="40"/>
  <c r="P143" i="40" s="1"/>
  <c r="G144" i="40"/>
  <c r="C208" i="40"/>
  <c r="F207" i="40"/>
  <c r="P158" i="40"/>
  <c r="R161" i="40"/>
  <c r="R192" i="40"/>
  <c r="F188" i="40"/>
  <c r="J188" i="40"/>
  <c r="U188" i="40" s="1"/>
  <c r="J206" i="40"/>
  <c r="E208" i="40"/>
  <c r="J207" i="40"/>
  <c r="T158" i="40"/>
  <c r="D207" i="40"/>
  <c r="N158" i="40"/>
  <c r="H207" i="40"/>
  <c r="H208" i="40" s="1"/>
  <c r="R158" i="40"/>
  <c r="L188" i="40"/>
  <c r="M188" i="40" s="1"/>
  <c r="C211" i="40"/>
  <c r="L140" i="40"/>
  <c r="L206" i="40"/>
  <c r="L208" i="40" s="1"/>
  <c r="J6" i="17"/>
  <c r="I4" i="17"/>
  <c r="I24" i="17"/>
  <c r="I8" i="17"/>
  <c r="D28" i="17"/>
  <c r="F28" i="17"/>
  <c r="G25" i="28"/>
  <c r="G28" i="28" s="1"/>
  <c r="J116" i="39"/>
  <c r="J114" i="39"/>
  <c r="J113" i="39"/>
  <c r="J112" i="39"/>
  <c r="J103" i="39"/>
  <c r="J100" i="39"/>
  <c r="J93" i="39"/>
  <c r="J91" i="39"/>
  <c r="J82" i="39"/>
  <c r="K28" i="28"/>
  <c r="K34" i="28"/>
  <c r="K33" i="28"/>
  <c r="M140" i="40" l="1"/>
  <c r="U140" i="40"/>
  <c r="M151" i="40"/>
  <c r="M134" i="40"/>
  <c r="K68" i="40"/>
  <c r="K75" i="40" s="1"/>
  <c r="W217" i="41"/>
  <c r="D206" i="40"/>
  <c r="N151" i="40"/>
  <c r="M43" i="40"/>
  <c r="U158" i="40"/>
  <c r="K207" i="40"/>
  <c r="K208" i="40" s="1"/>
  <c r="S188" i="40"/>
  <c r="D208" i="40"/>
  <c r="O151" i="40"/>
  <c r="F68" i="40"/>
  <c r="T74" i="40"/>
  <c r="H68" i="40"/>
  <c r="R68" i="40" s="1"/>
  <c r="M142" i="40"/>
  <c r="K143" i="40"/>
  <c r="U143" i="40" s="1"/>
  <c r="T217" i="41"/>
  <c r="C144" i="40"/>
  <c r="C145" i="40" s="1"/>
  <c r="C204" i="40" s="1"/>
  <c r="I211" i="40"/>
  <c r="J208" i="40"/>
  <c r="N140" i="40"/>
  <c r="M133" i="40"/>
  <c r="G59" i="28"/>
  <c r="D144" i="40"/>
  <c r="N144" i="40" s="1"/>
  <c r="J133" i="40"/>
  <c r="U133" i="40" s="1"/>
  <c r="O140" i="40"/>
  <c r="S143" i="40"/>
  <c r="O144" i="40"/>
  <c r="E211" i="40"/>
  <c r="G75" i="40"/>
  <c r="Q68" i="40"/>
  <c r="H144" i="40"/>
  <c r="R144" i="40" s="1"/>
  <c r="R140" i="40"/>
  <c r="S140" i="40"/>
  <c r="P133" i="40"/>
  <c r="T143" i="40"/>
  <c r="J144" i="40"/>
  <c r="N68" i="40"/>
  <c r="D75" i="40"/>
  <c r="O75" i="40" s="1"/>
  <c r="O68" i="40"/>
  <c r="F75" i="40"/>
  <c r="P68" i="40"/>
  <c r="F209" i="40"/>
  <c r="F211" i="40" s="1"/>
  <c r="Q188" i="40"/>
  <c r="P188" i="40"/>
  <c r="I75" i="40"/>
  <c r="N133" i="40"/>
  <c r="Q133" i="40"/>
  <c r="G145" i="40"/>
  <c r="L74" i="40"/>
  <c r="M74" i="40" s="1"/>
  <c r="L68" i="40"/>
  <c r="J68" i="40"/>
  <c r="U68" i="40" s="1"/>
  <c r="E203" i="40"/>
  <c r="H74" i="40"/>
  <c r="R72" i="40"/>
  <c r="S72" i="40"/>
  <c r="L209" i="40"/>
  <c r="L211" i="40" s="1"/>
  <c r="J209" i="40"/>
  <c r="J211" i="40" s="1"/>
  <c r="T188" i="40"/>
  <c r="Q151" i="40"/>
  <c r="G206" i="40"/>
  <c r="G208" i="40" s="1"/>
  <c r="R151" i="40"/>
  <c r="I145" i="40"/>
  <c r="S133" i="40"/>
  <c r="Q143" i="40"/>
  <c r="R133" i="40"/>
  <c r="L144" i="40"/>
  <c r="E145" i="40"/>
  <c r="O133" i="40"/>
  <c r="F208" i="40"/>
  <c r="F144" i="40"/>
  <c r="P144" i="40" s="1"/>
  <c r="L189" i="39"/>
  <c r="L192" i="39"/>
  <c r="L193" i="39"/>
  <c r="L195" i="39"/>
  <c r="L196" i="39"/>
  <c r="L197" i="39"/>
  <c r="L154" i="39"/>
  <c r="L162" i="39"/>
  <c r="L164" i="39"/>
  <c r="L167" i="39"/>
  <c r="L170" i="39"/>
  <c r="L171" i="39"/>
  <c r="L174" i="39"/>
  <c r="L175" i="39"/>
  <c r="L176" i="39"/>
  <c r="L177" i="39"/>
  <c r="L178" i="39"/>
  <c r="L180" i="39"/>
  <c r="L82" i="39"/>
  <c r="L85" i="39"/>
  <c r="L91" i="39"/>
  <c r="L93" i="39"/>
  <c r="L94" i="39"/>
  <c r="L98" i="39"/>
  <c r="L100" i="39"/>
  <c r="L101" i="39"/>
  <c r="L103" i="39"/>
  <c r="L107" i="39"/>
  <c r="L108" i="39"/>
  <c r="L110" i="39"/>
  <c r="L112" i="39"/>
  <c r="L113" i="39"/>
  <c r="L114" i="39"/>
  <c r="L115" i="39"/>
  <c r="L116" i="39"/>
  <c r="L119" i="39"/>
  <c r="L121" i="39"/>
  <c r="L123" i="39"/>
  <c r="L126" i="39"/>
  <c r="L127" i="39"/>
  <c r="L129" i="39"/>
  <c r="L131" i="39"/>
  <c r="L136" i="39"/>
  <c r="L137" i="39"/>
  <c r="L6" i="39"/>
  <c r="L7" i="39"/>
  <c r="L8" i="39"/>
  <c r="L9" i="39"/>
  <c r="L11" i="39"/>
  <c r="L14" i="39"/>
  <c r="L16" i="39"/>
  <c r="L18" i="39"/>
  <c r="L19" i="39"/>
  <c r="L20" i="39"/>
  <c r="L22" i="39"/>
  <c r="L24" i="39"/>
  <c r="L25" i="39"/>
  <c r="L27" i="39"/>
  <c r="L28" i="39"/>
  <c r="L29" i="39"/>
  <c r="L32" i="39"/>
  <c r="L34" i="39"/>
  <c r="L36" i="39"/>
  <c r="L37" i="39"/>
  <c r="L38" i="39"/>
  <c r="L39" i="39"/>
  <c r="L40" i="39"/>
  <c r="L42" i="39"/>
  <c r="L44" i="39"/>
  <c r="L45" i="39"/>
  <c r="L46" i="39"/>
  <c r="L47" i="39"/>
  <c r="L48" i="39"/>
  <c r="L51" i="39"/>
  <c r="L52" i="39"/>
  <c r="L53" i="39"/>
  <c r="L54" i="39"/>
  <c r="L55" i="39"/>
  <c r="L56" i="39"/>
  <c r="L57" i="39"/>
  <c r="L60" i="39"/>
  <c r="L65" i="39"/>
  <c r="L71" i="39"/>
  <c r="L4" i="39"/>
  <c r="S190" i="39"/>
  <c r="S194" i="39"/>
  <c r="J182" i="39"/>
  <c r="L182" i="39" s="1"/>
  <c r="J166" i="39"/>
  <c r="L166" i="39" s="1"/>
  <c r="J209" i="39"/>
  <c r="J211" i="39" s="1"/>
  <c r="J210" i="39"/>
  <c r="J191" i="39"/>
  <c r="J188" i="39" s="1"/>
  <c r="J194" i="39"/>
  <c r="J152" i="39"/>
  <c r="L152" i="39" s="1"/>
  <c r="J153" i="39"/>
  <c r="J154" i="39"/>
  <c r="J155" i="39"/>
  <c r="L155" i="39" s="1"/>
  <c r="J156" i="39"/>
  <c r="L156" i="39" s="1"/>
  <c r="J157" i="39"/>
  <c r="L157" i="39" s="1"/>
  <c r="J159" i="39"/>
  <c r="L159" i="39" s="1"/>
  <c r="J160" i="39"/>
  <c r="L160" i="39" s="1"/>
  <c r="J161" i="39"/>
  <c r="L161" i="39" s="1"/>
  <c r="J162" i="39"/>
  <c r="J163" i="39"/>
  <c r="J165" i="39"/>
  <c r="L165" i="39" s="1"/>
  <c r="J168" i="39"/>
  <c r="L168" i="39" s="1"/>
  <c r="J169" i="39"/>
  <c r="L169" i="39" s="1"/>
  <c r="J172" i="39"/>
  <c r="L172" i="39" s="1"/>
  <c r="J173" i="39"/>
  <c r="L173" i="39" s="1"/>
  <c r="J179" i="39"/>
  <c r="L179" i="39" s="1"/>
  <c r="J181" i="39"/>
  <c r="L181" i="39" s="1"/>
  <c r="J83" i="39"/>
  <c r="L83" i="39" s="1"/>
  <c r="J84" i="39"/>
  <c r="J81" i="39" s="1"/>
  <c r="L81" i="39" s="1"/>
  <c r="J85" i="39"/>
  <c r="J86" i="39"/>
  <c r="L86" i="39" s="1"/>
  <c r="J88" i="39"/>
  <c r="J87" i="39" s="1"/>
  <c r="J90" i="39"/>
  <c r="J89" i="39" s="1"/>
  <c r="L89" i="39" s="1"/>
  <c r="J94" i="39"/>
  <c r="J95" i="39"/>
  <c r="L95" i="39" s="1"/>
  <c r="J96" i="39"/>
  <c r="J92" i="39" s="1"/>
  <c r="L92" i="39" s="1"/>
  <c r="J97" i="39"/>
  <c r="J98" i="39"/>
  <c r="J99" i="39"/>
  <c r="L99" i="39" s="1"/>
  <c r="J102" i="39"/>
  <c r="L102" i="39" s="1"/>
  <c r="J104" i="39"/>
  <c r="L104" i="39" s="1"/>
  <c r="J105" i="39"/>
  <c r="L105" i="39" s="1"/>
  <c r="J109" i="39"/>
  <c r="J106" i="39" s="1"/>
  <c r="J111" i="39"/>
  <c r="L111" i="39" s="1"/>
  <c r="J115" i="39"/>
  <c r="L118" i="39"/>
  <c r="J119" i="39"/>
  <c r="J120" i="39"/>
  <c r="L120" i="39" s="1"/>
  <c r="L122" i="39"/>
  <c r="J123" i="39"/>
  <c r="L124" i="39"/>
  <c r="J125" i="39"/>
  <c r="L125" i="39" s="1"/>
  <c r="J128" i="39"/>
  <c r="J127" i="39" s="1"/>
  <c r="J130" i="39"/>
  <c r="L130" i="39" s="1"/>
  <c r="J132" i="39"/>
  <c r="L132" i="39" s="1"/>
  <c r="J134" i="39"/>
  <c r="J140" i="39" s="1"/>
  <c r="J135" i="39"/>
  <c r="J139" i="39"/>
  <c r="J141" i="39"/>
  <c r="J4" i="39"/>
  <c r="J8" i="39"/>
  <c r="J10" i="39"/>
  <c r="L10" i="39" s="1"/>
  <c r="J15" i="39"/>
  <c r="L15" i="39" s="1"/>
  <c r="J17" i="39"/>
  <c r="L17" i="39" s="1"/>
  <c r="J21" i="39"/>
  <c r="L21" i="39" s="1"/>
  <c r="J23" i="39"/>
  <c r="L23" i="39" s="1"/>
  <c r="J26" i="39"/>
  <c r="L26" i="39" s="1"/>
  <c r="J30" i="39"/>
  <c r="L30" i="39" s="1"/>
  <c r="L31" i="39"/>
  <c r="J33" i="39"/>
  <c r="J40" i="39"/>
  <c r="J48" i="39"/>
  <c r="J49" i="39"/>
  <c r="L49" i="39" s="1"/>
  <c r="J58" i="39"/>
  <c r="L58" i="39" s="1"/>
  <c r="J59" i="39"/>
  <c r="J43" i="39" s="1"/>
  <c r="J61" i="39"/>
  <c r="L61" i="39" s="1"/>
  <c r="J62" i="39"/>
  <c r="L62" i="39" s="1"/>
  <c r="J63" i="39"/>
  <c r="L63" i="39" s="1"/>
  <c r="L64" i="39"/>
  <c r="J66" i="39"/>
  <c r="L66" i="39" s="1"/>
  <c r="J67" i="39"/>
  <c r="L67" i="39" s="1"/>
  <c r="J69" i="39"/>
  <c r="J72" i="39" s="1"/>
  <c r="J73" i="39"/>
  <c r="L73" i="39" s="1"/>
  <c r="K45" i="28"/>
  <c r="K39" i="28"/>
  <c r="K26" i="28"/>
  <c r="K15" i="28"/>
  <c r="K11" i="28"/>
  <c r="K7" i="28"/>
  <c r="C66" i="17"/>
  <c r="E66" i="17"/>
  <c r="E50" i="17"/>
  <c r="C50" i="17"/>
  <c r="D66" i="17"/>
  <c r="E65" i="17"/>
  <c r="H65" i="17" s="1"/>
  <c r="C65" i="17"/>
  <c r="H64" i="17"/>
  <c r="I64" i="17" s="1"/>
  <c r="E63" i="17"/>
  <c r="D63" i="17"/>
  <c r="H63" i="17" s="1"/>
  <c r="C63" i="17"/>
  <c r="H62" i="17"/>
  <c r="I62" i="17" s="1"/>
  <c r="H61" i="17"/>
  <c r="I61" i="17" s="1"/>
  <c r="H60" i="17"/>
  <c r="I60" i="17" s="1"/>
  <c r="N59" i="17"/>
  <c r="N60" i="17" s="1"/>
  <c r="H59" i="17"/>
  <c r="I59" i="17" s="1"/>
  <c r="H58" i="17"/>
  <c r="I58" i="17" s="1"/>
  <c r="H57" i="17"/>
  <c r="C57" i="17"/>
  <c r="E56" i="17"/>
  <c r="H56" i="17" s="1"/>
  <c r="C56" i="17"/>
  <c r="H55" i="17"/>
  <c r="I55" i="17" s="1"/>
  <c r="H54" i="17"/>
  <c r="I54" i="17" s="1"/>
  <c r="G53" i="17"/>
  <c r="E53" i="17"/>
  <c r="F52" i="17"/>
  <c r="H52" i="17" s="1"/>
  <c r="I52" i="17" s="1"/>
  <c r="C52" i="17"/>
  <c r="H51" i="17"/>
  <c r="I51" i="17" s="1"/>
  <c r="D50" i="17"/>
  <c r="N49" i="17"/>
  <c r="H49" i="17"/>
  <c r="I49" i="17" s="1"/>
  <c r="H48" i="17"/>
  <c r="I48" i="17" s="1"/>
  <c r="G47" i="17"/>
  <c r="D47" i="17"/>
  <c r="C47" i="17"/>
  <c r="H46" i="17"/>
  <c r="I46" i="17" s="1"/>
  <c r="H45" i="17"/>
  <c r="C45" i="17"/>
  <c r="N44" i="17"/>
  <c r="E44" i="17"/>
  <c r="H44" i="17" s="1"/>
  <c r="C44" i="17"/>
  <c r="G43" i="17"/>
  <c r="E43" i="17"/>
  <c r="D43" i="17"/>
  <c r="C43" i="17"/>
  <c r="H210" i="39"/>
  <c r="K194" i="39"/>
  <c r="L194" i="39" s="1"/>
  <c r="I194" i="39"/>
  <c r="I210" i="39" s="1"/>
  <c r="H194" i="39"/>
  <c r="G194" i="39"/>
  <c r="F194" i="39"/>
  <c r="F210" i="39" s="1"/>
  <c r="E194" i="39"/>
  <c r="E210" i="39" s="1"/>
  <c r="D194" i="39"/>
  <c r="C194" i="39"/>
  <c r="C210" i="39" s="1"/>
  <c r="P192" i="39"/>
  <c r="O192" i="39"/>
  <c r="N192" i="39"/>
  <c r="I191" i="39"/>
  <c r="I188" i="39" s="1"/>
  <c r="I209" i="39" s="1"/>
  <c r="H191" i="39"/>
  <c r="S192" i="39" s="1"/>
  <c r="G191" i="39"/>
  <c r="F191" i="39"/>
  <c r="F188" i="39" s="1"/>
  <c r="R190" i="39"/>
  <c r="Q190" i="39"/>
  <c r="P190" i="39"/>
  <c r="O190" i="39"/>
  <c r="N190" i="39"/>
  <c r="K190" i="39"/>
  <c r="K188" i="39" s="1"/>
  <c r="L188" i="39" s="1"/>
  <c r="H188" i="39"/>
  <c r="H209" i="39" s="1"/>
  <c r="H211" i="39" s="1"/>
  <c r="E188" i="39"/>
  <c r="E209" i="39" s="1"/>
  <c r="D188" i="39"/>
  <c r="C188" i="39"/>
  <c r="C209" i="39" s="1"/>
  <c r="I182" i="39"/>
  <c r="H182" i="39"/>
  <c r="G182" i="39"/>
  <c r="F182" i="39"/>
  <c r="E182" i="39"/>
  <c r="D182" i="39"/>
  <c r="I181" i="39"/>
  <c r="H181" i="39"/>
  <c r="G181" i="39"/>
  <c r="F181" i="39"/>
  <c r="E181" i="39"/>
  <c r="D181" i="39"/>
  <c r="I179" i="39"/>
  <c r="H179" i="39"/>
  <c r="G179" i="39"/>
  <c r="F179" i="39"/>
  <c r="E179" i="39"/>
  <c r="D179" i="39"/>
  <c r="I173" i="39"/>
  <c r="I172" i="39"/>
  <c r="H172" i="39"/>
  <c r="G172" i="39"/>
  <c r="F172" i="39"/>
  <c r="E172" i="39"/>
  <c r="D172" i="39"/>
  <c r="I169" i="39"/>
  <c r="H169" i="39"/>
  <c r="G169" i="39"/>
  <c r="F169" i="39"/>
  <c r="E169" i="39"/>
  <c r="D169" i="39"/>
  <c r="I168" i="39"/>
  <c r="I166" i="39"/>
  <c r="H166" i="39"/>
  <c r="G166" i="39"/>
  <c r="F166" i="39"/>
  <c r="I165" i="39"/>
  <c r="H165" i="39"/>
  <c r="G165" i="39"/>
  <c r="F165" i="39"/>
  <c r="E165" i="39"/>
  <c r="D165" i="39"/>
  <c r="I163" i="39"/>
  <c r="H163" i="39"/>
  <c r="G163" i="39"/>
  <c r="I162" i="39"/>
  <c r="H162" i="39"/>
  <c r="G162" i="39"/>
  <c r="F162" i="39"/>
  <c r="E162" i="39"/>
  <c r="D162" i="39"/>
  <c r="M161" i="39"/>
  <c r="I161" i="39"/>
  <c r="S161" i="39" s="1"/>
  <c r="H161" i="39"/>
  <c r="G161" i="39"/>
  <c r="F161" i="39"/>
  <c r="E161" i="39"/>
  <c r="O161" i="39" s="1"/>
  <c r="D161" i="39"/>
  <c r="I160" i="39"/>
  <c r="H160" i="39"/>
  <c r="G160" i="39"/>
  <c r="F160" i="39"/>
  <c r="E160" i="39"/>
  <c r="I159" i="39"/>
  <c r="H159" i="39"/>
  <c r="G159" i="39"/>
  <c r="F159" i="39"/>
  <c r="E159" i="39"/>
  <c r="D159" i="39"/>
  <c r="N161" i="39" s="1"/>
  <c r="K158" i="39"/>
  <c r="K207" i="39" s="1"/>
  <c r="C158" i="39"/>
  <c r="C207" i="39" s="1"/>
  <c r="M157" i="39"/>
  <c r="I157" i="39"/>
  <c r="H157" i="39"/>
  <c r="G157" i="39"/>
  <c r="F157" i="39"/>
  <c r="I156" i="39"/>
  <c r="H156" i="39"/>
  <c r="G156" i="39"/>
  <c r="F156" i="39"/>
  <c r="E156" i="39"/>
  <c r="D156" i="39"/>
  <c r="I155" i="39"/>
  <c r="H155" i="39"/>
  <c r="G155" i="39"/>
  <c r="F155" i="39"/>
  <c r="F151" i="39" s="1"/>
  <c r="E155" i="39"/>
  <c r="D155" i="39"/>
  <c r="I154" i="39"/>
  <c r="H154" i="39"/>
  <c r="G154" i="39"/>
  <c r="F154" i="39"/>
  <c r="E154" i="39"/>
  <c r="D154" i="39"/>
  <c r="D151" i="39" s="1"/>
  <c r="I153" i="39"/>
  <c r="S157" i="39" s="1"/>
  <c r="H153" i="39"/>
  <c r="G153" i="39"/>
  <c r="I152" i="39"/>
  <c r="H152" i="39"/>
  <c r="G152" i="39"/>
  <c r="F152" i="39"/>
  <c r="K151" i="39"/>
  <c r="K206" i="39" s="1"/>
  <c r="G151" i="39"/>
  <c r="G206" i="39" s="1"/>
  <c r="C151" i="39"/>
  <c r="C206" i="39" s="1"/>
  <c r="K142" i="39"/>
  <c r="I142" i="39"/>
  <c r="G142" i="39"/>
  <c r="F142" i="39"/>
  <c r="E142" i="39"/>
  <c r="D142" i="39"/>
  <c r="C142" i="39"/>
  <c r="K141" i="39"/>
  <c r="L141" i="39" s="1"/>
  <c r="I141" i="39"/>
  <c r="H141" i="39"/>
  <c r="G141" i="39"/>
  <c r="F141" i="39"/>
  <c r="F143" i="39" s="1"/>
  <c r="E141" i="39"/>
  <c r="E143" i="39" s="1"/>
  <c r="D141" i="39"/>
  <c r="C141" i="39"/>
  <c r="I139" i="39"/>
  <c r="H139" i="39"/>
  <c r="G139" i="39"/>
  <c r="F139" i="39"/>
  <c r="E139" i="39"/>
  <c r="D139" i="39"/>
  <c r="C139" i="39"/>
  <c r="K138" i="39"/>
  <c r="L138" i="39" s="1"/>
  <c r="K136" i="39"/>
  <c r="G135" i="39"/>
  <c r="F135" i="39"/>
  <c r="E135" i="39"/>
  <c r="D135" i="39"/>
  <c r="C135" i="39"/>
  <c r="K134" i="39"/>
  <c r="L134" i="39" s="1"/>
  <c r="I132" i="39"/>
  <c r="I127" i="39" s="1"/>
  <c r="H132" i="39"/>
  <c r="G132" i="39"/>
  <c r="F132" i="39"/>
  <c r="E132" i="39"/>
  <c r="H130" i="39"/>
  <c r="G130" i="39"/>
  <c r="F130" i="39"/>
  <c r="E130" i="39"/>
  <c r="I128" i="39"/>
  <c r="H128" i="39"/>
  <c r="G128" i="39"/>
  <c r="G127" i="39" s="1"/>
  <c r="F128" i="39"/>
  <c r="E128" i="39"/>
  <c r="D128" i="39"/>
  <c r="K127" i="39"/>
  <c r="D127" i="39"/>
  <c r="C127" i="39"/>
  <c r="I125" i="39"/>
  <c r="H125" i="39"/>
  <c r="G125" i="39"/>
  <c r="F125" i="39"/>
  <c r="E125" i="39"/>
  <c r="H124" i="39"/>
  <c r="G124" i="39"/>
  <c r="F124" i="39"/>
  <c r="E124" i="39"/>
  <c r="I123" i="39"/>
  <c r="H123" i="39"/>
  <c r="G123" i="39"/>
  <c r="F123" i="39"/>
  <c r="E123" i="39"/>
  <c r="H122" i="39"/>
  <c r="G122" i="39"/>
  <c r="F122" i="39"/>
  <c r="F117" i="39" s="1"/>
  <c r="E122" i="39"/>
  <c r="I120" i="39"/>
  <c r="I119" i="39"/>
  <c r="I118" i="39"/>
  <c r="I117" i="39" s="1"/>
  <c r="H118" i="39"/>
  <c r="G118" i="39"/>
  <c r="F118" i="39"/>
  <c r="E118" i="39"/>
  <c r="D118" i="39"/>
  <c r="K117" i="39"/>
  <c r="E117" i="39"/>
  <c r="D117" i="39"/>
  <c r="C117" i="39"/>
  <c r="H116" i="39"/>
  <c r="G116" i="39"/>
  <c r="F116" i="39"/>
  <c r="E116" i="39"/>
  <c r="D116" i="39"/>
  <c r="I115" i="39"/>
  <c r="H115" i="39"/>
  <c r="G115" i="39"/>
  <c r="F115" i="39"/>
  <c r="E115" i="39"/>
  <c r="D115" i="39"/>
  <c r="I113" i="39"/>
  <c r="H113" i="39"/>
  <c r="H111" i="39" s="1"/>
  <c r="G113" i="39"/>
  <c r="F113" i="39"/>
  <c r="E113" i="39"/>
  <c r="D113" i="39"/>
  <c r="I112" i="39"/>
  <c r="H112" i="39"/>
  <c r="G112" i="39"/>
  <c r="F112" i="39"/>
  <c r="F111" i="39" s="1"/>
  <c r="E112" i="39"/>
  <c r="D112" i="39"/>
  <c r="K111" i="39"/>
  <c r="E111" i="39"/>
  <c r="C111" i="39"/>
  <c r="I109" i="39"/>
  <c r="I106" i="39" s="1"/>
  <c r="H109" i="39"/>
  <c r="G109" i="39"/>
  <c r="G106" i="39" s="1"/>
  <c r="F109" i="39"/>
  <c r="F106" i="39" s="1"/>
  <c r="E109" i="39"/>
  <c r="E106" i="39" s="1"/>
  <c r="D109" i="39"/>
  <c r="K106" i="39"/>
  <c r="L106" i="39" s="1"/>
  <c r="H106" i="39"/>
  <c r="D106" i="39"/>
  <c r="C106" i="39"/>
  <c r="I105" i="39"/>
  <c r="H105" i="39"/>
  <c r="G105" i="39"/>
  <c r="F105" i="39"/>
  <c r="E105" i="39"/>
  <c r="D105" i="39"/>
  <c r="I104" i="39"/>
  <c r="H104" i="39"/>
  <c r="H102" i="39" s="1"/>
  <c r="G104" i="39"/>
  <c r="F104" i="39"/>
  <c r="E104" i="39"/>
  <c r="D104" i="39"/>
  <c r="D102" i="39" s="1"/>
  <c r="I103" i="39"/>
  <c r="I102" i="39" s="1"/>
  <c r="H103" i="39"/>
  <c r="G103" i="39"/>
  <c r="F103" i="39"/>
  <c r="E103" i="39"/>
  <c r="D103" i="39"/>
  <c r="K102" i="39"/>
  <c r="E102" i="39"/>
  <c r="C102" i="39"/>
  <c r="I99" i="39"/>
  <c r="H99" i="39"/>
  <c r="G99" i="39"/>
  <c r="G97" i="39" s="1"/>
  <c r="F99" i="39"/>
  <c r="E99" i="39"/>
  <c r="D99" i="39"/>
  <c r="I98" i="39"/>
  <c r="H98" i="39"/>
  <c r="H97" i="39" s="1"/>
  <c r="G98" i="39"/>
  <c r="F98" i="39"/>
  <c r="E98" i="39"/>
  <c r="D98" i="39"/>
  <c r="K97" i="39"/>
  <c r="L97" i="39" s="1"/>
  <c r="D97" i="39"/>
  <c r="C97" i="39"/>
  <c r="I96" i="39"/>
  <c r="H96" i="39"/>
  <c r="G96" i="39"/>
  <c r="F96" i="39"/>
  <c r="E96" i="39"/>
  <c r="D96" i="39"/>
  <c r="I95" i="39"/>
  <c r="H95" i="39"/>
  <c r="G95" i="39"/>
  <c r="F95" i="39"/>
  <c r="I94" i="39"/>
  <c r="H94" i="39"/>
  <c r="G94" i="39"/>
  <c r="F94" i="39"/>
  <c r="E94" i="39"/>
  <c r="E92" i="39" s="1"/>
  <c r="D94" i="39"/>
  <c r="D92" i="39" s="1"/>
  <c r="I93" i="39"/>
  <c r="K92" i="39"/>
  <c r="H92" i="39"/>
  <c r="C92" i="39"/>
  <c r="I90" i="39"/>
  <c r="I89" i="39" s="1"/>
  <c r="H90" i="39"/>
  <c r="H89" i="39" s="1"/>
  <c r="G90" i="39"/>
  <c r="G89" i="39" s="1"/>
  <c r="F90" i="39"/>
  <c r="E90" i="39"/>
  <c r="E89" i="39" s="1"/>
  <c r="K89" i="39"/>
  <c r="F89" i="39"/>
  <c r="D89" i="39"/>
  <c r="C89" i="39"/>
  <c r="I88" i="39"/>
  <c r="H88" i="39"/>
  <c r="G88" i="39"/>
  <c r="G87" i="39" s="1"/>
  <c r="F88" i="39"/>
  <c r="E88" i="39"/>
  <c r="D88" i="39"/>
  <c r="K87" i="39"/>
  <c r="L87" i="39" s="1"/>
  <c r="I87" i="39"/>
  <c r="H87" i="39"/>
  <c r="F87" i="39"/>
  <c r="E87" i="39"/>
  <c r="D87" i="39"/>
  <c r="C87" i="39"/>
  <c r="I86" i="39"/>
  <c r="H86" i="39"/>
  <c r="G86" i="39"/>
  <c r="F86" i="39"/>
  <c r="E86" i="39"/>
  <c r="D86" i="39"/>
  <c r="I85" i="39"/>
  <c r="H85" i="39"/>
  <c r="G85" i="39"/>
  <c r="F85" i="39"/>
  <c r="E85" i="39"/>
  <c r="D85" i="39"/>
  <c r="I84" i="39"/>
  <c r="H84" i="39"/>
  <c r="G84" i="39"/>
  <c r="F84" i="39"/>
  <c r="E84" i="39"/>
  <c r="I83" i="39"/>
  <c r="I81" i="39" s="1"/>
  <c r="H83" i="39"/>
  <c r="G83" i="39"/>
  <c r="F83" i="39"/>
  <c r="E83" i="39"/>
  <c r="E81" i="39" s="1"/>
  <c r="D83" i="39"/>
  <c r="I82" i="39"/>
  <c r="H82" i="39"/>
  <c r="G82" i="39"/>
  <c r="F82" i="39"/>
  <c r="E82" i="39"/>
  <c r="D82" i="39"/>
  <c r="K81" i="39"/>
  <c r="C81" i="39"/>
  <c r="P73" i="39"/>
  <c r="O73" i="39"/>
  <c r="N73" i="39"/>
  <c r="M73" i="39"/>
  <c r="I73" i="39"/>
  <c r="H73" i="39"/>
  <c r="H142" i="39" s="1"/>
  <c r="G72" i="39"/>
  <c r="G74" i="39" s="1"/>
  <c r="F72" i="39"/>
  <c r="F74" i="39" s="1"/>
  <c r="E72" i="39"/>
  <c r="E74" i="39" s="1"/>
  <c r="D72" i="39"/>
  <c r="D74" i="39" s="1"/>
  <c r="C72" i="39"/>
  <c r="C74" i="39" s="1"/>
  <c r="K70" i="39"/>
  <c r="K139" i="39" s="1"/>
  <c r="L139" i="39" s="1"/>
  <c r="K69" i="39"/>
  <c r="L69" i="39" s="1"/>
  <c r="I69" i="39"/>
  <c r="I135" i="39" s="1"/>
  <c r="H69" i="39"/>
  <c r="H135" i="39" s="1"/>
  <c r="I67" i="39"/>
  <c r="I134" i="39" s="1"/>
  <c r="H67" i="39"/>
  <c r="G67" i="39"/>
  <c r="G134" i="39" s="1"/>
  <c r="F67" i="39"/>
  <c r="F134" i="39" s="1"/>
  <c r="E67" i="39"/>
  <c r="E134" i="39" s="1"/>
  <c r="D67" i="39"/>
  <c r="D134" i="39" s="1"/>
  <c r="D140" i="39" s="1"/>
  <c r="C67" i="39"/>
  <c r="C134" i="39" s="1"/>
  <c r="I66" i="39"/>
  <c r="H66" i="39"/>
  <c r="G66" i="39"/>
  <c r="F66" i="39"/>
  <c r="E66" i="39"/>
  <c r="D66" i="39"/>
  <c r="I64" i="39"/>
  <c r="H64" i="39"/>
  <c r="G64" i="39"/>
  <c r="F64" i="39"/>
  <c r="E64" i="39"/>
  <c r="D64" i="39"/>
  <c r="I63" i="39"/>
  <c r="H63" i="39"/>
  <c r="G63" i="39"/>
  <c r="F63" i="39"/>
  <c r="E63" i="39"/>
  <c r="D63" i="39"/>
  <c r="I62" i="39"/>
  <c r="H62" i="39"/>
  <c r="G62" i="39"/>
  <c r="F62" i="39"/>
  <c r="E62" i="39"/>
  <c r="D62" i="39"/>
  <c r="I61" i="39"/>
  <c r="H61" i="39"/>
  <c r="G61" i="39"/>
  <c r="F61" i="39"/>
  <c r="E61" i="39"/>
  <c r="D61" i="39"/>
  <c r="I59" i="39"/>
  <c r="H59" i="39"/>
  <c r="G59" i="39"/>
  <c r="F59" i="39"/>
  <c r="I58" i="39"/>
  <c r="H58" i="39"/>
  <c r="G58" i="39"/>
  <c r="F58" i="39"/>
  <c r="K50" i="39"/>
  <c r="K43" i="39" s="1"/>
  <c r="L43" i="39" s="1"/>
  <c r="I49" i="39"/>
  <c r="H49" i="39"/>
  <c r="I48" i="39"/>
  <c r="H48" i="39"/>
  <c r="G48" i="39"/>
  <c r="F48" i="39"/>
  <c r="E48" i="39"/>
  <c r="D48" i="39"/>
  <c r="K41" i="39"/>
  <c r="L41" i="39" s="1"/>
  <c r="C41" i="39"/>
  <c r="C35" i="39" s="1"/>
  <c r="I40" i="39"/>
  <c r="I35" i="39" s="1"/>
  <c r="H40" i="39"/>
  <c r="H41" i="39" s="1"/>
  <c r="G40" i="39"/>
  <c r="G41" i="39" s="1"/>
  <c r="F40" i="39"/>
  <c r="F41" i="39" s="1"/>
  <c r="F35" i="39" s="1"/>
  <c r="E40" i="39"/>
  <c r="E41" i="39" s="1"/>
  <c r="E35" i="39" s="1"/>
  <c r="D40" i="39"/>
  <c r="D41" i="39" s="1"/>
  <c r="D35" i="39" s="1"/>
  <c r="K35" i="39"/>
  <c r="K33" i="39"/>
  <c r="L33" i="39" s="1"/>
  <c r="I33" i="39"/>
  <c r="H33" i="39"/>
  <c r="G33" i="39"/>
  <c r="F33" i="39"/>
  <c r="E33" i="39"/>
  <c r="D33" i="39"/>
  <c r="C33" i="39"/>
  <c r="T32" i="39"/>
  <c r="T31" i="39"/>
  <c r="H31" i="39"/>
  <c r="I30" i="39"/>
  <c r="H30" i="39"/>
  <c r="H28" i="39"/>
  <c r="I26" i="39"/>
  <c r="H26" i="39"/>
  <c r="G26" i="39"/>
  <c r="F26" i="39"/>
  <c r="E26" i="39"/>
  <c r="D26" i="39"/>
  <c r="N31" i="39" s="1"/>
  <c r="C26" i="39"/>
  <c r="M32" i="39" s="1"/>
  <c r="I23" i="39"/>
  <c r="H23" i="39"/>
  <c r="G23" i="39"/>
  <c r="F23" i="39"/>
  <c r="I21" i="39"/>
  <c r="H21" i="39"/>
  <c r="G21" i="39"/>
  <c r="Q31" i="39" s="1"/>
  <c r="F21" i="39"/>
  <c r="P32" i="39" s="1"/>
  <c r="E21" i="39"/>
  <c r="O31" i="39" s="1"/>
  <c r="D21" i="39"/>
  <c r="T17" i="39"/>
  <c r="M17" i="39"/>
  <c r="I17" i="39"/>
  <c r="H17" i="39"/>
  <c r="G17" i="39"/>
  <c r="F17" i="39"/>
  <c r="H16" i="39"/>
  <c r="G16" i="39"/>
  <c r="F16" i="39"/>
  <c r="E16" i="39"/>
  <c r="D16" i="39"/>
  <c r="N17" i="39" s="1"/>
  <c r="I15" i="39"/>
  <c r="H15" i="39"/>
  <c r="G15" i="39"/>
  <c r="F15" i="39"/>
  <c r="E15" i="39"/>
  <c r="H13" i="39"/>
  <c r="R17" i="39" s="1"/>
  <c r="G13" i="39"/>
  <c r="F13" i="39"/>
  <c r="P17" i="39" s="1"/>
  <c r="E13" i="39"/>
  <c r="K12" i="39"/>
  <c r="I10" i="39"/>
  <c r="I4" i="39" s="1"/>
  <c r="H10" i="39"/>
  <c r="G10" i="39"/>
  <c r="F10" i="39"/>
  <c r="I8" i="39"/>
  <c r="H8" i="39"/>
  <c r="G8" i="39"/>
  <c r="F8" i="39"/>
  <c r="E8" i="39"/>
  <c r="H5" i="39"/>
  <c r="G5" i="39"/>
  <c r="G4" i="39" s="1"/>
  <c r="F5" i="39"/>
  <c r="E5" i="39"/>
  <c r="D5" i="39"/>
  <c r="K4" i="39"/>
  <c r="F4" i="39"/>
  <c r="D4" i="39"/>
  <c r="C4" i="39"/>
  <c r="C67" i="17" l="1"/>
  <c r="H43" i="17"/>
  <c r="I43" i="17" s="1"/>
  <c r="I44" i="17"/>
  <c r="I57" i="17"/>
  <c r="H66" i="17"/>
  <c r="I66" i="17" s="1"/>
  <c r="N54" i="17"/>
  <c r="N61" i="17" s="1"/>
  <c r="I45" i="17"/>
  <c r="H47" i="17"/>
  <c r="H50" i="17"/>
  <c r="M68" i="40"/>
  <c r="S144" i="40"/>
  <c r="S68" i="40"/>
  <c r="H145" i="40"/>
  <c r="S145" i="40" s="1"/>
  <c r="M143" i="40"/>
  <c r="K144" i="40"/>
  <c r="K145" i="40" s="1"/>
  <c r="C215" i="40"/>
  <c r="C218" i="40" s="1"/>
  <c r="C205" i="40"/>
  <c r="C212" i="40" s="1"/>
  <c r="T144" i="40"/>
  <c r="U144" i="40"/>
  <c r="D145" i="40"/>
  <c r="N145" i="40" s="1"/>
  <c r="K203" i="40"/>
  <c r="K214" i="40" s="1"/>
  <c r="K217" i="40" s="1"/>
  <c r="T133" i="40"/>
  <c r="K204" i="40"/>
  <c r="K215" i="40" s="1"/>
  <c r="K218" i="40" s="1"/>
  <c r="J145" i="40"/>
  <c r="U145" i="40" s="1"/>
  <c r="Q144" i="40"/>
  <c r="E204" i="40"/>
  <c r="E215" i="40" s="1"/>
  <c r="O145" i="40"/>
  <c r="L145" i="40"/>
  <c r="M145" i="40" s="1"/>
  <c r="E214" i="40"/>
  <c r="D204" i="40"/>
  <c r="D215" i="40" s="1"/>
  <c r="I204" i="40"/>
  <c r="I215" i="40" s="1"/>
  <c r="L75" i="40"/>
  <c r="M75" i="40" s="1"/>
  <c r="J204" i="40"/>
  <c r="J215" i="40" s="1"/>
  <c r="F203" i="40"/>
  <c r="P75" i="40"/>
  <c r="F145" i="40"/>
  <c r="D203" i="40"/>
  <c r="N75" i="40"/>
  <c r="R74" i="40"/>
  <c r="S74" i="40"/>
  <c r="J75" i="40"/>
  <c r="U75" i="40" s="1"/>
  <c r="T68" i="40"/>
  <c r="G204" i="40"/>
  <c r="G215" i="40" s="1"/>
  <c r="Q145" i="40"/>
  <c r="I203" i="40"/>
  <c r="H75" i="40"/>
  <c r="G203" i="40"/>
  <c r="Q75" i="40"/>
  <c r="E67" i="17"/>
  <c r="E69" i="17" s="1"/>
  <c r="I63" i="17"/>
  <c r="G67" i="17"/>
  <c r="G69" i="17" s="1"/>
  <c r="I56" i="17"/>
  <c r="I65" i="17"/>
  <c r="H53" i="17"/>
  <c r="I53" i="17" s="1"/>
  <c r="S188" i="39"/>
  <c r="I43" i="39"/>
  <c r="J12" i="39"/>
  <c r="L12" i="39" s="1"/>
  <c r="J142" i="39"/>
  <c r="L142" i="39" s="1"/>
  <c r="S73" i="39"/>
  <c r="D12" i="39"/>
  <c r="N32" i="39"/>
  <c r="P31" i="39"/>
  <c r="F43" i="39"/>
  <c r="I140" i="39"/>
  <c r="S140" i="39" s="1"/>
  <c r="R73" i="39"/>
  <c r="C133" i="39"/>
  <c r="F92" i="39"/>
  <c r="F97" i="39"/>
  <c r="G102" i="39"/>
  <c r="I111" i="39"/>
  <c r="E127" i="39"/>
  <c r="H127" i="39"/>
  <c r="I151" i="39"/>
  <c r="D158" i="39"/>
  <c r="E158" i="39"/>
  <c r="I158" i="39"/>
  <c r="M194" i="39"/>
  <c r="Q194" i="39"/>
  <c r="J74" i="39"/>
  <c r="J35" i="39"/>
  <c r="L35" i="39" s="1"/>
  <c r="J143" i="39"/>
  <c r="L59" i="39"/>
  <c r="L109" i="39"/>
  <c r="L88" i="39"/>
  <c r="L84" i="39"/>
  <c r="L191" i="39"/>
  <c r="D143" i="39"/>
  <c r="M143" i="39" s="1"/>
  <c r="J144" i="39"/>
  <c r="J151" i="39"/>
  <c r="L151" i="39" s="1"/>
  <c r="H12" i="39"/>
  <c r="F12" i="39"/>
  <c r="F68" i="39" s="1"/>
  <c r="C43" i="39"/>
  <c r="E43" i="39"/>
  <c r="F140" i="39"/>
  <c r="Q73" i="39"/>
  <c r="D81" i="39"/>
  <c r="I92" i="39"/>
  <c r="G92" i="39"/>
  <c r="E97" i="39"/>
  <c r="I97" i="39"/>
  <c r="F102" i="39"/>
  <c r="G117" i="39"/>
  <c r="C208" i="39"/>
  <c r="N157" i="39"/>
  <c r="R157" i="39"/>
  <c r="Q161" i="39"/>
  <c r="J117" i="39"/>
  <c r="L117" i="39" s="1"/>
  <c r="L70" i="39"/>
  <c r="L50" i="39"/>
  <c r="L96" i="39"/>
  <c r="L190" i="39"/>
  <c r="E4" i="39"/>
  <c r="G43" i="39"/>
  <c r="D43" i="39"/>
  <c r="I72" i="39"/>
  <c r="I74" i="39" s="1"/>
  <c r="G81" i="39"/>
  <c r="F127" i="39"/>
  <c r="C143" i="39"/>
  <c r="G143" i="39"/>
  <c r="P157" i="39"/>
  <c r="Q192" i="39"/>
  <c r="J158" i="39"/>
  <c r="L13" i="39"/>
  <c r="L5" i="39"/>
  <c r="L128" i="39"/>
  <c r="L90" i="39"/>
  <c r="K47" i="28"/>
  <c r="K50" i="28" s="1"/>
  <c r="E140" i="39"/>
  <c r="O140" i="39" s="1"/>
  <c r="M74" i="39"/>
  <c r="C211" i="39"/>
  <c r="I211" i="39"/>
  <c r="D68" i="39"/>
  <c r="D75" i="39" s="1"/>
  <c r="N72" i="39"/>
  <c r="O143" i="39"/>
  <c r="M188" i="39"/>
  <c r="N188" i="39"/>
  <c r="P194" i="39"/>
  <c r="O194" i="39"/>
  <c r="D210" i="39"/>
  <c r="O74" i="39"/>
  <c r="M151" i="39"/>
  <c r="E211" i="39"/>
  <c r="R188" i="39"/>
  <c r="D209" i="39"/>
  <c r="D211" i="39" s="1"/>
  <c r="G210" i="39"/>
  <c r="K19" i="28"/>
  <c r="K22" i="28" s="1"/>
  <c r="J45" i="17"/>
  <c r="I47" i="17"/>
  <c r="I50" i="17"/>
  <c r="F67" i="17"/>
  <c r="D67" i="17"/>
  <c r="R31" i="39"/>
  <c r="O32" i="39"/>
  <c r="G35" i="39"/>
  <c r="H35" i="39"/>
  <c r="F144" i="39"/>
  <c r="H81" i="39"/>
  <c r="Q17" i="39"/>
  <c r="G12" i="39"/>
  <c r="I207" i="39"/>
  <c r="E12" i="39"/>
  <c r="E68" i="39" s="1"/>
  <c r="O17" i="39"/>
  <c r="Q32" i="39"/>
  <c r="E133" i="39"/>
  <c r="G111" i="39"/>
  <c r="G133" i="39" s="1"/>
  <c r="N74" i="39"/>
  <c r="I133" i="39"/>
  <c r="E207" i="39"/>
  <c r="N158" i="39"/>
  <c r="I12" i="39"/>
  <c r="I68" i="39" s="1"/>
  <c r="S17" i="39"/>
  <c r="S31" i="39"/>
  <c r="K68" i="39"/>
  <c r="M31" i="39"/>
  <c r="C12" i="39"/>
  <c r="C68" i="39" s="1"/>
  <c r="S32" i="39"/>
  <c r="H43" i="39"/>
  <c r="H134" i="39"/>
  <c r="H140" i="39" s="1"/>
  <c r="K135" i="39"/>
  <c r="L135" i="39" s="1"/>
  <c r="M69" i="39"/>
  <c r="K72" i="39"/>
  <c r="L72" i="39" s="1"/>
  <c r="P74" i="39"/>
  <c r="F81" i="39"/>
  <c r="F209" i="39"/>
  <c r="F211" i="39" s="1"/>
  <c r="O188" i="39"/>
  <c r="R32" i="39"/>
  <c r="O72" i="39"/>
  <c r="D111" i="39"/>
  <c r="D133" i="39" s="1"/>
  <c r="I143" i="39"/>
  <c r="P151" i="39"/>
  <c r="F158" i="39"/>
  <c r="P161" i="39"/>
  <c r="G188" i="39"/>
  <c r="Q188" i="39" s="1"/>
  <c r="R192" i="39"/>
  <c r="P72" i="39"/>
  <c r="K143" i="39"/>
  <c r="L143" i="39" s="1"/>
  <c r="F206" i="39"/>
  <c r="D206" i="39"/>
  <c r="H4" i="39"/>
  <c r="C140" i="39"/>
  <c r="C144" i="39" s="1"/>
  <c r="C145" i="39" s="1"/>
  <c r="C204" i="39" s="1"/>
  <c r="C215" i="39" s="1"/>
  <c r="C218" i="39" s="1"/>
  <c r="G140" i="39"/>
  <c r="H72" i="39"/>
  <c r="M72" i="39"/>
  <c r="K133" i="39"/>
  <c r="H117" i="39"/>
  <c r="K140" i="39"/>
  <c r="L140" i="39" s="1"/>
  <c r="P143" i="39"/>
  <c r="H143" i="39"/>
  <c r="K208" i="39"/>
  <c r="Q157" i="39"/>
  <c r="E151" i="39"/>
  <c r="O151" i="39" s="1"/>
  <c r="O157" i="39"/>
  <c r="I206" i="39"/>
  <c r="H158" i="39"/>
  <c r="R161" i="39"/>
  <c r="K209" i="39"/>
  <c r="K210" i="39"/>
  <c r="G158" i="39"/>
  <c r="N194" i="39"/>
  <c r="R194" i="39"/>
  <c r="H151" i="39"/>
  <c r="I169" i="38"/>
  <c r="N92" i="17"/>
  <c r="E92" i="17"/>
  <c r="O22" i="28"/>
  <c r="J194" i="38"/>
  <c r="J190" i="38"/>
  <c r="J188" i="38" s="1"/>
  <c r="J158" i="38"/>
  <c r="J151" i="38"/>
  <c r="J142" i="38"/>
  <c r="J141" i="38"/>
  <c r="J143" i="38" s="1"/>
  <c r="J139" i="38"/>
  <c r="J138" i="38"/>
  <c r="J136" i="38"/>
  <c r="J135" i="38"/>
  <c r="J134" i="38"/>
  <c r="J140" i="38" s="1"/>
  <c r="J144" i="38" s="1"/>
  <c r="J127" i="38"/>
  <c r="J133" i="38" s="1"/>
  <c r="J117" i="38"/>
  <c r="J111" i="38"/>
  <c r="J106" i="38"/>
  <c r="J102" i="38"/>
  <c r="J97" i="38"/>
  <c r="J92" i="38"/>
  <c r="J89" i="38"/>
  <c r="J87" i="38"/>
  <c r="J81" i="38"/>
  <c r="J72" i="38"/>
  <c r="J74" i="38" s="1"/>
  <c r="J70" i="38"/>
  <c r="J69" i="38"/>
  <c r="J50" i="38"/>
  <c r="J41" i="38"/>
  <c r="J4" i="38"/>
  <c r="J12" i="38"/>
  <c r="J33" i="38"/>
  <c r="J35" i="38"/>
  <c r="J43" i="38"/>
  <c r="H67" i="17" l="1"/>
  <c r="I67" i="17" s="1"/>
  <c r="H204" i="40"/>
  <c r="H215" i="40" s="1"/>
  <c r="R145" i="40"/>
  <c r="M144" i="40"/>
  <c r="U215" i="40"/>
  <c r="T145" i="40"/>
  <c r="K205" i="40"/>
  <c r="K212" i="40" s="1"/>
  <c r="E205" i="40"/>
  <c r="E212" i="40" s="1"/>
  <c r="I214" i="40"/>
  <c r="I205" i="40"/>
  <c r="I212" i="40" s="1"/>
  <c r="J203" i="40"/>
  <c r="T75" i="40"/>
  <c r="D218" i="40"/>
  <c r="N218" i="40" s="1"/>
  <c r="N215" i="40"/>
  <c r="L204" i="40"/>
  <c r="L215" i="40" s="1"/>
  <c r="L218" i="40" s="1"/>
  <c r="G205" i="40"/>
  <c r="G212" i="40" s="1"/>
  <c r="G214" i="40"/>
  <c r="F214" i="40"/>
  <c r="L203" i="40"/>
  <c r="H203" i="40"/>
  <c r="R75" i="40"/>
  <c r="G218" i="40"/>
  <c r="D214" i="40"/>
  <c r="D205" i="40"/>
  <c r="D212" i="40" s="1"/>
  <c r="S75" i="40"/>
  <c r="H218" i="40"/>
  <c r="R215" i="40"/>
  <c r="F204" i="40"/>
  <c r="F215" i="40" s="1"/>
  <c r="P145" i="40"/>
  <c r="J218" i="40"/>
  <c r="U218" i="40" s="1"/>
  <c r="T215" i="40"/>
  <c r="I218" i="40"/>
  <c r="S218" i="40" s="1"/>
  <c r="S215" i="40"/>
  <c r="E217" i="40"/>
  <c r="O214" i="40"/>
  <c r="E218" i="40"/>
  <c r="O215" i="40"/>
  <c r="N140" i="39"/>
  <c r="D144" i="39"/>
  <c r="M144" i="39" s="1"/>
  <c r="J68" i="39"/>
  <c r="S158" i="39"/>
  <c r="J207" i="39"/>
  <c r="L158" i="39"/>
  <c r="S74" i="39"/>
  <c r="F133" i="39"/>
  <c r="P133" i="39" s="1"/>
  <c r="R140" i="39"/>
  <c r="E144" i="39"/>
  <c r="J133" i="39"/>
  <c r="J145" i="39" s="1"/>
  <c r="S151" i="39"/>
  <c r="J206" i="39"/>
  <c r="S72" i="39"/>
  <c r="D207" i="39"/>
  <c r="D208" i="39" s="1"/>
  <c r="M158" i="39"/>
  <c r="Q143" i="39"/>
  <c r="N143" i="39"/>
  <c r="L68" i="39"/>
  <c r="S143" i="39"/>
  <c r="K51" i="28"/>
  <c r="G68" i="39"/>
  <c r="R143" i="39"/>
  <c r="E75" i="39"/>
  <c r="N68" i="39"/>
  <c r="C75" i="39"/>
  <c r="C203" i="39" s="1"/>
  <c r="M68" i="39"/>
  <c r="I75" i="39"/>
  <c r="P68" i="39"/>
  <c r="G75" i="39"/>
  <c r="G144" i="39"/>
  <c r="P144" i="39" s="1"/>
  <c r="P140" i="39"/>
  <c r="P188" i="39"/>
  <c r="G209" i="39"/>
  <c r="G211" i="39" s="1"/>
  <c r="K74" i="39"/>
  <c r="L74" i="39" s="1"/>
  <c r="H144" i="39"/>
  <c r="Q140" i="39"/>
  <c r="E145" i="39"/>
  <c r="N133" i="39"/>
  <c r="O68" i="39"/>
  <c r="F75" i="39"/>
  <c r="I144" i="39"/>
  <c r="S144" i="39" s="1"/>
  <c r="D203" i="39"/>
  <c r="Q158" i="39"/>
  <c r="H207" i="39"/>
  <c r="H74" i="39"/>
  <c r="Q72" i="39"/>
  <c r="I208" i="39"/>
  <c r="Q151" i="39"/>
  <c r="H206" i="39"/>
  <c r="G207" i="39"/>
  <c r="G208" i="39" s="1"/>
  <c r="P158" i="39"/>
  <c r="K211" i="39"/>
  <c r="R151" i="39"/>
  <c r="K144" i="39"/>
  <c r="F145" i="39"/>
  <c r="R72" i="39"/>
  <c r="N144" i="39"/>
  <c r="H133" i="39"/>
  <c r="R133" i="39" s="1"/>
  <c r="O144" i="39"/>
  <c r="N151" i="39"/>
  <c r="E206" i="39"/>
  <c r="E208" i="39" s="1"/>
  <c r="D145" i="39"/>
  <c r="M133" i="39"/>
  <c r="H68" i="39"/>
  <c r="R68" i="39" s="1"/>
  <c r="F207" i="39"/>
  <c r="F208" i="39" s="1"/>
  <c r="O158" i="39"/>
  <c r="M139" i="39"/>
  <c r="K75" i="39"/>
  <c r="R158" i="39"/>
  <c r="M140" i="39"/>
  <c r="J68" i="38"/>
  <c r="O218" i="40" l="1"/>
  <c r="R218" i="40"/>
  <c r="F218" i="40"/>
  <c r="P218" i="40" s="1"/>
  <c r="P215" i="40"/>
  <c r="F205" i="40"/>
  <c r="F212" i="40" s="1"/>
  <c r="D217" i="40"/>
  <c r="N217" i="40" s="1"/>
  <c r="N214" i="40"/>
  <c r="H214" i="40"/>
  <c r="H205" i="40"/>
  <c r="H212" i="40" s="1"/>
  <c r="F217" i="40"/>
  <c r="P217" i="40" s="1"/>
  <c r="P214" i="40"/>
  <c r="J214" i="40"/>
  <c r="U214" i="40" s="1"/>
  <c r="J205" i="40"/>
  <c r="J212" i="40" s="1"/>
  <c r="Q214" i="40"/>
  <c r="G217" i="40"/>
  <c r="T218" i="40"/>
  <c r="Q215" i="40"/>
  <c r="L214" i="40"/>
  <c r="L217" i="40" s="1"/>
  <c r="L205" i="40"/>
  <c r="L212" i="40" s="1"/>
  <c r="I217" i="40"/>
  <c r="L133" i="39"/>
  <c r="S133" i="39"/>
  <c r="O133" i="39"/>
  <c r="J75" i="39"/>
  <c r="L75" i="39" s="1"/>
  <c r="S68" i="39"/>
  <c r="K145" i="39"/>
  <c r="L144" i="39"/>
  <c r="Q144" i="39"/>
  <c r="I145" i="39"/>
  <c r="S145" i="39" s="1"/>
  <c r="H208" i="39"/>
  <c r="M75" i="39"/>
  <c r="J208" i="39"/>
  <c r="J204" i="39"/>
  <c r="L145" i="39"/>
  <c r="K204" i="39"/>
  <c r="K215" i="39" s="1"/>
  <c r="K218" i="39" s="1"/>
  <c r="D214" i="39"/>
  <c r="I203" i="39"/>
  <c r="E203" i="39"/>
  <c r="N75" i="39"/>
  <c r="K203" i="39"/>
  <c r="F204" i="39"/>
  <c r="F215" i="39" s="1"/>
  <c r="O145" i="39"/>
  <c r="F203" i="39"/>
  <c r="O75" i="39"/>
  <c r="M145" i="39"/>
  <c r="D204" i="39"/>
  <c r="D215" i="39" s="1"/>
  <c r="Q74" i="39"/>
  <c r="R74" i="39"/>
  <c r="G203" i="39"/>
  <c r="P75" i="39"/>
  <c r="H75" i="39"/>
  <c r="Q68" i="39"/>
  <c r="H145" i="39"/>
  <c r="Q133" i="39"/>
  <c r="I204" i="39"/>
  <c r="I215" i="39" s="1"/>
  <c r="R144" i="39"/>
  <c r="E204" i="39"/>
  <c r="E215" i="39" s="1"/>
  <c r="N145" i="39"/>
  <c r="C214" i="39"/>
  <c r="C217" i="39" s="1"/>
  <c r="C205" i="39"/>
  <c r="C212" i="39" s="1"/>
  <c r="G145" i="39"/>
  <c r="D102" i="17"/>
  <c r="Q218" i="40" l="1"/>
  <c r="O217" i="40"/>
  <c r="H217" i="40"/>
  <c r="R217" i="40" s="1"/>
  <c r="R214" i="40"/>
  <c r="J217" i="40"/>
  <c r="T214" i="40"/>
  <c r="S214" i="40"/>
  <c r="Q217" i="40"/>
  <c r="J203" i="39"/>
  <c r="J214" i="39" s="1"/>
  <c r="S75" i="39"/>
  <c r="J205" i="39"/>
  <c r="J212" i="39" s="1"/>
  <c r="J215" i="39"/>
  <c r="R145" i="39"/>
  <c r="O215" i="39"/>
  <c r="F218" i="39"/>
  <c r="M214" i="39"/>
  <c r="D217" i="39"/>
  <c r="M217" i="39" s="1"/>
  <c r="D205" i="39"/>
  <c r="D212" i="39" s="1"/>
  <c r="Q75" i="39"/>
  <c r="H203" i="39"/>
  <c r="E214" i="39"/>
  <c r="E205" i="39"/>
  <c r="E212" i="39" s="1"/>
  <c r="P145" i="39"/>
  <c r="G204" i="39"/>
  <c r="G215" i="39" s="1"/>
  <c r="N215" i="39"/>
  <c r="E218" i="39"/>
  <c r="R75" i="39"/>
  <c r="D218" i="39"/>
  <c r="M218" i="39" s="1"/>
  <c r="M215" i="39"/>
  <c r="R215" i="39"/>
  <c r="I218" i="39"/>
  <c r="Q145" i="39"/>
  <c r="H204" i="39"/>
  <c r="H215" i="39" s="1"/>
  <c r="G214" i="39"/>
  <c r="F214" i="39"/>
  <c r="F205" i="39"/>
  <c r="F212" i="39" s="1"/>
  <c r="K214" i="39"/>
  <c r="K217" i="39" s="1"/>
  <c r="K205" i="39"/>
  <c r="K212" i="39" s="1"/>
  <c r="I214" i="39"/>
  <c r="I205" i="39"/>
  <c r="I212" i="39" s="1"/>
  <c r="I95" i="38"/>
  <c r="O39" i="28"/>
  <c r="C91" i="17"/>
  <c r="F91" i="17"/>
  <c r="I168" i="38"/>
  <c r="I152" i="38"/>
  <c r="I120" i="38"/>
  <c r="I119" i="38"/>
  <c r="I93" i="38"/>
  <c r="O41" i="28"/>
  <c r="S217" i="40" l="1"/>
  <c r="T217" i="40"/>
  <c r="U217" i="40"/>
  <c r="G205" i="39"/>
  <c r="G212" i="39" s="1"/>
  <c r="J217" i="39"/>
  <c r="S214" i="39"/>
  <c r="J218" i="39"/>
  <c r="S218" i="39" s="1"/>
  <c r="S215" i="39"/>
  <c r="F217" i="39"/>
  <c r="O214" i="39"/>
  <c r="E217" i="39"/>
  <c r="N217" i="39" s="1"/>
  <c r="N214" i="39"/>
  <c r="G218" i="39"/>
  <c r="P218" i="39" s="1"/>
  <c r="P215" i="39"/>
  <c r="H214" i="39"/>
  <c r="H205" i="39"/>
  <c r="H212" i="39" s="1"/>
  <c r="P214" i="39"/>
  <c r="G217" i="39"/>
  <c r="P217" i="39" s="1"/>
  <c r="O218" i="39"/>
  <c r="I217" i="39"/>
  <c r="H218" i="39"/>
  <c r="Q218" i="39" s="1"/>
  <c r="Q215" i="39"/>
  <c r="N218" i="39"/>
  <c r="I182" i="38"/>
  <c r="I179" i="38"/>
  <c r="I160" i="38"/>
  <c r="I154" i="38"/>
  <c r="I156" i="38"/>
  <c r="I155" i="38"/>
  <c r="S217" i="39" l="1"/>
  <c r="Q214" i="39"/>
  <c r="H217" i="39"/>
  <c r="Q217" i="39" s="1"/>
  <c r="R214" i="39"/>
  <c r="R218" i="39"/>
  <c r="O217" i="39"/>
  <c r="E105" i="17"/>
  <c r="D105" i="17"/>
  <c r="E82" i="17"/>
  <c r="D82" i="17"/>
  <c r="G82" i="17"/>
  <c r="O52" i="28"/>
  <c r="E102" i="17"/>
  <c r="C102" i="17"/>
  <c r="C105" i="17"/>
  <c r="H103" i="17"/>
  <c r="I103" i="17" s="1"/>
  <c r="O54" i="28"/>
  <c r="C83" i="17"/>
  <c r="E83" i="17"/>
  <c r="R217" i="39" l="1"/>
  <c r="I159" i="38"/>
  <c r="N130" i="17" l="1"/>
  <c r="E89" i="17"/>
  <c r="C89" i="17"/>
  <c r="O47" i="28"/>
  <c r="C82" i="17"/>
  <c r="I130" i="38" l="1"/>
  <c r="I113" i="38" l="1"/>
  <c r="I181" i="38"/>
  <c r="I173" i="38"/>
  <c r="I166" i="38"/>
  <c r="I61" i="38"/>
  <c r="I67" i="38"/>
  <c r="O19" i="28"/>
  <c r="O38" i="28"/>
  <c r="O16" i="28"/>
  <c r="H116" i="38" l="1"/>
  <c r="H113" i="38"/>
  <c r="H119" i="37"/>
  <c r="H116" i="37"/>
  <c r="G115" i="35"/>
  <c r="G116" i="37"/>
  <c r="G113" i="38"/>
  <c r="S190" i="38" l="1"/>
  <c r="N190" i="38"/>
  <c r="O190" i="38"/>
  <c r="P190" i="38"/>
  <c r="Q190" i="38"/>
  <c r="R190" i="38"/>
  <c r="N192" i="38"/>
  <c r="O192" i="38"/>
  <c r="Q192" i="38"/>
  <c r="N161" i="38"/>
  <c r="L161" i="38"/>
  <c r="I49" i="38"/>
  <c r="H49" i="38"/>
  <c r="K49" i="38" s="1"/>
  <c r="S31" i="38"/>
  <c r="S32" i="38"/>
  <c r="S17" i="38"/>
  <c r="I191" i="38"/>
  <c r="I188" i="38" s="1"/>
  <c r="I209" i="38" s="1"/>
  <c r="I194" i="38"/>
  <c r="I210" i="38" s="1"/>
  <c r="I153" i="38"/>
  <c r="I157" i="38"/>
  <c r="I161" i="38"/>
  <c r="I162" i="38"/>
  <c r="I163" i="38"/>
  <c r="I165" i="38"/>
  <c r="I172" i="38"/>
  <c r="I82" i="38"/>
  <c r="I83" i="38"/>
  <c r="I84" i="38"/>
  <c r="I85" i="38"/>
  <c r="I86" i="38"/>
  <c r="I88" i="38"/>
  <c r="I87" i="38" s="1"/>
  <c r="I90" i="38"/>
  <c r="I89" i="38" s="1"/>
  <c r="I94" i="38"/>
  <c r="I96" i="38"/>
  <c r="I98" i="38"/>
  <c r="I99" i="38"/>
  <c r="I103" i="38"/>
  <c r="I104" i="38"/>
  <c r="I105" i="38"/>
  <c r="I109" i="38"/>
  <c r="I106" i="38" s="1"/>
  <c r="I112" i="38"/>
  <c r="I115" i="38"/>
  <c r="I118" i="38"/>
  <c r="I123" i="38"/>
  <c r="I125" i="38"/>
  <c r="I128" i="38"/>
  <c r="I132" i="38"/>
  <c r="I139" i="38"/>
  <c r="I141" i="38"/>
  <c r="I8" i="38"/>
  <c r="I10" i="38"/>
  <c r="I15" i="38"/>
  <c r="I17" i="38"/>
  <c r="I21" i="38"/>
  <c r="I23" i="38"/>
  <c r="I26" i="38"/>
  <c r="I30" i="38"/>
  <c r="I33" i="38"/>
  <c r="I40" i="38"/>
  <c r="I48" i="38"/>
  <c r="I58" i="38"/>
  <c r="I59" i="38"/>
  <c r="I62" i="38"/>
  <c r="I63" i="38"/>
  <c r="I64" i="38"/>
  <c r="I66" i="38"/>
  <c r="I134" i="38"/>
  <c r="I69" i="38"/>
  <c r="I72" i="38" s="1"/>
  <c r="I73" i="38"/>
  <c r="I142" i="38" s="1"/>
  <c r="K197" i="38"/>
  <c r="K196" i="38"/>
  <c r="K195" i="38"/>
  <c r="J210" i="38"/>
  <c r="H194" i="38"/>
  <c r="H210" i="38" s="1"/>
  <c r="G194" i="38"/>
  <c r="G210" i="38" s="1"/>
  <c r="F194" i="38"/>
  <c r="E194" i="38"/>
  <c r="D194" i="38"/>
  <c r="D210" i="38" s="1"/>
  <c r="C194" i="38"/>
  <c r="C210" i="38" s="1"/>
  <c r="K193" i="38"/>
  <c r="M192" i="38"/>
  <c r="K192" i="38"/>
  <c r="H191" i="38"/>
  <c r="K191" i="38" s="1"/>
  <c r="G191" i="38"/>
  <c r="G188" i="38" s="1"/>
  <c r="F191" i="38"/>
  <c r="F188" i="38" s="1"/>
  <c r="N188" i="38" s="1"/>
  <c r="M190" i="38"/>
  <c r="K190" i="38"/>
  <c r="K189" i="38"/>
  <c r="E188" i="38"/>
  <c r="E209" i="38" s="1"/>
  <c r="D188" i="38"/>
  <c r="C188" i="38"/>
  <c r="C209" i="38" s="1"/>
  <c r="H182" i="38"/>
  <c r="K182" i="38" s="1"/>
  <c r="G182" i="38"/>
  <c r="F182" i="38"/>
  <c r="E182" i="38"/>
  <c r="D182" i="38"/>
  <c r="H181" i="38"/>
  <c r="K181" i="38" s="1"/>
  <c r="G181" i="38"/>
  <c r="F181" i="38"/>
  <c r="E181" i="38"/>
  <c r="D181" i="38"/>
  <c r="H179" i="38"/>
  <c r="K179" i="38" s="1"/>
  <c r="G179" i="38"/>
  <c r="F179" i="38"/>
  <c r="E179" i="38"/>
  <c r="D179" i="38"/>
  <c r="K178" i="38"/>
  <c r="K177" i="38"/>
  <c r="K176" i="38"/>
  <c r="K175" i="38"/>
  <c r="K174" i="38"/>
  <c r="K173" i="38"/>
  <c r="H172" i="38"/>
  <c r="K172" i="38" s="1"/>
  <c r="G172" i="38"/>
  <c r="F172" i="38"/>
  <c r="E172" i="38"/>
  <c r="D172" i="38"/>
  <c r="K171" i="38"/>
  <c r="K170" i="38"/>
  <c r="H169" i="38"/>
  <c r="K169" i="38" s="1"/>
  <c r="G169" i="38"/>
  <c r="F169" i="38"/>
  <c r="E169" i="38"/>
  <c r="D169" i="38"/>
  <c r="K168" i="38"/>
  <c r="K167" i="38"/>
  <c r="H166" i="38"/>
  <c r="K166" i="38" s="1"/>
  <c r="G166" i="38"/>
  <c r="F166" i="38"/>
  <c r="H165" i="38"/>
  <c r="K165" i="38" s="1"/>
  <c r="G165" i="38"/>
  <c r="F165" i="38"/>
  <c r="E165" i="38"/>
  <c r="D165" i="38"/>
  <c r="K164" i="38"/>
  <c r="H163" i="38"/>
  <c r="G163" i="38"/>
  <c r="H162" i="38"/>
  <c r="K162" i="38" s="1"/>
  <c r="G162" i="38"/>
  <c r="F162" i="38"/>
  <c r="E162" i="38"/>
  <c r="D162" i="38"/>
  <c r="H161" i="38"/>
  <c r="K161" i="38" s="1"/>
  <c r="G161" i="38"/>
  <c r="F161" i="38"/>
  <c r="E161" i="38"/>
  <c r="D161" i="38"/>
  <c r="H160" i="38"/>
  <c r="K160" i="38" s="1"/>
  <c r="G160" i="38"/>
  <c r="F160" i="38"/>
  <c r="E160" i="38"/>
  <c r="H159" i="38"/>
  <c r="K159" i="38" s="1"/>
  <c r="G159" i="38"/>
  <c r="P161" i="38" s="1"/>
  <c r="F159" i="38"/>
  <c r="O161" i="38" s="1"/>
  <c r="E159" i="38"/>
  <c r="D159" i="38"/>
  <c r="M161" i="38" s="1"/>
  <c r="J207" i="38"/>
  <c r="C158" i="38"/>
  <c r="C207" i="38" s="1"/>
  <c r="L157" i="38"/>
  <c r="H157" i="38"/>
  <c r="K157" i="38" s="1"/>
  <c r="G157" i="38"/>
  <c r="F157" i="38"/>
  <c r="H156" i="38"/>
  <c r="K156" i="38" s="1"/>
  <c r="G156" i="38"/>
  <c r="F156" i="38"/>
  <c r="E156" i="38"/>
  <c r="D156" i="38"/>
  <c r="H155" i="38"/>
  <c r="K155" i="38" s="1"/>
  <c r="G155" i="38"/>
  <c r="F155" i="38"/>
  <c r="E155" i="38"/>
  <c r="D155" i="38"/>
  <c r="H154" i="38"/>
  <c r="K154" i="38" s="1"/>
  <c r="G154" i="38"/>
  <c r="F154" i="38"/>
  <c r="E154" i="38"/>
  <c r="D154" i="38"/>
  <c r="M157" i="38" s="1"/>
  <c r="H153" i="38"/>
  <c r="G153" i="38"/>
  <c r="H152" i="38"/>
  <c r="K152" i="38" s="1"/>
  <c r="G152" i="38"/>
  <c r="F152" i="38"/>
  <c r="C151" i="38"/>
  <c r="C206" i="38" s="1"/>
  <c r="G142" i="38"/>
  <c r="F142" i="38"/>
  <c r="E142" i="38"/>
  <c r="D142" i="38"/>
  <c r="C142" i="38"/>
  <c r="H141" i="38"/>
  <c r="G141" i="38"/>
  <c r="G143" i="38" s="1"/>
  <c r="F141" i="38"/>
  <c r="E141" i="38"/>
  <c r="D141" i="38"/>
  <c r="C141" i="38"/>
  <c r="C143" i="38" s="1"/>
  <c r="H139" i="38"/>
  <c r="G139" i="38"/>
  <c r="F139" i="38"/>
  <c r="E139" i="38"/>
  <c r="D139" i="38"/>
  <c r="C139" i="38"/>
  <c r="K138" i="38"/>
  <c r="K137" i="38"/>
  <c r="G135" i="38"/>
  <c r="F135" i="38"/>
  <c r="E135" i="38"/>
  <c r="D135" i="38"/>
  <c r="C135" i="38"/>
  <c r="H132" i="38"/>
  <c r="K132" i="38" s="1"/>
  <c r="G132" i="38"/>
  <c r="F132" i="38"/>
  <c r="E132" i="38"/>
  <c r="K131" i="38"/>
  <c r="K130" i="38"/>
  <c r="H130" i="38"/>
  <c r="G130" i="38"/>
  <c r="F130" i="38"/>
  <c r="E130" i="38"/>
  <c r="E127" i="38" s="1"/>
  <c r="K129" i="38"/>
  <c r="H128" i="38"/>
  <c r="K128" i="38" s="1"/>
  <c r="G128" i="38"/>
  <c r="F128" i="38"/>
  <c r="F127" i="38" s="1"/>
  <c r="E128" i="38"/>
  <c r="D128" i="38"/>
  <c r="D127" i="38"/>
  <c r="C127" i="38"/>
  <c r="K126" i="38"/>
  <c r="H125" i="38"/>
  <c r="K125" i="38" s="1"/>
  <c r="G125" i="38"/>
  <c r="F125" i="38"/>
  <c r="E125" i="38"/>
  <c r="H124" i="38"/>
  <c r="K124" i="38" s="1"/>
  <c r="G124" i="38"/>
  <c r="F124" i="38"/>
  <c r="E124" i="38"/>
  <c r="H123" i="38"/>
  <c r="K123" i="38" s="1"/>
  <c r="G123" i="38"/>
  <c r="F123" i="38"/>
  <c r="E123" i="38"/>
  <c r="H122" i="38"/>
  <c r="K122" i="38" s="1"/>
  <c r="G122" i="38"/>
  <c r="F122" i="38"/>
  <c r="E122" i="38"/>
  <c r="K121" i="38"/>
  <c r="K120" i="38"/>
  <c r="K119" i="38"/>
  <c r="H118" i="38"/>
  <c r="G118" i="38"/>
  <c r="F118" i="38"/>
  <c r="E118" i="38"/>
  <c r="D118" i="38"/>
  <c r="D117" i="38" s="1"/>
  <c r="C117" i="38"/>
  <c r="K116" i="38"/>
  <c r="G116" i="38"/>
  <c r="F116" i="38"/>
  <c r="E116" i="38"/>
  <c r="D116" i="38"/>
  <c r="H115" i="38"/>
  <c r="K115" i="38" s="1"/>
  <c r="G115" i="38"/>
  <c r="F115" i="38"/>
  <c r="E115" i="38"/>
  <c r="D115" i="38"/>
  <c r="K114" i="38"/>
  <c r="K113" i="38"/>
  <c r="F113" i="38"/>
  <c r="E113" i="38"/>
  <c r="D113" i="38"/>
  <c r="H112" i="38"/>
  <c r="K112" i="38" s="1"/>
  <c r="G112" i="38"/>
  <c r="F112" i="38"/>
  <c r="E112" i="38"/>
  <c r="D112" i="38"/>
  <c r="D111" i="38" s="1"/>
  <c r="C111" i="38"/>
  <c r="K110" i="38"/>
  <c r="H109" i="38"/>
  <c r="H106" i="38" s="1"/>
  <c r="G109" i="38"/>
  <c r="G106" i="38" s="1"/>
  <c r="F109" i="38"/>
  <c r="F106" i="38" s="1"/>
  <c r="E109" i="38"/>
  <c r="E106" i="38" s="1"/>
  <c r="D109" i="38"/>
  <c r="D106" i="38" s="1"/>
  <c r="K108" i="38"/>
  <c r="K107" i="38"/>
  <c r="C106" i="38"/>
  <c r="H105" i="38"/>
  <c r="K105" i="38" s="1"/>
  <c r="G105" i="38"/>
  <c r="F105" i="38"/>
  <c r="E105" i="38"/>
  <c r="D105" i="38"/>
  <c r="H104" i="38"/>
  <c r="K104" i="38" s="1"/>
  <c r="G104" i="38"/>
  <c r="F104" i="38"/>
  <c r="E104" i="38"/>
  <c r="D104" i="38"/>
  <c r="H103" i="38"/>
  <c r="H102" i="38" s="1"/>
  <c r="G103" i="38"/>
  <c r="F103" i="38"/>
  <c r="E103" i="38"/>
  <c r="D103" i="38"/>
  <c r="C102" i="38"/>
  <c r="K101" i="38"/>
  <c r="K100" i="38"/>
  <c r="H99" i="38"/>
  <c r="G99" i="38"/>
  <c r="F99" i="38"/>
  <c r="E99" i="38"/>
  <c r="D99" i="38"/>
  <c r="H98" i="38"/>
  <c r="K98" i="38" s="1"/>
  <c r="G98" i="38"/>
  <c r="F98" i="38"/>
  <c r="E98" i="38"/>
  <c r="D98" i="38"/>
  <c r="C97" i="38"/>
  <c r="H96" i="38"/>
  <c r="G96" i="38"/>
  <c r="F96" i="38"/>
  <c r="E96" i="38"/>
  <c r="D96" i="38"/>
  <c r="H95" i="38"/>
  <c r="K95" i="38" s="1"/>
  <c r="G95" i="38"/>
  <c r="F95" i="38"/>
  <c r="H94" i="38"/>
  <c r="K94" i="38" s="1"/>
  <c r="G94" i="38"/>
  <c r="F94" i="38"/>
  <c r="E94" i="38"/>
  <c r="D94" i="38"/>
  <c r="K93" i="38"/>
  <c r="C92" i="38"/>
  <c r="K91" i="38"/>
  <c r="H90" i="38"/>
  <c r="H89" i="38" s="1"/>
  <c r="G90" i="38"/>
  <c r="G89" i="38" s="1"/>
  <c r="F90" i="38"/>
  <c r="F89" i="38" s="1"/>
  <c r="E90" i="38"/>
  <c r="E89" i="38" s="1"/>
  <c r="D89" i="38"/>
  <c r="C89" i="38"/>
  <c r="H88" i="38"/>
  <c r="G88" i="38"/>
  <c r="G87" i="38" s="1"/>
  <c r="F88" i="38"/>
  <c r="F87" i="38" s="1"/>
  <c r="E88" i="38"/>
  <c r="E87" i="38" s="1"/>
  <c r="D88" i="38"/>
  <c r="D87" i="38" s="1"/>
  <c r="C87" i="38"/>
  <c r="H86" i="38"/>
  <c r="K86" i="38" s="1"/>
  <c r="G86" i="38"/>
  <c r="F86" i="38"/>
  <c r="E86" i="38"/>
  <c r="D86" i="38"/>
  <c r="H85" i="38"/>
  <c r="K85" i="38" s="1"/>
  <c r="G85" i="38"/>
  <c r="F85" i="38"/>
  <c r="E85" i="38"/>
  <c r="D85" i="38"/>
  <c r="H84" i="38"/>
  <c r="K84" i="38" s="1"/>
  <c r="G84" i="38"/>
  <c r="F84" i="38"/>
  <c r="E84" i="38"/>
  <c r="H83" i="38"/>
  <c r="K83" i="38" s="1"/>
  <c r="G83" i="38"/>
  <c r="F83" i="38"/>
  <c r="E83" i="38"/>
  <c r="D83" i="38"/>
  <c r="H82" i="38"/>
  <c r="K82" i="38" s="1"/>
  <c r="G82" i="38"/>
  <c r="F82" i="38"/>
  <c r="E82" i="38"/>
  <c r="D82" i="38"/>
  <c r="C81" i="38"/>
  <c r="O73" i="38"/>
  <c r="N73" i="38"/>
  <c r="M73" i="38"/>
  <c r="L73" i="38"/>
  <c r="H73" i="38"/>
  <c r="H142" i="38" s="1"/>
  <c r="G72" i="38"/>
  <c r="G74" i="38" s="1"/>
  <c r="F72" i="38"/>
  <c r="F74" i="38" s="1"/>
  <c r="E72" i="38"/>
  <c r="D72" i="38"/>
  <c r="D74" i="38" s="1"/>
  <c r="C72" i="38"/>
  <c r="C74" i="38" s="1"/>
  <c r="K71" i="38"/>
  <c r="K70" i="38"/>
  <c r="H69" i="38"/>
  <c r="H135" i="38" s="1"/>
  <c r="H67" i="38"/>
  <c r="H134" i="38" s="1"/>
  <c r="G67" i="38"/>
  <c r="G134" i="38" s="1"/>
  <c r="F67" i="38"/>
  <c r="F134" i="38" s="1"/>
  <c r="E67" i="38"/>
  <c r="E134" i="38" s="1"/>
  <c r="D67" i="38"/>
  <c r="D134" i="38" s="1"/>
  <c r="C67" i="38"/>
  <c r="C134" i="38" s="1"/>
  <c r="H66" i="38"/>
  <c r="K66" i="38" s="1"/>
  <c r="G66" i="38"/>
  <c r="F66" i="38"/>
  <c r="E66" i="38"/>
  <c r="D66" i="38"/>
  <c r="K65" i="38"/>
  <c r="H64" i="38"/>
  <c r="K64" i="38" s="1"/>
  <c r="G64" i="38"/>
  <c r="F64" i="38"/>
  <c r="E64" i="38"/>
  <c r="D64" i="38"/>
  <c r="H63" i="38"/>
  <c r="K63" i="38" s="1"/>
  <c r="G63" i="38"/>
  <c r="F63" i="38"/>
  <c r="E63" i="38"/>
  <c r="D63" i="38"/>
  <c r="H62" i="38"/>
  <c r="K62" i="38" s="1"/>
  <c r="G62" i="38"/>
  <c r="F62" i="38"/>
  <c r="E62" i="38"/>
  <c r="D62" i="38"/>
  <c r="H61" i="38"/>
  <c r="K61" i="38" s="1"/>
  <c r="G61" i="38"/>
  <c r="F61" i="38"/>
  <c r="E61" i="38"/>
  <c r="D61" i="38"/>
  <c r="K60" i="38"/>
  <c r="H59" i="38"/>
  <c r="K59" i="38" s="1"/>
  <c r="G59" i="38"/>
  <c r="F59" i="38"/>
  <c r="H58" i="38"/>
  <c r="K58" i="38" s="1"/>
  <c r="G58" i="38"/>
  <c r="F58" i="38"/>
  <c r="K57" i="38"/>
  <c r="K56" i="38"/>
  <c r="K55" i="38"/>
  <c r="K54" i="38"/>
  <c r="K53" i="38"/>
  <c r="K52" i="38"/>
  <c r="K51" i="38"/>
  <c r="H48" i="38"/>
  <c r="K48" i="38" s="1"/>
  <c r="G48" i="38"/>
  <c r="F48" i="38"/>
  <c r="E48" i="38"/>
  <c r="D48" i="38"/>
  <c r="K47" i="38"/>
  <c r="K46" i="38"/>
  <c r="K45" i="38"/>
  <c r="K44" i="38"/>
  <c r="K42" i="38"/>
  <c r="C41" i="38"/>
  <c r="H40" i="38"/>
  <c r="K40" i="38" s="1"/>
  <c r="G40" i="38"/>
  <c r="G41" i="38" s="1"/>
  <c r="F40" i="38"/>
  <c r="F41" i="38" s="1"/>
  <c r="F35" i="38" s="1"/>
  <c r="E40" i="38"/>
  <c r="D40" i="38"/>
  <c r="D41" i="38" s="1"/>
  <c r="D35" i="38" s="1"/>
  <c r="K39" i="38"/>
  <c r="K38" i="38"/>
  <c r="K37" i="38"/>
  <c r="K36" i="38"/>
  <c r="C35" i="38"/>
  <c r="K34" i="38"/>
  <c r="H33" i="38"/>
  <c r="G33" i="38"/>
  <c r="F33" i="38"/>
  <c r="E33" i="38"/>
  <c r="D33" i="38"/>
  <c r="C33" i="38"/>
  <c r="K32" i="38"/>
  <c r="H31" i="38"/>
  <c r="K31" i="38" s="1"/>
  <c r="H30" i="38"/>
  <c r="K30" i="38" s="1"/>
  <c r="K29" i="38"/>
  <c r="H28" i="38"/>
  <c r="K28" i="38" s="1"/>
  <c r="K27" i="38"/>
  <c r="H26" i="38"/>
  <c r="K26" i="38" s="1"/>
  <c r="G26" i="38"/>
  <c r="F26" i="38"/>
  <c r="E26" i="38"/>
  <c r="D26" i="38"/>
  <c r="C26" i="38"/>
  <c r="L32" i="38" s="1"/>
  <c r="K25" i="38"/>
  <c r="K24" i="38"/>
  <c r="H23" i="38"/>
  <c r="K23" i="38" s="1"/>
  <c r="G23" i="38"/>
  <c r="F23" i="38"/>
  <c r="K22" i="38"/>
  <c r="H21" i="38"/>
  <c r="K21" i="38" s="1"/>
  <c r="G21" i="38"/>
  <c r="P32" i="38" s="1"/>
  <c r="F21" i="38"/>
  <c r="O31" i="38" s="1"/>
  <c r="E21" i="38"/>
  <c r="N32" i="38" s="1"/>
  <c r="D21" i="38"/>
  <c r="M31" i="38" s="1"/>
  <c r="K20" i="38"/>
  <c r="K18" i="38"/>
  <c r="L17" i="38"/>
  <c r="H17" i="38"/>
  <c r="K17" i="38" s="1"/>
  <c r="G17" i="38"/>
  <c r="F17" i="38"/>
  <c r="H16" i="38"/>
  <c r="K16" i="38" s="1"/>
  <c r="G16" i="38"/>
  <c r="F16" i="38"/>
  <c r="E16" i="38"/>
  <c r="D16" i="38"/>
  <c r="H15" i="38"/>
  <c r="K15" i="38" s="1"/>
  <c r="G15" i="38"/>
  <c r="F15" i="38"/>
  <c r="E15" i="38"/>
  <c r="K14" i="38"/>
  <c r="H13" i="38"/>
  <c r="G13" i="38"/>
  <c r="F13" i="38"/>
  <c r="E13" i="38"/>
  <c r="K11" i="38"/>
  <c r="H10" i="38"/>
  <c r="K10" i="38" s="1"/>
  <c r="G10" i="38"/>
  <c r="F10" i="38"/>
  <c r="K9" i="38"/>
  <c r="H8" i="38"/>
  <c r="G8" i="38"/>
  <c r="F8" i="38"/>
  <c r="E8" i="38"/>
  <c r="K7" i="38"/>
  <c r="K6" i="38"/>
  <c r="H5" i="38"/>
  <c r="K5" i="38" s="1"/>
  <c r="G5" i="38"/>
  <c r="F5" i="38"/>
  <c r="E5" i="38"/>
  <c r="D5" i="38"/>
  <c r="D4" i="38" s="1"/>
  <c r="C4" i="38"/>
  <c r="O188" i="38" l="1"/>
  <c r="N17" i="38"/>
  <c r="N157" i="38"/>
  <c r="I74" i="38"/>
  <c r="Q161" i="38"/>
  <c r="P192" i="38"/>
  <c r="O17" i="38"/>
  <c r="O157" i="38"/>
  <c r="I35" i="38"/>
  <c r="Q73" i="38"/>
  <c r="M188" i="38"/>
  <c r="S192" i="38"/>
  <c r="H4" i="38"/>
  <c r="K4" i="38" s="1"/>
  <c r="C43" i="38"/>
  <c r="G81" i="38"/>
  <c r="G102" i="38"/>
  <c r="P157" i="38"/>
  <c r="R192" i="38"/>
  <c r="Q194" i="38"/>
  <c r="Q157" i="38"/>
  <c r="K102" i="38"/>
  <c r="K90" i="38"/>
  <c r="G92" i="38"/>
  <c r="G117" i="38"/>
  <c r="F4" i="38"/>
  <c r="C12" i="38"/>
  <c r="D43" i="38"/>
  <c r="E97" i="38"/>
  <c r="E111" i="38"/>
  <c r="G111" i="38"/>
  <c r="I211" i="38"/>
  <c r="D158" i="38"/>
  <c r="L158" i="38" s="1"/>
  <c r="E151" i="38"/>
  <c r="R31" i="38"/>
  <c r="I4" i="38"/>
  <c r="I12" i="38"/>
  <c r="I135" i="38"/>
  <c r="I140" i="38" s="1"/>
  <c r="N31" i="38"/>
  <c r="H92" i="38"/>
  <c r="K92" i="38" s="1"/>
  <c r="K103" i="38"/>
  <c r="D143" i="38"/>
  <c r="L143" i="38" s="1"/>
  <c r="E158" i="38"/>
  <c r="E4" i="38"/>
  <c r="H41" i="38"/>
  <c r="K41" i="38" s="1"/>
  <c r="K69" i="38"/>
  <c r="E92" i="38"/>
  <c r="D102" i="38"/>
  <c r="I97" i="38"/>
  <c r="D92" i="38"/>
  <c r="E102" i="38"/>
  <c r="G158" i="38"/>
  <c r="R32" i="38"/>
  <c r="P17" i="38"/>
  <c r="G12" i="38"/>
  <c r="G43" i="38"/>
  <c r="D140" i="38"/>
  <c r="D144" i="38" s="1"/>
  <c r="L144" i="38" s="1"/>
  <c r="H140" i="38"/>
  <c r="D81" i="38"/>
  <c r="F92" i="38"/>
  <c r="G97" i="38"/>
  <c r="I158" i="38"/>
  <c r="Q17" i="38"/>
  <c r="K13" i="38"/>
  <c r="D12" i="38"/>
  <c r="D68" i="38" s="1"/>
  <c r="M17" i="38"/>
  <c r="E140" i="38"/>
  <c r="K67" i="38"/>
  <c r="K96" i="38"/>
  <c r="K109" i="38"/>
  <c r="F117" i="38"/>
  <c r="K141" i="38"/>
  <c r="C208" i="38"/>
  <c r="F151" i="38"/>
  <c r="N151" i="38" s="1"/>
  <c r="J209" i="38"/>
  <c r="J211" i="38" s="1"/>
  <c r="I117" i="38"/>
  <c r="I102" i="38"/>
  <c r="I81" i="38"/>
  <c r="Q32" i="38"/>
  <c r="M32" i="38"/>
  <c r="P31" i="38"/>
  <c r="F12" i="38"/>
  <c r="R17" i="38"/>
  <c r="O32" i="38"/>
  <c r="K73" i="38"/>
  <c r="H81" i="38"/>
  <c r="K81" i="38" s="1"/>
  <c r="K106" i="38"/>
  <c r="H188" i="38"/>
  <c r="M194" i="38"/>
  <c r="I127" i="38"/>
  <c r="Q31" i="38"/>
  <c r="G4" i="38"/>
  <c r="K33" i="38"/>
  <c r="F43" i="38"/>
  <c r="E43" i="38"/>
  <c r="F81" i="38"/>
  <c r="H117" i="38"/>
  <c r="F97" i="38"/>
  <c r="D97" i="38"/>
  <c r="H97" i="38"/>
  <c r="K97" i="38" s="1"/>
  <c r="F102" i="38"/>
  <c r="H111" i="38"/>
  <c r="K111" i="38" s="1"/>
  <c r="E117" i="38"/>
  <c r="K118" i="38"/>
  <c r="H127" i="38"/>
  <c r="K127" i="38" s="1"/>
  <c r="D151" i="38"/>
  <c r="L151" i="38" s="1"/>
  <c r="G151" i="38"/>
  <c r="O151" i="38" s="1"/>
  <c r="H151" i="38"/>
  <c r="P151" i="38" s="1"/>
  <c r="F158" i="38"/>
  <c r="N158" i="38" s="1"/>
  <c r="I143" i="38"/>
  <c r="I111" i="38"/>
  <c r="I92" i="38"/>
  <c r="I151" i="38"/>
  <c r="Q151" i="38" s="1"/>
  <c r="I43" i="38"/>
  <c r="M72" i="38"/>
  <c r="E143" i="38"/>
  <c r="M143" i="38" s="1"/>
  <c r="F140" i="38"/>
  <c r="N140" i="38" s="1"/>
  <c r="C133" i="38"/>
  <c r="F143" i="38"/>
  <c r="L188" i="38"/>
  <c r="O194" i="38"/>
  <c r="K194" i="38"/>
  <c r="E210" i="38"/>
  <c r="E211" i="38" s="1"/>
  <c r="C68" i="38"/>
  <c r="C75" i="38" s="1"/>
  <c r="C203" i="38" s="1"/>
  <c r="C140" i="38"/>
  <c r="C144" i="38" s="1"/>
  <c r="G140" i="38"/>
  <c r="O74" i="38"/>
  <c r="K89" i="38"/>
  <c r="L194" i="38"/>
  <c r="P194" i="38"/>
  <c r="L74" i="38"/>
  <c r="H143" i="38"/>
  <c r="P143" i="38" s="1"/>
  <c r="K136" i="38"/>
  <c r="G209" i="38"/>
  <c r="G211" i="38" s="1"/>
  <c r="K8" i="38"/>
  <c r="H12" i="38"/>
  <c r="K12" i="38" s="1"/>
  <c r="L31" i="38"/>
  <c r="G35" i="38"/>
  <c r="E41" i="38"/>
  <c r="E35" i="38" s="1"/>
  <c r="H43" i="38"/>
  <c r="K43" i="38" s="1"/>
  <c r="K50" i="38"/>
  <c r="L69" i="38"/>
  <c r="O72" i="38"/>
  <c r="P73" i="38"/>
  <c r="K99" i="38"/>
  <c r="F111" i="38"/>
  <c r="G127" i="38"/>
  <c r="K134" i="38"/>
  <c r="N72" i="38"/>
  <c r="E74" i="38"/>
  <c r="M74" i="38" s="1"/>
  <c r="L72" i="38"/>
  <c r="K117" i="38"/>
  <c r="K139" i="38"/>
  <c r="C211" i="38"/>
  <c r="J206" i="38"/>
  <c r="J208" i="38" s="1"/>
  <c r="E12" i="38"/>
  <c r="H72" i="38"/>
  <c r="Q72" i="38" s="1"/>
  <c r="E81" i="38"/>
  <c r="K88" i="38"/>
  <c r="H87" i="38"/>
  <c r="K87" i="38" s="1"/>
  <c r="K135" i="38"/>
  <c r="K142" i="38"/>
  <c r="H158" i="38"/>
  <c r="P158" i="38" s="1"/>
  <c r="F209" i="38"/>
  <c r="F210" i="38"/>
  <c r="N194" i="38"/>
  <c r="D209" i="38"/>
  <c r="D211" i="38" s="1"/>
  <c r="H128" i="37"/>
  <c r="H127" i="37"/>
  <c r="H126" i="37"/>
  <c r="H125" i="37"/>
  <c r="E133" i="38" l="1"/>
  <c r="E144" i="38"/>
  <c r="M144" i="38" s="1"/>
  <c r="G144" i="38"/>
  <c r="O140" i="38"/>
  <c r="N143" i="38"/>
  <c r="M140" i="38"/>
  <c r="M158" i="38"/>
  <c r="F207" i="38"/>
  <c r="F208" i="38" s="1"/>
  <c r="D207" i="38"/>
  <c r="H209" i="38"/>
  <c r="H211" i="38" s="1"/>
  <c r="P188" i="38"/>
  <c r="O158" i="38"/>
  <c r="I68" i="38"/>
  <c r="I75" i="38" s="1"/>
  <c r="Q143" i="38"/>
  <c r="F133" i="38"/>
  <c r="N133" i="38" s="1"/>
  <c r="Q158" i="38"/>
  <c r="P140" i="38"/>
  <c r="Q140" i="38"/>
  <c r="M151" i="38"/>
  <c r="Q188" i="38"/>
  <c r="O143" i="38"/>
  <c r="G207" i="38"/>
  <c r="E207" i="38"/>
  <c r="F206" i="38"/>
  <c r="K151" i="38"/>
  <c r="H206" i="38"/>
  <c r="I207" i="38"/>
  <c r="I206" i="38"/>
  <c r="F68" i="38"/>
  <c r="E206" i="38"/>
  <c r="G206" i="38"/>
  <c r="H35" i="38"/>
  <c r="K35" i="38" s="1"/>
  <c r="G68" i="38"/>
  <c r="O68" i="38" s="1"/>
  <c r="D133" i="38"/>
  <c r="I133" i="38"/>
  <c r="G133" i="38"/>
  <c r="O133" i="38" s="1"/>
  <c r="L140" i="38"/>
  <c r="L133" i="38"/>
  <c r="I144" i="38"/>
  <c r="Q144" i="38" s="1"/>
  <c r="E68" i="38"/>
  <c r="M68" i="38" s="1"/>
  <c r="L68" i="38"/>
  <c r="D75" i="38"/>
  <c r="L75" i="38" s="1"/>
  <c r="D206" i="38"/>
  <c r="D208" i="38" s="1"/>
  <c r="K188" i="38"/>
  <c r="F144" i="38"/>
  <c r="L139" i="38"/>
  <c r="F211" i="38"/>
  <c r="C145" i="38"/>
  <c r="C204" i="38" s="1"/>
  <c r="C215" i="38" s="1"/>
  <c r="C218" i="38" s="1"/>
  <c r="N74" i="38"/>
  <c r="H144" i="38"/>
  <c r="H133" i="38"/>
  <c r="E145" i="38"/>
  <c r="D145" i="38"/>
  <c r="C214" i="38"/>
  <c r="C217" i="38" s="1"/>
  <c r="K143" i="38"/>
  <c r="H207" i="38"/>
  <c r="K158" i="38"/>
  <c r="H74" i="38"/>
  <c r="P74" i="38" s="1"/>
  <c r="P72" i="38"/>
  <c r="G208" i="38"/>
  <c r="K72" i="38"/>
  <c r="H5" i="37"/>
  <c r="K133" i="38" l="1"/>
  <c r="P133" i="38"/>
  <c r="F145" i="38"/>
  <c r="N145" i="38" s="1"/>
  <c r="N144" i="38"/>
  <c r="H208" i="38"/>
  <c r="G75" i="38"/>
  <c r="G203" i="38" s="1"/>
  <c r="O144" i="38"/>
  <c r="M145" i="38"/>
  <c r="E75" i="38"/>
  <c r="Q133" i="38"/>
  <c r="H68" i="38"/>
  <c r="P68" i="38" s="1"/>
  <c r="P144" i="38"/>
  <c r="Q74" i="38"/>
  <c r="M133" i="38"/>
  <c r="I208" i="38"/>
  <c r="E208" i="38"/>
  <c r="I145" i="38"/>
  <c r="I203" i="38"/>
  <c r="I214" i="38" s="1"/>
  <c r="I217" i="38" s="1"/>
  <c r="Q75" i="38"/>
  <c r="F75" i="38"/>
  <c r="F203" i="38" s="1"/>
  <c r="N68" i="38"/>
  <c r="C205" i="38"/>
  <c r="C212" i="38" s="1"/>
  <c r="G145" i="38"/>
  <c r="O145" i="38" s="1"/>
  <c r="N75" i="38"/>
  <c r="D203" i="38"/>
  <c r="K140" i="38"/>
  <c r="D204" i="38"/>
  <c r="D215" i="38" s="1"/>
  <c r="L145" i="38"/>
  <c r="H75" i="38"/>
  <c r="K68" i="38"/>
  <c r="H145" i="38"/>
  <c r="E203" i="38"/>
  <c r="M75" i="38"/>
  <c r="E204" i="38"/>
  <c r="E215" i="38" s="1"/>
  <c r="K74" i="38"/>
  <c r="J75" i="38"/>
  <c r="D214" i="38"/>
  <c r="O75" i="38"/>
  <c r="F214" i="38"/>
  <c r="H108" i="37"/>
  <c r="H106" i="37"/>
  <c r="H32" i="37"/>
  <c r="P145" i="38" l="1"/>
  <c r="Q68" i="38"/>
  <c r="F204" i="38"/>
  <c r="F215" i="38" s="1"/>
  <c r="I204" i="38"/>
  <c r="I215" i="38" s="1"/>
  <c r="I218" i="38" s="1"/>
  <c r="Q145" i="38"/>
  <c r="G204" i="38"/>
  <c r="G215" i="38" s="1"/>
  <c r="O215" i="38" s="1"/>
  <c r="D205" i="38"/>
  <c r="D212" i="38" s="1"/>
  <c r="G214" i="38"/>
  <c r="F218" i="38"/>
  <c r="N215" i="38"/>
  <c r="L214" i="38"/>
  <c r="D217" i="38"/>
  <c r="L217" i="38" s="1"/>
  <c r="L215" i="38"/>
  <c r="D218" i="38"/>
  <c r="L218" i="38" s="1"/>
  <c r="H204" i="38"/>
  <c r="H215" i="38" s="1"/>
  <c r="E214" i="38"/>
  <c r="E205" i="38"/>
  <c r="E212" i="38" s="1"/>
  <c r="F205" i="38"/>
  <c r="F212" i="38" s="1"/>
  <c r="F217" i="38"/>
  <c r="N214" i="38"/>
  <c r="E218" i="38"/>
  <c r="M215" i="38"/>
  <c r="K75" i="38"/>
  <c r="J203" i="38"/>
  <c r="H203" i="38"/>
  <c r="P75" i="38"/>
  <c r="K144" i="38"/>
  <c r="J145" i="38"/>
  <c r="S36" i="28"/>
  <c r="S14" i="28"/>
  <c r="M218" i="38" l="1"/>
  <c r="G205" i="38"/>
  <c r="G212" i="38" s="1"/>
  <c r="I205" i="38"/>
  <c r="I212" i="38" s="1"/>
  <c r="Q215" i="38"/>
  <c r="G218" i="38"/>
  <c r="O218" i="38" s="1"/>
  <c r="P215" i="38"/>
  <c r="H218" i="38"/>
  <c r="O214" i="38"/>
  <c r="G217" i="38"/>
  <c r="O217" i="38" s="1"/>
  <c r="H214" i="38"/>
  <c r="Q214" i="38" s="1"/>
  <c r="H205" i="38"/>
  <c r="H212" i="38" s="1"/>
  <c r="J204" i="38"/>
  <c r="J215" i="38" s="1"/>
  <c r="J218" i="38" s="1"/>
  <c r="K145" i="38"/>
  <c r="J214" i="38"/>
  <c r="J217" i="38" s="1"/>
  <c r="E217" i="38"/>
  <c r="M217" i="38" s="1"/>
  <c r="M214" i="38"/>
  <c r="N218" i="38"/>
  <c r="T14" i="28"/>
  <c r="P218" i="38" l="1"/>
  <c r="Q218" i="38"/>
  <c r="J205" i="38"/>
  <c r="J212" i="38" s="1"/>
  <c r="P214" i="38"/>
  <c r="H217" i="38"/>
  <c r="N217" i="38"/>
  <c r="C96" i="17"/>
  <c r="E104" i="17"/>
  <c r="H104" i="17" s="1"/>
  <c r="C104" i="17"/>
  <c r="O46" i="28"/>
  <c r="O57" i="28"/>
  <c r="O36" i="28"/>
  <c r="O25" i="28"/>
  <c r="O7" i="28"/>
  <c r="F106" i="17"/>
  <c r="H105" i="17"/>
  <c r="I105" i="17" s="1"/>
  <c r="H101" i="17"/>
  <c r="I101" i="17" s="1"/>
  <c r="H100" i="17"/>
  <c r="I100" i="17" s="1"/>
  <c r="H99" i="17"/>
  <c r="I99" i="17" s="1"/>
  <c r="H98" i="17"/>
  <c r="I98" i="17" s="1"/>
  <c r="H97" i="17"/>
  <c r="I97" i="17" s="1"/>
  <c r="N98" i="17"/>
  <c r="N99" i="17" s="1"/>
  <c r="H96" i="17"/>
  <c r="E95" i="17"/>
  <c r="H95" i="17" s="1"/>
  <c r="C95" i="17"/>
  <c r="H94" i="17"/>
  <c r="I94" i="17" s="1"/>
  <c r="H93" i="17"/>
  <c r="I93" i="17" s="1"/>
  <c r="G92" i="17"/>
  <c r="H92" i="17" s="1"/>
  <c r="I92" i="17" s="1"/>
  <c r="H91" i="17"/>
  <c r="I91" i="17" s="1"/>
  <c r="H90" i="17"/>
  <c r="I90" i="17" s="1"/>
  <c r="D89" i="17"/>
  <c r="H89" i="17" s="1"/>
  <c r="H88" i="17"/>
  <c r="I88" i="17" s="1"/>
  <c r="N88" i="17"/>
  <c r="H87" i="17"/>
  <c r="I87" i="17" s="1"/>
  <c r="G86" i="17"/>
  <c r="D86" i="17"/>
  <c r="C86" i="17"/>
  <c r="H85" i="17"/>
  <c r="I85" i="17" s="1"/>
  <c r="H84" i="17"/>
  <c r="C84" i="17"/>
  <c r="H83" i="17"/>
  <c r="N83" i="17"/>
  <c r="H82" i="17"/>
  <c r="J84" i="17" s="1"/>
  <c r="I104" i="17" l="1"/>
  <c r="C106" i="17"/>
  <c r="I95" i="17"/>
  <c r="I96" i="17"/>
  <c r="G106" i="17"/>
  <c r="G108" i="17" s="1"/>
  <c r="H102" i="17"/>
  <c r="I102" i="17" s="1"/>
  <c r="I84" i="17"/>
  <c r="E106" i="17"/>
  <c r="E108" i="17" s="1"/>
  <c r="N93" i="17"/>
  <c r="N100" i="17" s="1"/>
  <c r="I89" i="17"/>
  <c r="O59" i="28"/>
  <c r="O62" i="28" s="1"/>
  <c r="O29" i="28"/>
  <c r="O32" i="28" s="1"/>
  <c r="P217" i="38"/>
  <c r="Q217" i="38"/>
  <c r="I83" i="17"/>
  <c r="D106" i="17"/>
  <c r="H86" i="17"/>
  <c r="I82" i="17"/>
  <c r="I42" i="37"/>
  <c r="E141" i="17"/>
  <c r="D141" i="17"/>
  <c r="E122" i="17"/>
  <c r="C122" i="17"/>
  <c r="H163" i="37"/>
  <c r="H159" i="37"/>
  <c r="H106" i="17" l="1"/>
  <c r="I106" i="17" s="1"/>
  <c r="O63" i="28"/>
  <c r="I86" i="17"/>
  <c r="H182" i="37"/>
  <c r="C141" i="17"/>
  <c r="H162" i="37"/>
  <c r="C121" i="17"/>
  <c r="E121" i="17"/>
  <c r="N172" i="17" l="1"/>
  <c r="C159" i="17" l="1"/>
  <c r="F144" i="17"/>
  <c r="H143" i="17"/>
  <c r="I143" i="17" s="1"/>
  <c r="C142" i="17"/>
  <c r="H142" i="17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E134" i="17"/>
  <c r="H134" i="17" s="1"/>
  <c r="C134" i="17"/>
  <c r="H133" i="17"/>
  <c r="I133" i="17" s="1"/>
  <c r="H132" i="17"/>
  <c r="I132" i="17" s="1"/>
  <c r="G131" i="17"/>
  <c r="E131" i="17"/>
  <c r="H130" i="17"/>
  <c r="I130" i="17" s="1"/>
  <c r="H129" i="17"/>
  <c r="I129" i="17" s="1"/>
  <c r="D128" i="17"/>
  <c r="H128" i="17" s="1"/>
  <c r="C128" i="17"/>
  <c r="H127" i="17"/>
  <c r="I127" i="17" s="1"/>
  <c r="H126" i="17"/>
  <c r="I126" i="17" s="1"/>
  <c r="G125" i="17"/>
  <c r="D125" i="17"/>
  <c r="C125" i="17"/>
  <c r="H124" i="17"/>
  <c r="I124" i="17" s="1"/>
  <c r="C123" i="17"/>
  <c r="H123" i="17"/>
  <c r="H122" i="17"/>
  <c r="I122" i="17" s="1"/>
  <c r="D121" i="17"/>
  <c r="J191" i="37"/>
  <c r="J192" i="37"/>
  <c r="J193" i="37"/>
  <c r="J194" i="37"/>
  <c r="J195" i="37"/>
  <c r="J197" i="37"/>
  <c r="J198" i="37"/>
  <c r="J199" i="37"/>
  <c r="J155" i="37"/>
  <c r="J157" i="37"/>
  <c r="J158" i="37"/>
  <c r="J159" i="37"/>
  <c r="J160" i="37"/>
  <c r="J162" i="37"/>
  <c r="J163" i="37"/>
  <c r="J164" i="37"/>
  <c r="J165" i="37"/>
  <c r="J167" i="37"/>
  <c r="J168" i="37"/>
  <c r="J169" i="37"/>
  <c r="J170" i="37"/>
  <c r="J171" i="37"/>
  <c r="J172" i="37"/>
  <c r="J173" i="37"/>
  <c r="J174" i="37"/>
  <c r="J175" i="37"/>
  <c r="J176" i="37"/>
  <c r="J177" i="37"/>
  <c r="J178" i="37"/>
  <c r="J179" i="37"/>
  <c r="J180" i="37"/>
  <c r="J181" i="37"/>
  <c r="J182" i="37"/>
  <c r="J183" i="37"/>
  <c r="J184" i="37"/>
  <c r="J85" i="37"/>
  <c r="J86" i="37"/>
  <c r="J87" i="37"/>
  <c r="J88" i="37"/>
  <c r="J89" i="37"/>
  <c r="J90" i="37"/>
  <c r="J91" i="37"/>
  <c r="J92" i="37"/>
  <c r="J93" i="37"/>
  <c r="J94" i="37"/>
  <c r="J96" i="37"/>
  <c r="J97" i="37"/>
  <c r="J98" i="37"/>
  <c r="J99" i="37"/>
  <c r="J100" i="37"/>
  <c r="J101" i="37"/>
  <c r="J102" i="37"/>
  <c r="J103" i="37"/>
  <c r="J104" i="37"/>
  <c r="J106" i="37"/>
  <c r="J107" i="37"/>
  <c r="J108" i="37"/>
  <c r="J109" i="37"/>
  <c r="J110" i="37"/>
  <c r="J111" i="37"/>
  <c r="J112" i="37"/>
  <c r="J113" i="37"/>
  <c r="J115" i="37"/>
  <c r="J116" i="37"/>
  <c r="J117" i="37"/>
  <c r="J118" i="37"/>
  <c r="J119" i="37"/>
  <c r="J121" i="37"/>
  <c r="J122" i="37"/>
  <c r="J123" i="37"/>
  <c r="J124" i="37"/>
  <c r="J125" i="37"/>
  <c r="J126" i="37"/>
  <c r="J127" i="37"/>
  <c r="J128" i="37"/>
  <c r="J129" i="37"/>
  <c r="J131" i="37"/>
  <c r="J132" i="37"/>
  <c r="J133" i="37"/>
  <c r="J134" i="37"/>
  <c r="J135" i="37"/>
  <c r="J138" i="37"/>
  <c r="J139" i="37"/>
  <c r="J140" i="37"/>
  <c r="J141" i="37"/>
  <c r="J142" i="37"/>
  <c r="J144" i="37"/>
  <c r="J145" i="37"/>
  <c r="J146" i="37"/>
  <c r="J5" i="37"/>
  <c r="J6" i="37"/>
  <c r="J7" i="37"/>
  <c r="J8" i="37"/>
  <c r="J9" i="37"/>
  <c r="J10" i="37"/>
  <c r="J11" i="37"/>
  <c r="J13" i="37"/>
  <c r="J14" i="37"/>
  <c r="J15" i="37"/>
  <c r="J16" i="37"/>
  <c r="J17" i="37"/>
  <c r="J18" i="37"/>
  <c r="J20" i="37"/>
  <c r="J21" i="37"/>
  <c r="J22" i="37"/>
  <c r="J23" i="37"/>
  <c r="J24" i="37"/>
  <c r="J26" i="37"/>
  <c r="J27" i="37"/>
  <c r="J28" i="37"/>
  <c r="J29" i="37"/>
  <c r="J30" i="37"/>
  <c r="J31" i="37"/>
  <c r="J32" i="37"/>
  <c r="J33" i="37"/>
  <c r="J35" i="37"/>
  <c r="J36" i="37"/>
  <c r="J37" i="37"/>
  <c r="J38" i="37"/>
  <c r="J39" i="37"/>
  <c r="J40" i="37"/>
  <c r="J41" i="37"/>
  <c r="J42" i="37"/>
  <c r="J43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58" i="37"/>
  <c r="J59" i="37"/>
  <c r="J60" i="37"/>
  <c r="J61" i="37"/>
  <c r="J63" i="37"/>
  <c r="J64" i="37"/>
  <c r="J65" i="37"/>
  <c r="J66" i="37"/>
  <c r="J67" i="37"/>
  <c r="J68" i="37"/>
  <c r="J69" i="37"/>
  <c r="J70" i="37"/>
  <c r="J72" i="37"/>
  <c r="J73" i="37"/>
  <c r="J74" i="37"/>
  <c r="J75" i="37"/>
  <c r="J76" i="37"/>
  <c r="J77" i="37"/>
  <c r="O196" i="37"/>
  <c r="O190" i="37"/>
  <c r="O143" i="37"/>
  <c r="O146" i="37"/>
  <c r="O147" i="37"/>
  <c r="H98" i="37"/>
  <c r="H76" i="37"/>
  <c r="O75" i="37"/>
  <c r="O76" i="37"/>
  <c r="H72" i="37"/>
  <c r="H70" i="37"/>
  <c r="H50" i="37"/>
  <c r="H31" i="37"/>
  <c r="H29" i="37"/>
  <c r="H211" i="37"/>
  <c r="H213" i="37" s="1"/>
  <c r="H212" i="37"/>
  <c r="H193" i="37"/>
  <c r="H190" i="37" s="1"/>
  <c r="H196" i="37"/>
  <c r="H155" i="37"/>
  <c r="H154" i="37" s="1"/>
  <c r="J154" i="37" s="1"/>
  <c r="H156" i="37"/>
  <c r="H157" i="37"/>
  <c r="H158" i="37"/>
  <c r="H160" i="37"/>
  <c r="H161" i="37"/>
  <c r="H209" i="37" s="1"/>
  <c r="H164" i="37"/>
  <c r="H165" i="37"/>
  <c r="H166" i="37"/>
  <c r="H168" i="37"/>
  <c r="H169" i="37"/>
  <c r="H172" i="37"/>
  <c r="H175" i="37"/>
  <c r="H183" i="37"/>
  <c r="H184" i="37"/>
  <c r="H85" i="37"/>
  <c r="H84" i="37" s="1"/>
  <c r="H86" i="37"/>
  <c r="H87" i="37"/>
  <c r="H88" i="37"/>
  <c r="H89" i="37"/>
  <c r="H91" i="37"/>
  <c r="H90" i="37" s="1"/>
  <c r="H93" i="37"/>
  <c r="H92" i="37" s="1"/>
  <c r="H97" i="37"/>
  <c r="H95" i="37" s="1"/>
  <c r="H99" i="37"/>
  <c r="H101" i="37"/>
  <c r="H100" i="37" s="1"/>
  <c r="H102" i="37"/>
  <c r="H105" i="37"/>
  <c r="H107" i="37"/>
  <c r="H112" i="37"/>
  <c r="H109" i="37" s="1"/>
  <c r="H115" i="37"/>
  <c r="H118" i="37"/>
  <c r="H114" i="37"/>
  <c r="H121" i="37"/>
  <c r="H120" i="37" s="1"/>
  <c r="H131" i="37"/>
  <c r="H130" i="37" s="1"/>
  <c r="H133" i="37"/>
  <c r="H135" i="37"/>
  <c r="H137" i="37"/>
  <c r="H138" i="37"/>
  <c r="H142" i="37"/>
  <c r="H144" i="37"/>
  <c r="H145" i="37"/>
  <c r="H4" i="37"/>
  <c r="J4" i="37" s="1"/>
  <c r="H8" i="37"/>
  <c r="H10" i="37"/>
  <c r="H13" i="37"/>
  <c r="H12" i="37" s="1"/>
  <c r="H15" i="37"/>
  <c r="H16" i="37"/>
  <c r="H17" i="37"/>
  <c r="H21" i="37"/>
  <c r="H23" i="37"/>
  <c r="H27" i="37"/>
  <c r="H34" i="37"/>
  <c r="H41" i="37"/>
  <c r="H36" i="37" s="1"/>
  <c r="H42" i="37"/>
  <c r="H49" i="37"/>
  <c r="H44" i="37" s="1"/>
  <c r="H60" i="37"/>
  <c r="H61" i="37"/>
  <c r="H64" i="37"/>
  <c r="H65" i="37"/>
  <c r="H66" i="37"/>
  <c r="H67" i="37"/>
  <c r="H69" i="37"/>
  <c r="H75" i="37"/>
  <c r="H77" i="37" s="1"/>
  <c r="O77" i="37" s="1"/>
  <c r="I209" i="37"/>
  <c r="I196" i="37"/>
  <c r="I212" i="37" s="1"/>
  <c r="G196" i="37"/>
  <c r="G212" i="37" s="1"/>
  <c r="F196" i="37"/>
  <c r="E196" i="37"/>
  <c r="D196" i="37"/>
  <c r="D212" i="37" s="1"/>
  <c r="C196" i="37"/>
  <c r="C212" i="37" s="1"/>
  <c r="O194" i="37"/>
  <c r="N194" i="37"/>
  <c r="M194" i="37"/>
  <c r="L194" i="37"/>
  <c r="G193" i="37"/>
  <c r="F193" i="37"/>
  <c r="F190" i="37" s="1"/>
  <c r="F211" i="37" s="1"/>
  <c r="O192" i="37"/>
  <c r="N192" i="37"/>
  <c r="M192" i="37"/>
  <c r="L192" i="37"/>
  <c r="I192" i="37"/>
  <c r="M190" i="37"/>
  <c r="I190" i="37"/>
  <c r="I211" i="37" s="1"/>
  <c r="E190" i="37"/>
  <c r="D190" i="37"/>
  <c r="C190" i="37"/>
  <c r="C211" i="37" s="1"/>
  <c r="C213" i="37" s="1"/>
  <c r="G184" i="37"/>
  <c r="F184" i="37"/>
  <c r="E184" i="37"/>
  <c r="D184" i="37"/>
  <c r="G183" i="37"/>
  <c r="F183" i="37"/>
  <c r="E183" i="37"/>
  <c r="D183" i="37"/>
  <c r="G182" i="37"/>
  <c r="F182" i="37"/>
  <c r="E182" i="37"/>
  <c r="D182" i="37"/>
  <c r="G175" i="37"/>
  <c r="F175" i="37"/>
  <c r="E175" i="37"/>
  <c r="D175" i="37"/>
  <c r="G172" i="37"/>
  <c r="F172" i="37"/>
  <c r="E172" i="37"/>
  <c r="D172" i="37"/>
  <c r="G169" i="37"/>
  <c r="F169" i="37"/>
  <c r="G168" i="37"/>
  <c r="F168" i="37"/>
  <c r="E168" i="37"/>
  <c r="D168" i="37"/>
  <c r="G166" i="37"/>
  <c r="G165" i="37"/>
  <c r="F165" i="37"/>
  <c r="E165" i="37"/>
  <c r="D165" i="37"/>
  <c r="L164" i="37"/>
  <c r="G164" i="37"/>
  <c r="F164" i="37"/>
  <c r="E164" i="37"/>
  <c r="D164" i="37"/>
  <c r="G163" i="37"/>
  <c r="F163" i="37"/>
  <c r="E163" i="37"/>
  <c r="N162" i="37"/>
  <c r="G162" i="37"/>
  <c r="F162" i="37"/>
  <c r="E162" i="37"/>
  <c r="D162" i="37"/>
  <c r="I161" i="37"/>
  <c r="F161" i="37"/>
  <c r="C161" i="37"/>
  <c r="C209" i="37" s="1"/>
  <c r="K160" i="37"/>
  <c r="G160" i="37"/>
  <c r="F160" i="37"/>
  <c r="G159" i="37"/>
  <c r="F159" i="37"/>
  <c r="E159" i="37"/>
  <c r="D159" i="37"/>
  <c r="G158" i="37"/>
  <c r="F158" i="37"/>
  <c r="E158" i="37"/>
  <c r="D158" i="37"/>
  <c r="L160" i="37" s="1"/>
  <c r="G157" i="37"/>
  <c r="F157" i="37"/>
  <c r="F154" i="37" s="1"/>
  <c r="F208" i="37" s="1"/>
  <c r="E157" i="37"/>
  <c r="D157" i="37"/>
  <c r="G156" i="37"/>
  <c r="G155" i="37"/>
  <c r="F155" i="37"/>
  <c r="I154" i="37"/>
  <c r="G154" i="37"/>
  <c r="D154" i="37"/>
  <c r="C154" i="37"/>
  <c r="C208" i="37" s="1"/>
  <c r="I145" i="37"/>
  <c r="I146" i="37" s="1"/>
  <c r="G145" i="37"/>
  <c r="F145" i="37"/>
  <c r="E145" i="37"/>
  <c r="E146" i="37" s="1"/>
  <c r="D145" i="37"/>
  <c r="D146" i="37" s="1"/>
  <c r="C145" i="37"/>
  <c r="I144" i="37"/>
  <c r="G144" i="37"/>
  <c r="F144" i="37"/>
  <c r="F146" i="37" s="1"/>
  <c r="E144" i="37"/>
  <c r="D144" i="37"/>
  <c r="C144" i="37"/>
  <c r="G142" i="37"/>
  <c r="F142" i="37"/>
  <c r="E142" i="37"/>
  <c r="D142" i="37"/>
  <c r="C142" i="37"/>
  <c r="I141" i="37"/>
  <c r="G138" i="37"/>
  <c r="F138" i="37"/>
  <c r="E138" i="37"/>
  <c r="D138" i="37"/>
  <c r="C138" i="37"/>
  <c r="I137" i="37"/>
  <c r="J137" i="37" s="1"/>
  <c r="G135" i="37"/>
  <c r="F135" i="37"/>
  <c r="E135" i="37"/>
  <c r="E130" i="37" s="1"/>
  <c r="G133" i="37"/>
  <c r="F133" i="37"/>
  <c r="F130" i="37" s="1"/>
  <c r="E133" i="37"/>
  <c r="G131" i="37"/>
  <c r="G130" i="37" s="1"/>
  <c r="F131" i="37"/>
  <c r="E131" i="37"/>
  <c r="D131" i="37"/>
  <c r="D130" i="37" s="1"/>
  <c r="I130" i="37"/>
  <c r="J130" i="37" s="1"/>
  <c r="C130" i="37"/>
  <c r="G128" i="37"/>
  <c r="F128" i="37"/>
  <c r="E128" i="37"/>
  <c r="G127" i="37"/>
  <c r="F127" i="37"/>
  <c r="E127" i="37"/>
  <c r="G126" i="37"/>
  <c r="F126" i="37"/>
  <c r="E126" i="37"/>
  <c r="G125" i="37"/>
  <c r="F125" i="37"/>
  <c r="E125" i="37"/>
  <c r="G121" i="37"/>
  <c r="G120" i="37" s="1"/>
  <c r="F121" i="37"/>
  <c r="E121" i="37"/>
  <c r="D121" i="37"/>
  <c r="D120" i="37" s="1"/>
  <c r="I120" i="37"/>
  <c r="F120" i="37"/>
  <c r="E120" i="37"/>
  <c r="C120" i="37"/>
  <c r="G119" i="37"/>
  <c r="F119" i="37"/>
  <c r="E119" i="37"/>
  <c r="D119" i="37"/>
  <c r="G118" i="37"/>
  <c r="F118" i="37"/>
  <c r="E118" i="37"/>
  <c r="D118" i="37"/>
  <c r="F116" i="37"/>
  <c r="E116" i="37"/>
  <c r="D116" i="37"/>
  <c r="G115" i="37"/>
  <c r="F115" i="37"/>
  <c r="E115" i="37"/>
  <c r="D115" i="37"/>
  <c r="I114" i="37"/>
  <c r="F114" i="37"/>
  <c r="E114" i="37"/>
  <c r="C114" i="37"/>
  <c r="G112" i="37"/>
  <c r="F112" i="37"/>
  <c r="E112" i="37"/>
  <c r="D112" i="37"/>
  <c r="D109" i="37" s="1"/>
  <c r="I109" i="37"/>
  <c r="G109" i="37"/>
  <c r="F109" i="37"/>
  <c r="E109" i="37"/>
  <c r="C109" i="37"/>
  <c r="G108" i="37"/>
  <c r="F108" i="37"/>
  <c r="F105" i="37" s="1"/>
  <c r="E108" i="37"/>
  <c r="D108" i="37"/>
  <c r="G107" i="37"/>
  <c r="G105" i="37" s="1"/>
  <c r="F107" i="37"/>
  <c r="E107" i="37"/>
  <c r="D107" i="37"/>
  <c r="G106" i="37"/>
  <c r="F106" i="37"/>
  <c r="E106" i="37"/>
  <c r="E105" i="37" s="1"/>
  <c r="D106" i="37"/>
  <c r="D105" i="37" s="1"/>
  <c r="I105" i="37"/>
  <c r="C105" i="37"/>
  <c r="G102" i="37"/>
  <c r="F102" i="37"/>
  <c r="F100" i="37" s="1"/>
  <c r="E102" i="37"/>
  <c r="D102" i="37"/>
  <c r="G101" i="37"/>
  <c r="G100" i="37" s="1"/>
  <c r="F101" i="37"/>
  <c r="E101" i="37"/>
  <c r="D101" i="37"/>
  <c r="D100" i="37" s="1"/>
  <c r="I100" i="37"/>
  <c r="E100" i="37"/>
  <c r="C100" i="37"/>
  <c r="G99" i="37"/>
  <c r="F99" i="37"/>
  <c r="E99" i="37"/>
  <c r="D99" i="37"/>
  <c r="G98" i="37"/>
  <c r="F98" i="37"/>
  <c r="G97" i="37"/>
  <c r="F97" i="37"/>
  <c r="E97" i="37"/>
  <c r="E95" i="37" s="1"/>
  <c r="D97" i="37"/>
  <c r="D95" i="37" s="1"/>
  <c r="I95" i="37"/>
  <c r="J95" i="37" s="1"/>
  <c r="G95" i="37"/>
  <c r="F95" i="37"/>
  <c r="C95" i="37"/>
  <c r="G93" i="37"/>
  <c r="F93" i="37"/>
  <c r="E93" i="37"/>
  <c r="E92" i="37" s="1"/>
  <c r="I92" i="37"/>
  <c r="G92" i="37"/>
  <c r="F92" i="37"/>
  <c r="D92" i="37"/>
  <c r="C92" i="37"/>
  <c r="G91" i="37"/>
  <c r="F91" i="37"/>
  <c r="E91" i="37"/>
  <c r="E90" i="37" s="1"/>
  <c r="D91" i="37"/>
  <c r="I90" i="37"/>
  <c r="G90" i="37"/>
  <c r="F90" i="37"/>
  <c r="D90" i="37"/>
  <c r="C90" i="37"/>
  <c r="G89" i="37"/>
  <c r="F89" i="37"/>
  <c r="E89" i="37"/>
  <c r="D89" i="37"/>
  <c r="G88" i="37"/>
  <c r="F88" i="37"/>
  <c r="E88" i="37"/>
  <c r="D88" i="37"/>
  <c r="G87" i="37"/>
  <c r="F87" i="37"/>
  <c r="E87" i="37"/>
  <c r="G86" i="37"/>
  <c r="F86" i="37"/>
  <c r="E86" i="37"/>
  <c r="D86" i="37"/>
  <c r="G85" i="37"/>
  <c r="F85" i="37"/>
  <c r="E85" i="37"/>
  <c r="D85" i="37"/>
  <c r="D84" i="37" s="1"/>
  <c r="I84" i="37"/>
  <c r="J84" i="37" s="1"/>
  <c r="E84" i="37"/>
  <c r="C84" i="37"/>
  <c r="G77" i="37"/>
  <c r="N77" i="37" s="1"/>
  <c r="C77" i="37"/>
  <c r="N76" i="37"/>
  <c r="M76" i="37"/>
  <c r="L76" i="37"/>
  <c r="K76" i="37"/>
  <c r="N75" i="37"/>
  <c r="G75" i="37"/>
  <c r="F75" i="37"/>
  <c r="F77" i="37" s="1"/>
  <c r="E75" i="37"/>
  <c r="M75" i="37" s="1"/>
  <c r="D75" i="37"/>
  <c r="C75" i="37"/>
  <c r="I74" i="37"/>
  <c r="I73" i="37"/>
  <c r="I75" i="37" s="1"/>
  <c r="I72" i="37"/>
  <c r="G70" i="37"/>
  <c r="F70" i="37"/>
  <c r="F137" i="37" s="1"/>
  <c r="E70" i="37"/>
  <c r="E137" i="37" s="1"/>
  <c r="E143" i="37" s="1"/>
  <c r="D70" i="37"/>
  <c r="D137" i="37" s="1"/>
  <c r="D143" i="37" s="1"/>
  <c r="C70" i="37"/>
  <c r="G69" i="37"/>
  <c r="F69" i="37"/>
  <c r="E69" i="37"/>
  <c r="D69" i="37"/>
  <c r="G67" i="37"/>
  <c r="F67" i="37"/>
  <c r="F44" i="37" s="1"/>
  <c r="E67" i="37"/>
  <c r="D67" i="37"/>
  <c r="G66" i="37"/>
  <c r="F66" i="37"/>
  <c r="E66" i="37"/>
  <c r="D66" i="37"/>
  <c r="G65" i="37"/>
  <c r="F65" i="37"/>
  <c r="E65" i="37"/>
  <c r="D65" i="37"/>
  <c r="G64" i="37"/>
  <c r="F64" i="37"/>
  <c r="E64" i="37"/>
  <c r="D64" i="37"/>
  <c r="G61" i="37"/>
  <c r="F61" i="37"/>
  <c r="G60" i="37"/>
  <c r="F60" i="37"/>
  <c r="I51" i="37"/>
  <c r="G49" i="37"/>
  <c r="F49" i="37"/>
  <c r="E49" i="37"/>
  <c r="D49" i="37"/>
  <c r="D44" i="37" s="1"/>
  <c r="I44" i="37"/>
  <c r="J44" i="37" s="1"/>
  <c r="E44" i="37"/>
  <c r="E42" i="37"/>
  <c r="E36" i="37" s="1"/>
  <c r="D42" i="37"/>
  <c r="D36" i="37" s="1"/>
  <c r="C42" i="37"/>
  <c r="G41" i="37"/>
  <c r="F41" i="37"/>
  <c r="E41" i="37"/>
  <c r="D41" i="37"/>
  <c r="I36" i="37"/>
  <c r="C36" i="37"/>
  <c r="I34" i="37"/>
  <c r="J34" i="37" s="1"/>
  <c r="G34" i="37"/>
  <c r="F34" i="37"/>
  <c r="E34" i="37"/>
  <c r="D34" i="37"/>
  <c r="C34" i="37"/>
  <c r="M33" i="37"/>
  <c r="L33" i="37"/>
  <c r="K33" i="37"/>
  <c r="M32" i="37"/>
  <c r="L32" i="37"/>
  <c r="K32" i="37"/>
  <c r="G27" i="37"/>
  <c r="F27" i="37"/>
  <c r="E27" i="37"/>
  <c r="D27" i="37"/>
  <c r="C27" i="37"/>
  <c r="C12" i="37" s="1"/>
  <c r="G23" i="37"/>
  <c r="F23" i="37"/>
  <c r="G21" i="37"/>
  <c r="F21" i="37"/>
  <c r="E21" i="37"/>
  <c r="D21" i="37"/>
  <c r="P17" i="37"/>
  <c r="L17" i="37"/>
  <c r="K17" i="37"/>
  <c r="G17" i="37"/>
  <c r="F17" i="37"/>
  <c r="G16" i="37"/>
  <c r="F16" i="37"/>
  <c r="E16" i="37"/>
  <c r="M17" i="37" s="1"/>
  <c r="D16" i="37"/>
  <c r="G15" i="37"/>
  <c r="F15" i="37"/>
  <c r="E15" i="37"/>
  <c r="G13" i="37"/>
  <c r="F13" i="37"/>
  <c r="E13" i="37"/>
  <c r="I12" i="37"/>
  <c r="J12" i="37" s="1"/>
  <c r="E12" i="37"/>
  <c r="D12" i="37"/>
  <c r="G10" i="37"/>
  <c r="F10" i="37"/>
  <c r="G8" i="37"/>
  <c r="F8" i="37"/>
  <c r="E8" i="37"/>
  <c r="G5" i="37"/>
  <c r="F5" i="37"/>
  <c r="F4" i="37" s="1"/>
  <c r="E5" i="37"/>
  <c r="E4" i="37" s="1"/>
  <c r="D5" i="37"/>
  <c r="I4" i="37"/>
  <c r="D4" i="37"/>
  <c r="C4" i="37"/>
  <c r="G97" i="35"/>
  <c r="G84" i="35"/>
  <c r="I123" i="17" l="1"/>
  <c r="J114" i="37"/>
  <c r="J120" i="37"/>
  <c r="J105" i="37"/>
  <c r="G144" i="17"/>
  <c r="G146" i="17" s="1"/>
  <c r="J196" i="37"/>
  <c r="J190" i="37"/>
  <c r="J161" i="37"/>
  <c r="O154" i="37"/>
  <c r="H208" i="37"/>
  <c r="O161" i="37"/>
  <c r="E144" i="17"/>
  <c r="E146" i="17" s="1"/>
  <c r="I134" i="17"/>
  <c r="H141" i="17"/>
  <c r="I141" i="17" s="1"/>
  <c r="H125" i="17"/>
  <c r="I125" i="17" s="1"/>
  <c r="I128" i="17"/>
  <c r="I142" i="17"/>
  <c r="D144" i="17"/>
  <c r="C144" i="17"/>
  <c r="H121" i="17"/>
  <c r="H131" i="17"/>
  <c r="I131" i="17" s="1"/>
  <c r="H210" i="37"/>
  <c r="H146" i="37"/>
  <c r="H143" i="37"/>
  <c r="H147" i="37"/>
  <c r="H136" i="37"/>
  <c r="H71" i="37"/>
  <c r="M146" i="37"/>
  <c r="C136" i="37"/>
  <c r="K190" i="37"/>
  <c r="F143" i="37"/>
  <c r="M143" i="37" s="1"/>
  <c r="E136" i="37"/>
  <c r="L196" i="37"/>
  <c r="E77" i="37"/>
  <c r="M77" i="37" s="1"/>
  <c r="I213" i="37"/>
  <c r="N196" i="37"/>
  <c r="K196" i="37"/>
  <c r="I77" i="37"/>
  <c r="D208" i="37"/>
  <c r="K154" i="37"/>
  <c r="D71" i="37"/>
  <c r="O17" i="37"/>
  <c r="G12" i="37"/>
  <c r="F36" i="37"/>
  <c r="F42" i="37"/>
  <c r="L143" i="37"/>
  <c r="E147" i="37"/>
  <c r="F84" i="37"/>
  <c r="F136" i="37" s="1"/>
  <c r="G161" i="37"/>
  <c r="F210" i="37"/>
  <c r="E212" i="37"/>
  <c r="G4" i="37"/>
  <c r="G42" i="37"/>
  <c r="F147" i="37"/>
  <c r="M147" i="37" s="1"/>
  <c r="K75" i="37"/>
  <c r="D77" i="37"/>
  <c r="G84" i="37"/>
  <c r="L146" i="37"/>
  <c r="D147" i="37"/>
  <c r="E71" i="37"/>
  <c r="N17" i="37"/>
  <c r="F12" i="37"/>
  <c r="F71" i="37" s="1"/>
  <c r="I71" i="37"/>
  <c r="J71" i="37" s="1"/>
  <c r="G44" i="37"/>
  <c r="C137" i="37"/>
  <c r="C143" i="37" s="1"/>
  <c r="C44" i="37"/>
  <c r="C71" i="37" s="1"/>
  <c r="C78" i="37" s="1"/>
  <c r="C205" i="37" s="1"/>
  <c r="G137" i="37"/>
  <c r="I142" i="37"/>
  <c r="I136" i="37"/>
  <c r="G208" i="37"/>
  <c r="N154" i="37"/>
  <c r="D211" i="37"/>
  <c r="D213" i="37" s="1"/>
  <c r="F212" i="37"/>
  <c r="I138" i="37"/>
  <c r="K72" i="37"/>
  <c r="L75" i="37"/>
  <c r="G114" i="37"/>
  <c r="I208" i="37"/>
  <c r="I210" i="37" s="1"/>
  <c r="M160" i="37"/>
  <c r="E154" i="37"/>
  <c r="D161" i="37"/>
  <c r="L190" i="37"/>
  <c r="E211" i="37"/>
  <c r="E213" i="37" s="1"/>
  <c r="F213" i="37"/>
  <c r="F209" i="37"/>
  <c r="M196" i="37"/>
  <c r="D114" i="37"/>
  <c r="D136" i="37" s="1"/>
  <c r="I139" i="37"/>
  <c r="C146" i="37"/>
  <c r="K146" i="37" s="1"/>
  <c r="G146" i="37"/>
  <c r="N146" i="37" s="1"/>
  <c r="C210" i="37"/>
  <c r="N160" i="37"/>
  <c r="E161" i="37"/>
  <c r="M162" i="37"/>
  <c r="G190" i="37"/>
  <c r="S48" i="28"/>
  <c r="S44" i="28"/>
  <c r="S39" i="28"/>
  <c r="S31" i="28"/>
  <c r="S20" i="28"/>
  <c r="S17" i="28"/>
  <c r="S7" i="28"/>
  <c r="H148" i="37" l="1"/>
  <c r="J136" i="37"/>
  <c r="H78" i="37"/>
  <c r="O78" i="37" s="1"/>
  <c r="O71" i="37"/>
  <c r="H144" i="17"/>
  <c r="I144" i="17" s="1"/>
  <c r="I121" i="17"/>
  <c r="H205" i="37"/>
  <c r="K136" i="37"/>
  <c r="D148" i="37"/>
  <c r="L136" i="37"/>
  <c r="M71" i="37"/>
  <c r="F78" i="37"/>
  <c r="F148" i="37"/>
  <c r="M136" i="37"/>
  <c r="G143" i="37"/>
  <c r="C216" i="37"/>
  <c r="C219" i="37" s="1"/>
  <c r="C207" i="37"/>
  <c r="C214" i="37" s="1"/>
  <c r="L147" i="37"/>
  <c r="E209" i="37"/>
  <c r="L161" i="37"/>
  <c r="M161" i="37"/>
  <c r="E78" i="37"/>
  <c r="L71" i="37"/>
  <c r="K77" i="37"/>
  <c r="L77" i="37"/>
  <c r="N161" i="37"/>
  <c r="G209" i="37"/>
  <c r="G210" i="37" s="1"/>
  <c r="G211" i="37"/>
  <c r="G213" i="37" s="1"/>
  <c r="N190" i="37"/>
  <c r="L154" i="37"/>
  <c r="M154" i="37"/>
  <c r="E208" i="37"/>
  <c r="E210" i="37" s="1"/>
  <c r="I143" i="37"/>
  <c r="J143" i="37" s="1"/>
  <c r="K142" i="37"/>
  <c r="G136" i="37"/>
  <c r="O136" i="37" s="1"/>
  <c r="D209" i="37"/>
  <c r="D210" i="37" s="1"/>
  <c r="K161" i="37"/>
  <c r="C147" i="37"/>
  <c r="C148" i="37" s="1"/>
  <c r="C206" i="37" s="1"/>
  <c r="C217" i="37" s="1"/>
  <c r="C220" i="37" s="1"/>
  <c r="I78" i="37"/>
  <c r="K143" i="37"/>
  <c r="G36" i="37"/>
  <c r="D78" i="37"/>
  <c r="K71" i="37"/>
  <c r="E148" i="37"/>
  <c r="S46" i="28"/>
  <c r="S49" i="28" s="1"/>
  <c r="S24" i="28"/>
  <c r="S27" i="28" s="1"/>
  <c r="G69" i="35"/>
  <c r="J78" i="37" l="1"/>
  <c r="H206" i="37"/>
  <c r="H217" i="37" s="1"/>
  <c r="H216" i="37"/>
  <c r="H219" i="37" s="1"/>
  <c r="O219" i="37" s="1"/>
  <c r="K147" i="37"/>
  <c r="D205" i="37"/>
  <c r="K78" i="37"/>
  <c r="N136" i="37"/>
  <c r="E206" i="37"/>
  <c r="E217" i="37" s="1"/>
  <c r="L148" i="37"/>
  <c r="G71" i="37"/>
  <c r="L78" i="37"/>
  <c r="E205" i="37"/>
  <c r="M148" i="37"/>
  <c r="F206" i="37"/>
  <c r="F217" i="37" s="1"/>
  <c r="D206" i="37"/>
  <c r="D217" i="37" s="1"/>
  <c r="K148" i="37"/>
  <c r="I147" i="37"/>
  <c r="J147" i="37" s="1"/>
  <c r="I205" i="37"/>
  <c r="G147" i="37"/>
  <c r="N147" i="37" s="1"/>
  <c r="N143" i="37"/>
  <c r="F205" i="37"/>
  <c r="M78" i="37"/>
  <c r="S50" i="28"/>
  <c r="G127" i="35"/>
  <c r="G124" i="35"/>
  <c r="G120" i="35"/>
  <c r="G132" i="35"/>
  <c r="G130" i="35"/>
  <c r="G5" i="35"/>
  <c r="O216" i="37" l="1"/>
  <c r="H220" i="37"/>
  <c r="H207" i="37"/>
  <c r="H214" i="37" s="1"/>
  <c r="G148" i="37"/>
  <c r="O148" i="37" s="1"/>
  <c r="D220" i="37"/>
  <c r="K220" i="37" s="1"/>
  <c r="K217" i="37"/>
  <c r="G206" i="37"/>
  <c r="G217" i="37" s="1"/>
  <c r="O217" i="37" s="1"/>
  <c r="M217" i="37"/>
  <c r="F220" i="37"/>
  <c r="I148" i="37"/>
  <c r="J148" i="37" s="1"/>
  <c r="G78" i="37"/>
  <c r="N71" i="37"/>
  <c r="F216" i="37"/>
  <c r="F207" i="37"/>
  <c r="F214" i="37" s="1"/>
  <c r="I216" i="37"/>
  <c r="I219" i="37" s="1"/>
  <c r="E216" i="37"/>
  <c r="E207" i="37"/>
  <c r="E214" i="37" s="1"/>
  <c r="L217" i="37"/>
  <c r="E220" i="37"/>
  <c r="L220" i="37" s="1"/>
  <c r="D216" i="37"/>
  <c r="D207" i="37"/>
  <c r="D214" i="37" s="1"/>
  <c r="N136" i="17"/>
  <c r="G163" i="17"/>
  <c r="D163" i="17"/>
  <c r="C163" i="17"/>
  <c r="G169" i="17"/>
  <c r="G171" i="35"/>
  <c r="G155" i="35"/>
  <c r="G165" i="35"/>
  <c r="G126" i="35"/>
  <c r="G125" i="35"/>
  <c r="G105" i="35"/>
  <c r="G71" i="34"/>
  <c r="G137" i="34"/>
  <c r="H71" i="35"/>
  <c r="J71" i="35"/>
  <c r="H136" i="35"/>
  <c r="H137" i="35"/>
  <c r="J141" i="35" s="1"/>
  <c r="H138" i="35"/>
  <c r="H144" i="35"/>
  <c r="H73" i="35"/>
  <c r="H72" i="35"/>
  <c r="H74" i="35"/>
  <c r="H76" i="35" s="1"/>
  <c r="G138" i="34"/>
  <c r="G141" i="34"/>
  <c r="G144" i="34"/>
  <c r="G136" i="34"/>
  <c r="N148" i="37" l="1"/>
  <c r="L216" i="37"/>
  <c r="E219" i="37"/>
  <c r="I206" i="37"/>
  <c r="M220" i="37"/>
  <c r="K216" i="37"/>
  <c r="D219" i="37"/>
  <c r="K219" i="37" s="1"/>
  <c r="F219" i="37"/>
  <c r="M219" i="37" s="1"/>
  <c r="M216" i="37"/>
  <c r="N217" i="37"/>
  <c r="G220" i="37"/>
  <c r="N220" i="37" s="1"/>
  <c r="N78" i="37"/>
  <c r="G205" i="37"/>
  <c r="H141" i="35"/>
  <c r="H143" i="35"/>
  <c r="G143" i="34"/>
  <c r="H51" i="35"/>
  <c r="O17" i="35"/>
  <c r="N17" i="35"/>
  <c r="K17" i="35"/>
  <c r="L17" i="35"/>
  <c r="M17" i="35"/>
  <c r="O220" i="37" l="1"/>
  <c r="I217" i="37"/>
  <c r="I220" i="37" s="1"/>
  <c r="I207" i="37"/>
  <c r="I214" i="37" s="1"/>
  <c r="L219" i="37"/>
  <c r="G216" i="37"/>
  <c r="G207" i="37"/>
  <c r="G214" i="37" s="1"/>
  <c r="G182" i="17"/>
  <c r="G184" i="17" s="1"/>
  <c r="F182" i="17"/>
  <c r="H181" i="17"/>
  <c r="I181" i="17" s="1"/>
  <c r="C180" i="17"/>
  <c r="H180" i="17"/>
  <c r="E179" i="17"/>
  <c r="D179" i="17"/>
  <c r="H178" i="17"/>
  <c r="I178" i="17" s="1"/>
  <c r="H177" i="17"/>
  <c r="I177" i="17" s="1"/>
  <c r="H176" i="17"/>
  <c r="I176" i="17" s="1"/>
  <c r="H175" i="17"/>
  <c r="I175" i="17" s="1"/>
  <c r="H174" i="17"/>
  <c r="I174" i="17" s="1"/>
  <c r="N137" i="17"/>
  <c r="H173" i="17"/>
  <c r="I173" i="17" s="1"/>
  <c r="E172" i="17"/>
  <c r="H172" i="17" s="1"/>
  <c r="C172" i="17"/>
  <c r="H171" i="17"/>
  <c r="I171" i="17" s="1"/>
  <c r="H170" i="17"/>
  <c r="I170" i="17" s="1"/>
  <c r="E169" i="17"/>
  <c r="H169" i="17" s="1"/>
  <c r="H168" i="17"/>
  <c r="I168" i="17" s="1"/>
  <c r="H167" i="17"/>
  <c r="I167" i="17" s="1"/>
  <c r="D166" i="17"/>
  <c r="H166" i="17" s="1"/>
  <c r="C166" i="17"/>
  <c r="N127" i="17"/>
  <c r="H165" i="17"/>
  <c r="I165" i="17" s="1"/>
  <c r="H164" i="17"/>
  <c r="I164" i="17" s="1"/>
  <c r="H163" i="17"/>
  <c r="I163" i="17" s="1"/>
  <c r="H162" i="17"/>
  <c r="I162" i="17" s="1"/>
  <c r="C161" i="17"/>
  <c r="H161" i="17"/>
  <c r="N122" i="17"/>
  <c r="H160" i="17"/>
  <c r="I160" i="17" s="1"/>
  <c r="D159" i="17"/>
  <c r="M74" i="35"/>
  <c r="M75" i="35"/>
  <c r="M76" i="35"/>
  <c r="M145" i="35"/>
  <c r="M189" i="35"/>
  <c r="L195" i="35"/>
  <c r="M195" i="35"/>
  <c r="I190" i="35"/>
  <c r="I191" i="35"/>
  <c r="I192" i="35"/>
  <c r="I193" i="35"/>
  <c r="I194" i="35"/>
  <c r="I196" i="35"/>
  <c r="I197" i="35"/>
  <c r="I198" i="35"/>
  <c r="I154" i="35"/>
  <c r="I156" i="35"/>
  <c r="I157" i="35"/>
  <c r="I158" i="35"/>
  <c r="I159" i="35"/>
  <c r="I161" i="35"/>
  <c r="I162" i="35"/>
  <c r="I163" i="35"/>
  <c r="I164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53" i="35"/>
  <c r="I84" i="35"/>
  <c r="I85" i="35"/>
  <c r="I86" i="35"/>
  <c r="I87" i="35"/>
  <c r="I88" i="35"/>
  <c r="I90" i="35"/>
  <c r="I92" i="35"/>
  <c r="I93" i="35"/>
  <c r="I95" i="35"/>
  <c r="I96" i="35"/>
  <c r="I97" i="35"/>
  <c r="I98" i="35"/>
  <c r="I99" i="35"/>
  <c r="I100" i="35"/>
  <c r="I101" i="35"/>
  <c r="I102" i="35"/>
  <c r="I103" i="35"/>
  <c r="I105" i="35"/>
  <c r="I106" i="35"/>
  <c r="I107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5" i="35"/>
  <c r="I126" i="35"/>
  <c r="I127" i="35"/>
  <c r="I128" i="35"/>
  <c r="I130" i="35"/>
  <c r="I131" i="35"/>
  <c r="I132" i="35"/>
  <c r="I133" i="35"/>
  <c r="I134" i="35"/>
  <c r="I137" i="35"/>
  <c r="I138" i="35"/>
  <c r="I139" i="35"/>
  <c r="I140" i="35"/>
  <c r="I143" i="35"/>
  <c r="I144" i="35"/>
  <c r="I5" i="35"/>
  <c r="I6" i="35"/>
  <c r="I7" i="35"/>
  <c r="I8" i="35"/>
  <c r="I9" i="35"/>
  <c r="I10" i="35"/>
  <c r="I11" i="35"/>
  <c r="I13" i="35"/>
  <c r="I14" i="35"/>
  <c r="I15" i="35"/>
  <c r="I16" i="35"/>
  <c r="I17" i="35"/>
  <c r="I18" i="35"/>
  <c r="I20" i="35"/>
  <c r="I21" i="35"/>
  <c r="I22" i="35"/>
  <c r="I23" i="35"/>
  <c r="I24" i="35"/>
  <c r="I26" i="35"/>
  <c r="I27" i="35"/>
  <c r="I28" i="35"/>
  <c r="I29" i="35"/>
  <c r="I30" i="35"/>
  <c r="I31" i="35"/>
  <c r="I32" i="35"/>
  <c r="I33" i="35"/>
  <c r="I35" i="35"/>
  <c r="I38" i="35"/>
  <c r="I39" i="35"/>
  <c r="I40" i="35"/>
  <c r="I41" i="35"/>
  <c r="I42" i="35"/>
  <c r="I43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2" i="35"/>
  <c r="I63" i="35"/>
  <c r="I64" i="35"/>
  <c r="I65" i="35"/>
  <c r="I66" i="35"/>
  <c r="I67" i="35"/>
  <c r="I68" i="35"/>
  <c r="I69" i="35"/>
  <c r="I71" i="35"/>
  <c r="I72" i="35"/>
  <c r="I73" i="35"/>
  <c r="I75" i="35"/>
  <c r="G83" i="35"/>
  <c r="G85" i="35"/>
  <c r="G86" i="35"/>
  <c r="G87" i="35"/>
  <c r="G88" i="35"/>
  <c r="G90" i="35"/>
  <c r="G89" i="35" s="1"/>
  <c r="G92" i="35"/>
  <c r="G91" i="35" s="1"/>
  <c r="G96" i="35"/>
  <c r="G94" i="35" s="1"/>
  <c r="G98" i="35"/>
  <c r="G100" i="35"/>
  <c r="G99" i="35" s="1"/>
  <c r="G101" i="35"/>
  <c r="G104" i="35"/>
  <c r="I104" i="35" s="1"/>
  <c r="G106" i="35"/>
  <c r="G107" i="35"/>
  <c r="G111" i="35"/>
  <c r="G108" i="35" s="1"/>
  <c r="G114" i="35"/>
  <c r="G117" i="35"/>
  <c r="G118" i="35"/>
  <c r="G113" i="35" s="1"/>
  <c r="I113" i="35" s="1"/>
  <c r="G119" i="35"/>
  <c r="G129" i="35"/>
  <c r="G134" i="35"/>
  <c r="G136" i="35"/>
  <c r="G142" i="35" s="1"/>
  <c r="G146" i="35" s="1"/>
  <c r="M146" i="35" s="1"/>
  <c r="G137" i="35"/>
  <c r="G141" i="35"/>
  <c r="G143" i="35"/>
  <c r="G145" i="35" s="1"/>
  <c r="G144" i="35"/>
  <c r="G154" i="35"/>
  <c r="G156" i="35"/>
  <c r="G153" i="35" s="1"/>
  <c r="G207" i="35" s="1"/>
  <c r="G157" i="35"/>
  <c r="G158" i="35"/>
  <c r="G159" i="35"/>
  <c r="G161" i="35"/>
  <c r="G160" i="35" s="1"/>
  <c r="G208" i="35" s="1"/>
  <c r="G162" i="35"/>
  <c r="G163" i="35"/>
  <c r="G164" i="35"/>
  <c r="G167" i="35"/>
  <c r="G168" i="35"/>
  <c r="G174" i="35"/>
  <c r="G181" i="35"/>
  <c r="G182" i="35"/>
  <c r="G183" i="35"/>
  <c r="G189" i="35"/>
  <c r="G192" i="35"/>
  <c r="G195" i="35"/>
  <c r="G211" i="35" s="1"/>
  <c r="G210" i="35"/>
  <c r="G4" i="35"/>
  <c r="G8" i="35"/>
  <c r="G10" i="35"/>
  <c r="G13" i="35"/>
  <c r="G12" i="35" s="1"/>
  <c r="G15" i="35"/>
  <c r="G16" i="35"/>
  <c r="G17" i="35"/>
  <c r="G21" i="35"/>
  <c r="G23" i="35"/>
  <c r="G27" i="35"/>
  <c r="G34" i="35"/>
  <c r="G41" i="35"/>
  <c r="G36" i="35" s="1"/>
  <c r="G42" i="35"/>
  <c r="G49" i="35"/>
  <c r="G44" i="35" s="1"/>
  <c r="G59" i="35"/>
  <c r="G60" i="35"/>
  <c r="G63" i="35"/>
  <c r="G64" i="35"/>
  <c r="G65" i="35"/>
  <c r="G66" i="35"/>
  <c r="G68" i="35"/>
  <c r="G74" i="35"/>
  <c r="G76" i="35" s="1"/>
  <c r="X48" i="28"/>
  <c r="X43" i="28"/>
  <c r="X27" i="28"/>
  <c r="X16" i="28"/>
  <c r="X13" i="28"/>
  <c r="X7" i="28"/>
  <c r="C210" i="35"/>
  <c r="H195" i="35"/>
  <c r="I195" i="35" s="1"/>
  <c r="F195" i="35"/>
  <c r="F211" i="35" s="1"/>
  <c r="E195" i="35"/>
  <c r="D195" i="35"/>
  <c r="D211" i="35" s="1"/>
  <c r="C195" i="35"/>
  <c r="C211" i="35" s="1"/>
  <c r="N193" i="35"/>
  <c r="M193" i="35"/>
  <c r="L193" i="35"/>
  <c r="K193" i="35"/>
  <c r="F192" i="35"/>
  <c r="N191" i="35"/>
  <c r="M191" i="35"/>
  <c r="L191" i="35"/>
  <c r="K191" i="35"/>
  <c r="H191" i="35"/>
  <c r="F189" i="35"/>
  <c r="F210" i="35" s="1"/>
  <c r="E189" i="35"/>
  <c r="D189" i="35"/>
  <c r="D210" i="35" s="1"/>
  <c r="D212" i="35" s="1"/>
  <c r="C189" i="35"/>
  <c r="F183" i="35"/>
  <c r="E183" i="35"/>
  <c r="D183" i="35"/>
  <c r="F182" i="35"/>
  <c r="E182" i="35"/>
  <c r="D182" i="35"/>
  <c r="F181" i="35"/>
  <c r="E181" i="35"/>
  <c r="D181" i="35"/>
  <c r="F174" i="35"/>
  <c r="E174" i="35"/>
  <c r="D174" i="35"/>
  <c r="F171" i="35"/>
  <c r="E171" i="35"/>
  <c r="D171" i="35"/>
  <c r="F168" i="35"/>
  <c r="F167" i="35"/>
  <c r="E167" i="35"/>
  <c r="D167" i="35"/>
  <c r="F164" i="35"/>
  <c r="E164" i="35"/>
  <c r="D164" i="35"/>
  <c r="K163" i="35"/>
  <c r="F163" i="35"/>
  <c r="E163" i="35"/>
  <c r="D163" i="35"/>
  <c r="F162" i="35"/>
  <c r="E162" i="35"/>
  <c r="M161" i="35"/>
  <c r="F161" i="35"/>
  <c r="E161" i="35"/>
  <c r="E160" i="35" s="1"/>
  <c r="D161" i="35"/>
  <c r="L161" i="35" s="1"/>
  <c r="H160" i="35"/>
  <c r="F160" i="35"/>
  <c r="C160" i="35"/>
  <c r="C208" i="35" s="1"/>
  <c r="J159" i="35"/>
  <c r="F159" i="35"/>
  <c r="F158" i="35"/>
  <c r="E158" i="35"/>
  <c r="D158" i="35"/>
  <c r="F157" i="35"/>
  <c r="E157" i="35"/>
  <c r="L159" i="35" s="1"/>
  <c r="D157" i="35"/>
  <c r="F156" i="35"/>
  <c r="E156" i="35"/>
  <c r="D156" i="35"/>
  <c r="K159" i="35" s="1"/>
  <c r="F154" i="35"/>
  <c r="H153" i="35"/>
  <c r="H207" i="35" s="1"/>
  <c r="C153" i="35"/>
  <c r="C207" i="35" s="1"/>
  <c r="C209" i="35" s="1"/>
  <c r="H145" i="35"/>
  <c r="I145" i="35" s="1"/>
  <c r="C145" i="35"/>
  <c r="F144" i="35"/>
  <c r="E144" i="35"/>
  <c r="D144" i="35"/>
  <c r="C144" i="35"/>
  <c r="F143" i="35"/>
  <c r="F145" i="35" s="1"/>
  <c r="L145" i="35" s="1"/>
  <c r="E143" i="35"/>
  <c r="E145" i="35" s="1"/>
  <c r="D143" i="35"/>
  <c r="C143" i="35"/>
  <c r="F141" i="35"/>
  <c r="E141" i="35"/>
  <c r="D141" i="35"/>
  <c r="C141" i="35"/>
  <c r="H140" i="35"/>
  <c r="F137" i="35"/>
  <c r="E137" i="35"/>
  <c r="D137" i="35"/>
  <c r="C137" i="35"/>
  <c r="F136" i="35"/>
  <c r="F142" i="35" s="1"/>
  <c r="E136" i="35"/>
  <c r="E142" i="35" s="1"/>
  <c r="E146" i="35" s="1"/>
  <c r="F134" i="35"/>
  <c r="E134" i="35"/>
  <c r="F132" i="35"/>
  <c r="E132" i="35"/>
  <c r="F130" i="35"/>
  <c r="E130" i="35"/>
  <c r="D130" i="35"/>
  <c r="H129" i="35"/>
  <c r="F129" i="35"/>
  <c r="E129" i="35"/>
  <c r="D129" i="35"/>
  <c r="C129" i="35"/>
  <c r="F127" i="35"/>
  <c r="E127" i="35"/>
  <c r="F126" i="35"/>
  <c r="E126" i="35"/>
  <c r="F125" i="35"/>
  <c r="E125" i="35"/>
  <c r="F124" i="35"/>
  <c r="E124" i="35"/>
  <c r="F120" i="35"/>
  <c r="E120" i="35"/>
  <c r="E119" i="35" s="1"/>
  <c r="D120" i="35"/>
  <c r="H119" i="35"/>
  <c r="D119" i="35"/>
  <c r="C119" i="35"/>
  <c r="F118" i="35"/>
  <c r="E118" i="35"/>
  <c r="D118" i="35"/>
  <c r="F117" i="35"/>
  <c r="E117" i="35"/>
  <c r="D117" i="35"/>
  <c r="F115" i="35"/>
  <c r="E115" i="35"/>
  <c r="E113" i="35" s="1"/>
  <c r="D115" i="35"/>
  <c r="F114" i="35"/>
  <c r="E114" i="35"/>
  <c r="D114" i="35"/>
  <c r="H113" i="35"/>
  <c r="F113" i="35"/>
  <c r="C113" i="35"/>
  <c r="F111" i="35"/>
  <c r="E111" i="35"/>
  <c r="D111" i="35"/>
  <c r="D108" i="35" s="1"/>
  <c r="H108" i="35"/>
  <c r="F108" i="35"/>
  <c r="E108" i="35"/>
  <c r="C108" i="35"/>
  <c r="F107" i="35"/>
  <c r="E107" i="35"/>
  <c r="D107" i="35"/>
  <c r="F106" i="35"/>
  <c r="E106" i="35"/>
  <c r="D106" i="35"/>
  <c r="F105" i="35"/>
  <c r="E105" i="35"/>
  <c r="D105" i="35"/>
  <c r="H104" i="35"/>
  <c r="F104" i="35"/>
  <c r="E104" i="35"/>
  <c r="D104" i="35"/>
  <c r="C104" i="35"/>
  <c r="F101" i="35"/>
  <c r="E101" i="35"/>
  <c r="D101" i="35"/>
  <c r="F100" i="35"/>
  <c r="E100" i="35"/>
  <c r="D100" i="35"/>
  <c r="H99" i="35"/>
  <c r="F99" i="35"/>
  <c r="E99" i="35"/>
  <c r="D99" i="35"/>
  <c r="C99" i="35"/>
  <c r="F98" i="35"/>
  <c r="E98" i="35"/>
  <c r="D98" i="35"/>
  <c r="F97" i="35"/>
  <c r="F96" i="35"/>
  <c r="E96" i="35"/>
  <c r="D96" i="35"/>
  <c r="D94" i="35" s="1"/>
  <c r="H94" i="35"/>
  <c r="E94" i="35"/>
  <c r="C94" i="35"/>
  <c r="F92" i="35"/>
  <c r="E92" i="35"/>
  <c r="H91" i="35"/>
  <c r="I91" i="35" s="1"/>
  <c r="F91" i="35"/>
  <c r="E91" i="35"/>
  <c r="D91" i="35"/>
  <c r="C91" i="35"/>
  <c r="F90" i="35"/>
  <c r="E90" i="35"/>
  <c r="D90" i="35"/>
  <c r="D89" i="35" s="1"/>
  <c r="H89" i="35"/>
  <c r="I89" i="35" s="1"/>
  <c r="F89" i="35"/>
  <c r="E89" i="35"/>
  <c r="C89" i="35"/>
  <c r="F88" i="35"/>
  <c r="E88" i="35"/>
  <c r="D88" i="35"/>
  <c r="F87" i="35"/>
  <c r="E87" i="35"/>
  <c r="D87" i="35"/>
  <c r="F86" i="35"/>
  <c r="E86" i="35"/>
  <c r="F85" i="35"/>
  <c r="E85" i="35"/>
  <c r="D85" i="35"/>
  <c r="F84" i="35"/>
  <c r="E84" i="35"/>
  <c r="D84" i="35"/>
  <c r="H83" i="35"/>
  <c r="D83" i="35"/>
  <c r="C83" i="35"/>
  <c r="E76" i="35"/>
  <c r="L75" i="35"/>
  <c r="K75" i="35"/>
  <c r="J75" i="35"/>
  <c r="F74" i="35"/>
  <c r="E74" i="35"/>
  <c r="D74" i="35"/>
  <c r="D76" i="35" s="1"/>
  <c r="C74" i="35"/>
  <c r="C76" i="35" s="1"/>
  <c r="F69" i="35"/>
  <c r="E69" i="35"/>
  <c r="D69" i="35"/>
  <c r="D136" i="35" s="1"/>
  <c r="D142" i="35" s="1"/>
  <c r="C69" i="35"/>
  <c r="F68" i="35"/>
  <c r="E68" i="35"/>
  <c r="D68" i="35"/>
  <c r="D44" i="35" s="1"/>
  <c r="F66" i="35"/>
  <c r="E66" i="35"/>
  <c r="D66" i="35"/>
  <c r="F65" i="35"/>
  <c r="E65" i="35"/>
  <c r="D65" i="35"/>
  <c r="F64" i="35"/>
  <c r="E64" i="35"/>
  <c r="D64" i="35"/>
  <c r="F63" i="35"/>
  <c r="E63" i="35"/>
  <c r="E44" i="35" s="1"/>
  <c r="D63" i="35"/>
  <c r="F60" i="35"/>
  <c r="F44" i="35" s="1"/>
  <c r="F59" i="35"/>
  <c r="F49" i="35"/>
  <c r="E49" i="35"/>
  <c r="D49" i="35"/>
  <c r="H44" i="35"/>
  <c r="F42" i="35"/>
  <c r="F36" i="35" s="1"/>
  <c r="C42" i="35"/>
  <c r="C36" i="35" s="1"/>
  <c r="F41" i="35"/>
  <c r="E41" i="35"/>
  <c r="E42" i="35" s="1"/>
  <c r="E36" i="35" s="1"/>
  <c r="D41" i="35"/>
  <c r="D42" i="35" s="1"/>
  <c r="H36" i="35"/>
  <c r="I36" i="35" s="1"/>
  <c r="D36" i="35"/>
  <c r="H34" i="35"/>
  <c r="I34" i="35" s="1"/>
  <c r="F34" i="35"/>
  <c r="E34" i="35"/>
  <c r="D34" i="35"/>
  <c r="C34" i="35"/>
  <c r="L33" i="35"/>
  <c r="L32" i="35"/>
  <c r="F27" i="35"/>
  <c r="E27" i="35"/>
  <c r="D27" i="35"/>
  <c r="D12" i="35" s="1"/>
  <c r="C27" i="35"/>
  <c r="F23" i="35"/>
  <c r="F21" i="35"/>
  <c r="E21" i="35"/>
  <c r="D21" i="35"/>
  <c r="K33" i="35" s="1"/>
  <c r="J17" i="35"/>
  <c r="F17" i="35"/>
  <c r="F16" i="35"/>
  <c r="E16" i="35"/>
  <c r="D16" i="35"/>
  <c r="F15" i="35"/>
  <c r="E15" i="35"/>
  <c r="F13" i="35"/>
  <c r="E13" i="35"/>
  <c r="E12" i="35" s="1"/>
  <c r="H12" i="35"/>
  <c r="I12" i="35" s="1"/>
  <c r="F10" i="35"/>
  <c r="F8" i="35"/>
  <c r="E8" i="35"/>
  <c r="E4" i="35" s="1"/>
  <c r="F5" i="35"/>
  <c r="F4" i="35" s="1"/>
  <c r="E5" i="35"/>
  <c r="D5" i="35"/>
  <c r="H4" i="35"/>
  <c r="D4" i="35"/>
  <c r="C4" i="35"/>
  <c r="H179" i="17" l="1"/>
  <c r="I179" i="17" s="1"/>
  <c r="I169" i="17"/>
  <c r="I172" i="17"/>
  <c r="I180" i="17"/>
  <c r="N216" i="37"/>
  <c r="G219" i="37"/>
  <c r="N219" i="37" s="1"/>
  <c r="N131" i="17"/>
  <c r="N138" i="17" s="1"/>
  <c r="C182" i="17"/>
  <c r="D182" i="17"/>
  <c r="I166" i="17"/>
  <c r="H159" i="17"/>
  <c r="I159" i="17" s="1"/>
  <c r="I161" i="17"/>
  <c r="E182" i="17"/>
  <c r="E184" i="17" s="1"/>
  <c r="I44" i="35"/>
  <c r="M142" i="35"/>
  <c r="I94" i="35"/>
  <c r="I160" i="35"/>
  <c r="M153" i="35"/>
  <c r="M160" i="35"/>
  <c r="I129" i="35"/>
  <c r="I119" i="35"/>
  <c r="I83" i="35"/>
  <c r="I4" i="35"/>
  <c r="X20" i="28"/>
  <c r="X23" i="28" s="1"/>
  <c r="G135" i="35"/>
  <c r="G209" i="35"/>
  <c r="G212" i="35"/>
  <c r="G70" i="35"/>
  <c r="K76" i="35"/>
  <c r="J76" i="35"/>
  <c r="J74" i="35"/>
  <c r="C135" i="35"/>
  <c r="C147" i="35" s="1"/>
  <c r="C205" i="35" s="1"/>
  <c r="C216" i="35" s="1"/>
  <c r="C219" i="35" s="1"/>
  <c r="H211" i="35"/>
  <c r="H70" i="35"/>
  <c r="K74" i="35"/>
  <c r="C212" i="35"/>
  <c r="X50" i="28"/>
  <c r="X53" i="28" s="1"/>
  <c r="F146" i="35"/>
  <c r="L146" i="35" s="1"/>
  <c r="L142" i="35"/>
  <c r="K145" i="35"/>
  <c r="K160" i="35"/>
  <c r="E208" i="35"/>
  <c r="E70" i="35"/>
  <c r="C12" i="35"/>
  <c r="J33" i="35"/>
  <c r="J32" i="35"/>
  <c r="C44" i="35"/>
  <c r="C136" i="35"/>
  <c r="C142" i="35" s="1"/>
  <c r="C146" i="35" s="1"/>
  <c r="F76" i="35"/>
  <c r="L76" i="35" s="1"/>
  <c r="L74" i="35"/>
  <c r="K142" i="35"/>
  <c r="L160" i="35"/>
  <c r="J142" i="35"/>
  <c r="E83" i="35"/>
  <c r="E135" i="35" s="1"/>
  <c r="F94" i="35"/>
  <c r="D113" i="35"/>
  <c r="D135" i="35" s="1"/>
  <c r="H135" i="35"/>
  <c r="E153" i="35"/>
  <c r="M159" i="35"/>
  <c r="J189" i="35"/>
  <c r="F208" i="35"/>
  <c r="F12" i="35"/>
  <c r="F83" i="35"/>
  <c r="F119" i="35"/>
  <c r="D153" i="35"/>
  <c r="F153" i="35"/>
  <c r="E210" i="35"/>
  <c r="K189" i="35"/>
  <c r="E211" i="35"/>
  <c r="K195" i="35"/>
  <c r="J195" i="35"/>
  <c r="D70" i="35"/>
  <c r="D145" i="35"/>
  <c r="J145" i="35" s="1"/>
  <c r="D160" i="35"/>
  <c r="F212" i="35"/>
  <c r="H189" i="35"/>
  <c r="I189" i="35" s="1"/>
  <c r="I74" i="35"/>
  <c r="I136" i="35"/>
  <c r="H208" i="35"/>
  <c r="H209" i="35" s="1"/>
  <c r="K32" i="35"/>
  <c r="L189" i="35"/>
  <c r="H190" i="34"/>
  <c r="H191" i="34"/>
  <c r="H192" i="34"/>
  <c r="H193" i="34"/>
  <c r="H194" i="34"/>
  <c r="H195" i="34"/>
  <c r="H196" i="34"/>
  <c r="H197" i="34"/>
  <c r="H198" i="34"/>
  <c r="H154" i="34"/>
  <c r="H155" i="34"/>
  <c r="H156" i="34"/>
  <c r="H157" i="34"/>
  <c r="H158" i="34"/>
  <c r="H159" i="34"/>
  <c r="H160" i="34"/>
  <c r="H161" i="34"/>
  <c r="H162" i="34"/>
  <c r="H163" i="34"/>
  <c r="H164" i="34"/>
  <c r="H165" i="34"/>
  <c r="H166" i="34"/>
  <c r="H167" i="34"/>
  <c r="H168" i="34"/>
  <c r="H169" i="34"/>
  <c r="H170" i="34"/>
  <c r="H171" i="34"/>
  <c r="H172" i="34"/>
  <c r="H173" i="34"/>
  <c r="H174" i="34"/>
  <c r="H175" i="34"/>
  <c r="H176" i="34"/>
  <c r="H177" i="34"/>
  <c r="H178" i="34"/>
  <c r="H179" i="34"/>
  <c r="H180" i="34"/>
  <c r="H181" i="34"/>
  <c r="H182" i="34"/>
  <c r="H183" i="34"/>
  <c r="H153" i="34"/>
  <c r="H84" i="34"/>
  <c r="H85" i="34"/>
  <c r="H86" i="34"/>
  <c r="H87" i="34"/>
  <c r="H88" i="34"/>
  <c r="H89" i="34"/>
  <c r="H90" i="34"/>
  <c r="H91" i="34"/>
  <c r="H92" i="34"/>
  <c r="H93" i="34"/>
  <c r="H94" i="34"/>
  <c r="H95" i="34"/>
  <c r="H96" i="34"/>
  <c r="H97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112" i="34"/>
  <c r="H113" i="34"/>
  <c r="H114" i="34"/>
  <c r="H115" i="34"/>
  <c r="H116" i="34"/>
  <c r="H117" i="34"/>
  <c r="H118" i="34"/>
  <c r="H119" i="34"/>
  <c r="H120" i="34"/>
  <c r="H121" i="34"/>
  <c r="H122" i="34"/>
  <c r="H123" i="34"/>
  <c r="H124" i="34"/>
  <c r="H125" i="34"/>
  <c r="H126" i="34"/>
  <c r="H127" i="34"/>
  <c r="H128" i="34"/>
  <c r="H129" i="34"/>
  <c r="H130" i="34"/>
  <c r="H131" i="34"/>
  <c r="H132" i="34"/>
  <c r="H133" i="34"/>
  <c r="H134" i="34"/>
  <c r="H135" i="34"/>
  <c r="H136" i="34"/>
  <c r="H137" i="34"/>
  <c r="H138" i="34"/>
  <c r="H139" i="34"/>
  <c r="H140" i="34"/>
  <c r="H143" i="34"/>
  <c r="H144" i="34"/>
  <c r="H83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20" i="34"/>
  <c r="H21" i="34"/>
  <c r="H22" i="34"/>
  <c r="H23" i="34"/>
  <c r="H24" i="34"/>
  <c r="H26" i="34"/>
  <c r="H27" i="34"/>
  <c r="H28" i="34"/>
  <c r="H29" i="34"/>
  <c r="H30" i="34"/>
  <c r="H31" i="34"/>
  <c r="H32" i="34"/>
  <c r="H33" i="34"/>
  <c r="H34" i="34"/>
  <c r="H35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59" i="34"/>
  <c r="H60" i="34"/>
  <c r="H62" i="34"/>
  <c r="H63" i="34"/>
  <c r="H64" i="34"/>
  <c r="H65" i="34"/>
  <c r="H66" i="34"/>
  <c r="H67" i="34"/>
  <c r="H68" i="34"/>
  <c r="H69" i="34"/>
  <c r="H71" i="34"/>
  <c r="H72" i="34"/>
  <c r="H73" i="34"/>
  <c r="H75" i="34"/>
  <c r="H4" i="34"/>
  <c r="I135" i="35" l="1"/>
  <c r="H182" i="17"/>
  <c r="I182" i="17" s="1"/>
  <c r="X54" i="28"/>
  <c r="G147" i="35"/>
  <c r="M135" i="35"/>
  <c r="G77" i="35"/>
  <c r="I70" i="35"/>
  <c r="M70" i="35"/>
  <c r="J135" i="35"/>
  <c r="E77" i="35"/>
  <c r="K70" i="35"/>
  <c r="I76" i="35"/>
  <c r="I141" i="35"/>
  <c r="D208" i="35"/>
  <c r="J160" i="35"/>
  <c r="F207" i="35"/>
  <c r="F209" i="35" s="1"/>
  <c r="L153" i="35"/>
  <c r="E207" i="35"/>
  <c r="E209" i="35" s="1"/>
  <c r="K153" i="35"/>
  <c r="D77" i="35"/>
  <c r="D207" i="35"/>
  <c r="D209" i="35" s="1"/>
  <c r="J153" i="35"/>
  <c r="D146" i="35"/>
  <c r="D147" i="35" s="1"/>
  <c r="F70" i="35"/>
  <c r="H210" i="35"/>
  <c r="H212" i="35" s="1"/>
  <c r="E212" i="35"/>
  <c r="F135" i="35"/>
  <c r="E147" i="35"/>
  <c r="K135" i="35"/>
  <c r="C70" i="35"/>
  <c r="C77" i="35" s="1"/>
  <c r="C204" i="35" s="1"/>
  <c r="F118" i="34"/>
  <c r="F115" i="34"/>
  <c r="F114" i="34"/>
  <c r="F171" i="34"/>
  <c r="F97" i="34"/>
  <c r="F88" i="34"/>
  <c r="G205" i="35" l="1"/>
  <c r="G216" i="35" s="1"/>
  <c r="M147" i="35"/>
  <c r="H142" i="35"/>
  <c r="I142" i="35" s="1"/>
  <c r="M77" i="35"/>
  <c r="G204" i="35"/>
  <c r="F147" i="35"/>
  <c r="L135" i="35"/>
  <c r="C206" i="35"/>
  <c r="C213" i="35" s="1"/>
  <c r="C215" i="35"/>
  <c r="C218" i="35" s="1"/>
  <c r="H77" i="35"/>
  <c r="I77" i="35" s="1"/>
  <c r="F77" i="35"/>
  <c r="L70" i="35"/>
  <c r="D204" i="35"/>
  <c r="J77" i="35"/>
  <c r="D205" i="35"/>
  <c r="D216" i="35" s="1"/>
  <c r="J147" i="35"/>
  <c r="K147" i="35"/>
  <c r="E205" i="35"/>
  <c r="E216" i="35" s="1"/>
  <c r="J146" i="35"/>
  <c r="K146" i="35"/>
  <c r="J70" i="35"/>
  <c r="K77" i="35"/>
  <c r="E204" i="35"/>
  <c r="AC58" i="28"/>
  <c r="AC49" i="28"/>
  <c r="G219" i="35" l="1"/>
  <c r="M219" i="35" s="1"/>
  <c r="M216" i="35"/>
  <c r="H146" i="35"/>
  <c r="I146" i="35" s="1"/>
  <c r="G215" i="35"/>
  <c r="G206" i="35"/>
  <c r="G213" i="35" s="1"/>
  <c r="D215" i="35"/>
  <c r="D206" i="35"/>
  <c r="D213" i="35" s="1"/>
  <c r="L147" i="35"/>
  <c r="F205" i="35"/>
  <c r="F216" i="35" s="1"/>
  <c r="E215" i="35"/>
  <c r="E206" i="35"/>
  <c r="E213" i="35" s="1"/>
  <c r="H204" i="35"/>
  <c r="D219" i="35"/>
  <c r="J219" i="35" s="1"/>
  <c r="J216" i="35"/>
  <c r="E219" i="35"/>
  <c r="K219" i="35" s="1"/>
  <c r="K216" i="35"/>
  <c r="F204" i="35"/>
  <c r="L77" i="35"/>
  <c r="H147" i="35"/>
  <c r="I147" i="35" s="1"/>
  <c r="K191" i="34"/>
  <c r="L191" i="34"/>
  <c r="M191" i="34"/>
  <c r="J191" i="34"/>
  <c r="K193" i="34"/>
  <c r="L193" i="34"/>
  <c r="F60" i="34"/>
  <c r="F49" i="34"/>
  <c r="F23" i="34"/>
  <c r="F17" i="34"/>
  <c r="F105" i="34"/>
  <c r="H214" i="17"/>
  <c r="I214" i="17" s="1"/>
  <c r="F174" i="34"/>
  <c r="F181" i="34"/>
  <c r="AC66" i="28"/>
  <c r="I159" i="34"/>
  <c r="C207" i="17"/>
  <c r="N166" i="17"/>
  <c r="E207" i="17"/>
  <c r="E210" i="17"/>
  <c r="C210" i="17"/>
  <c r="AC15" i="28"/>
  <c r="AC7" i="28" s="1"/>
  <c r="F65" i="34"/>
  <c r="F59" i="34"/>
  <c r="G218" i="35" l="1"/>
  <c r="M218" i="35" s="1"/>
  <c r="M215" i="35"/>
  <c r="H205" i="35"/>
  <c r="H216" i="35" s="1"/>
  <c r="H219" i="35" s="1"/>
  <c r="F219" i="35"/>
  <c r="L219" i="35" s="1"/>
  <c r="L216" i="35"/>
  <c r="H215" i="35"/>
  <c r="H218" i="35" s="1"/>
  <c r="F215" i="35"/>
  <c r="F206" i="35"/>
  <c r="F213" i="35" s="1"/>
  <c r="E218" i="35"/>
  <c r="K215" i="35"/>
  <c r="J215" i="35"/>
  <c r="D218" i="35"/>
  <c r="J218" i="35" s="1"/>
  <c r="F192" i="34"/>
  <c r="M193" i="34" s="1"/>
  <c r="F107" i="34"/>
  <c r="H206" i="35" l="1"/>
  <c r="H213" i="35" s="1"/>
  <c r="F218" i="35"/>
  <c r="L218" i="35" s="1"/>
  <c r="L215" i="35"/>
  <c r="K218" i="35"/>
  <c r="N160" i="17"/>
  <c r="N173" i="17"/>
  <c r="N165" i="17"/>
  <c r="F87" i="34"/>
  <c r="F64" i="34"/>
  <c r="N167" i="17" l="1"/>
  <c r="N174" i="17" s="1"/>
  <c r="C204" i="17"/>
  <c r="D204" i="17"/>
  <c r="F220" i="17"/>
  <c r="G220" i="17"/>
  <c r="F168" i="34"/>
  <c r="F159" i="34"/>
  <c r="F154" i="34"/>
  <c r="F92" i="34"/>
  <c r="F86" i="34"/>
  <c r="AC25" i="28"/>
  <c r="AC43" i="28"/>
  <c r="H201" i="17"/>
  <c r="I201" i="17" s="1"/>
  <c r="AC29" i="28"/>
  <c r="AC65" i="28"/>
  <c r="AC59" i="28"/>
  <c r="AC42" i="28" l="1"/>
  <c r="F120" i="34"/>
  <c r="F10" i="34" l="1"/>
  <c r="G145" i="34" l="1"/>
  <c r="H145" i="34" s="1"/>
  <c r="G140" i="34"/>
  <c r="G119" i="34"/>
  <c r="G191" i="34"/>
  <c r="F84" i="34"/>
  <c r="F85" i="34"/>
  <c r="F90" i="34"/>
  <c r="F89" i="34" s="1"/>
  <c r="F91" i="34"/>
  <c r="F96" i="34"/>
  <c r="F98" i="34"/>
  <c r="F100" i="34"/>
  <c r="F101" i="34"/>
  <c r="F106" i="34"/>
  <c r="F104" i="34" s="1"/>
  <c r="F111" i="34"/>
  <c r="F108" i="34" s="1"/>
  <c r="F117" i="34"/>
  <c r="F113" i="34" s="1"/>
  <c r="F124" i="34"/>
  <c r="F125" i="34"/>
  <c r="F126" i="34"/>
  <c r="F127" i="34"/>
  <c r="F130" i="34"/>
  <c r="F132" i="34"/>
  <c r="F134" i="34"/>
  <c r="F137" i="34"/>
  <c r="F141" i="34"/>
  <c r="F143" i="34"/>
  <c r="F144" i="34"/>
  <c r="G129" i="34"/>
  <c r="G83" i="34"/>
  <c r="G89" i="34"/>
  <c r="G91" i="34"/>
  <c r="G94" i="34"/>
  <c r="G99" i="34"/>
  <c r="G104" i="34"/>
  <c r="G108" i="34"/>
  <c r="G113" i="34"/>
  <c r="F189" i="34"/>
  <c r="F195" i="34"/>
  <c r="F211" i="34" s="1"/>
  <c r="F162" i="34"/>
  <c r="F158" i="34"/>
  <c r="F157" i="34"/>
  <c r="F156" i="34"/>
  <c r="F161" i="34"/>
  <c r="F163" i="34"/>
  <c r="F164" i="34"/>
  <c r="F167" i="34"/>
  <c r="F182" i="34"/>
  <c r="F183" i="34"/>
  <c r="K75" i="34"/>
  <c r="F63" i="34"/>
  <c r="E63" i="34"/>
  <c r="D63" i="34"/>
  <c r="F5" i="34"/>
  <c r="F8" i="34"/>
  <c r="F13" i="34"/>
  <c r="F15" i="34"/>
  <c r="F16" i="34"/>
  <c r="F21" i="34"/>
  <c r="F27" i="34"/>
  <c r="F34" i="34"/>
  <c r="F41" i="34"/>
  <c r="F42" i="34" s="1"/>
  <c r="F66" i="34"/>
  <c r="F68" i="34"/>
  <c r="F69" i="34"/>
  <c r="F136" i="34" s="1"/>
  <c r="F74" i="34"/>
  <c r="F76" i="34" s="1"/>
  <c r="G44" i="34"/>
  <c r="G36" i="34"/>
  <c r="H36" i="34" s="1"/>
  <c r="G34" i="34"/>
  <c r="G12" i="34"/>
  <c r="G4" i="34"/>
  <c r="G195" i="34"/>
  <c r="G211" i="34" s="1"/>
  <c r="E195" i="34"/>
  <c r="D195" i="34"/>
  <c r="D211" i="34" s="1"/>
  <c r="C195" i="34"/>
  <c r="C211" i="34" s="1"/>
  <c r="J193" i="34"/>
  <c r="E189" i="34"/>
  <c r="E210" i="34" s="1"/>
  <c r="D189" i="34"/>
  <c r="D210" i="34" s="1"/>
  <c r="C189" i="34"/>
  <c r="C210" i="34" s="1"/>
  <c r="E183" i="34"/>
  <c r="D183" i="34"/>
  <c r="E182" i="34"/>
  <c r="D182" i="34"/>
  <c r="E181" i="34"/>
  <c r="D181" i="34"/>
  <c r="E174" i="34"/>
  <c r="D174" i="34"/>
  <c r="E171" i="34"/>
  <c r="D171" i="34"/>
  <c r="E167" i="34"/>
  <c r="D167" i="34"/>
  <c r="E164" i="34"/>
  <c r="D164" i="34"/>
  <c r="J163" i="34"/>
  <c r="E163" i="34"/>
  <c r="D163" i="34"/>
  <c r="E162" i="34"/>
  <c r="L161" i="34"/>
  <c r="E161" i="34"/>
  <c r="D161" i="34"/>
  <c r="G160" i="34"/>
  <c r="G208" i="34" s="1"/>
  <c r="C160" i="34"/>
  <c r="C208" i="34" s="1"/>
  <c r="E158" i="34"/>
  <c r="D158" i="34"/>
  <c r="E157" i="34"/>
  <c r="D157" i="34"/>
  <c r="E156" i="34"/>
  <c r="D156" i="34"/>
  <c r="J159" i="34" s="1"/>
  <c r="G153" i="34"/>
  <c r="G207" i="34" s="1"/>
  <c r="C153" i="34"/>
  <c r="C207" i="34" s="1"/>
  <c r="E144" i="34"/>
  <c r="D144" i="34"/>
  <c r="C144" i="34"/>
  <c r="E143" i="34"/>
  <c r="D143" i="34"/>
  <c r="C143" i="34"/>
  <c r="E141" i="34"/>
  <c r="D141" i="34"/>
  <c r="C141" i="34"/>
  <c r="E137" i="34"/>
  <c r="D137" i="34"/>
  <c r="C137" i="34"/>
  <c r="E134" i="34"/>
  <c r="E132" i="34"/>
  <c r="E130" i="34"/>
  <c r="D130" i="34"/>
  <c r="D129" i="34" s="1"/>
  <c r="C129" i="34"/>
  <c r="E127" i="34"/>
  <c r="E126" i="34"/>
  <c r="E125" i="34"/>
  <c r="E124" i="34"/>
  <c r="E120" i="34"/>
  <c r="D120" i="34"/>
  <c r="D119" i="34" s="1"/>
  <c r="C119" i="34"/>
  <c r="E118" i="34"/>
  <c r="D118" i="34"/>
  <c r="E117" i="34"/>
  <c r="D117" i="34"/>
  <c r="E115" i="34"/>
  <c r="D115" i="34"/>
  <c r="E114" i="34"/>
  <c r="D114" i="34"/>
  <c r="C113" i="34"/>
  <c r="E111" i="34"/>
  <c r="E108" i="34" s="1"/>
  <c r="D111" i="34"/>
  <c r="D108" i="34" s="1"/>
  <c r="C108" i="34"/>
  <c r="E107" i="34"/>
  <c r="D107" i="34"/>
  <c r="E106" i="34"/>
  <c r="D106" i="34"/>
  <c r="E105" i="34"/>
  <c r="D105" i="34"/>
  <c r="C104" i="34"/>
  <c r="E101" i="34"/>
  <c r="D101" i="34"/>
  <c r="E100" i="34"/>
  <c r="D100" i="34"/>
  <c r="C99" i="34"/>
  <c r="E98" i="34"/>
  <c r="D98" i="34"/>
  <c r="E96" i="34"/>
  <c r="D96" i="34"/>
  <c r="C94" i="34"/>
  <c r="E92" i="34"/>
  <c r="D91" i="34"/>
  <c r="C91" i="34"/>
  <c r="E90" i="34"/>
  <c r="D90" i="34"/>
  <c r="D89" i="34"/>
  <c r="C89" i="34"/>
  <c r="E88" i="34"/>
  <c r="D88" i="34"/>
  <c r="E87" i="34"/>
  <c r="D87" i="34"/>
  <c r="E86" i="34"/>
  <c r="E85" i="34"/>
  <c r="D85" i="34"/>
  <c r="E84" i="34"/>
  <c r="D84" i="34"/>
  <c r="C83" i="34"/>
  <c r="J75" i="34"/>
  <c r="I75" i="34"/>
  <c r="E74" i="34"/>
  <c r="E76" i="34" s="1"/>
  <c r="D74" i="34"/>
  <c r="J74" i="34" s="1"/>
  <c r="C74" i="34"/>
  <c r="C76" i="34" s="1"/>
  <c r="E69" i="34"/>
  <c r="D69" i="34"/>
  <c r="D136" i="34" s="1"/>
  <c r="C69" i="34"/>
  <c r="C136" i="34" s="1"/>
  <c r="E68" i="34"/>
  <c r="D68" i="34"/>
  <c r="E66" i="34"/>
  <c r="D66" i="34"/>
  <c r="E65" i="34"/>
  <c r="D65" i="34"/>
  <c r="E64" i="34"/>
  <c r="D64" i="34"/>
  <c r="E49" i="34"/>
  <c r="D49" i="34"/>
  <c r="C42" i="34"/>
  <c r="C36" i="34" s="1"/>
  <c r="E41" i="34"/>
  <c r="E42" i="34" s="1"/>
  <c r="D41" i="34"/>
  <c r="D42" i="34" s="1"/>
  <c r="D36" i="34" s="1"/>
  <c r="E34" i="34"/>
  <c r="D34" i="34"/>
  <c r="C34" i="34"/>
  <c r="K33" i="34"/>
  <c r="K32" i="34"/>
  <c r="E27" i="34"/>
  <c r="D27" i="34"/>
  <c r="C27" i="34"/>
  <c r="I33" i="34" s="1"/>
  <c r="E21" i="34"/>
  <c r="D21" i="34"/>
  <c r="K17" i="34"/>
  <c r="I17" i="34"/>
  <c r="E16" i="34"/>
  <c r="D16" i="34"/>
  <c r="J17" i="34" s="1"/>
  <c r="E15" i="34"/>
  <c r="E13" i="34"/>
  <c r="E8" i="34"/>
  <c r="E5" i="34"/>
  <c r="D5" i="34"/>
  <c r="D4" i="34" s="1"/>
  <c r="C4" i="34"/>
  <c r="I192" i="29"/>
  <c r="I186" i="29"/>
  <c r="E169" i="29"/>
  <c r="E162" i="29"/>
  <c r="E161" i="29"/>
  <c r="I135" i="29"/>
  <c r="E127" i="29"/>
  <c r="E126" i="29"/>
  <c r="E125" i="29"/>
  <c r="E124" i="29"/>
  <c r="E118" i="29"/>
  <c r="E115" i="29"/>
  <c r="E96" i="29"/>
  <c r="E92" i="29"/>
  <c r="E85" i="29"/>
  <c r="E15" i="29"/>
  <c r="E13" i="29"/>
  <c r="AH10" i="28"/>
  <c r="AC70" i="28"/>
  <c r="AC63" i="28"/>
  <c r="AC31" i="28"/>
  <c r="AC28" i="28"/>
  <c r="AC27" i="28"/>
  <c r="AH38" i="28"/>
  <c r="AC24" i="28" l="1"/>
  <c r="AC62" i="28"/>
  <c r="AC72" i="28" s="1"/>
  <c r="AC75" i="28" s="1"/>
  <c r="D145" i="34"/>
  <c r="G189" i="34"/>
  <c r="D12" i="34"/>
  <c r="C212" i="34"/>
  <c r="L159" i="34"/>
  <c r="C12" i="34"/>
  <c r="C44" i="34"/>
  <c r="C70" i="34" s="1"/>
  <c r="C77" i="34" s="1"/>
  <c r="C204" i="34" s="1"/>
  <c r="D212" i="34"/>
  <c r="F210" i="34"/>
  <c r="K189" i="34"/>
  <c r="D94" i="34"/>
  <c r="E153" i="34"/>
  <c r="E207" i="34" s="1"/>
  <c r="K159" i="34"/>
  <c r="E94" i="34"/>
  <c r="D104" i="34"/>
  <c r="D99" i="34"/>
  <c r="C145" i="34"/>
  <c r="I145" i="34" s="1"/>
  <c r="G209" i="34"/>
  <c r="D83" i="34"/>
  <c r="E89" i="34"/>
  <c r="F212" i="34"/>
  <c r="C209" i="34"/>
  <c r="J33" i="34"/>
  <c r="E91" i="34"/>
  <c r="K74" i="34"/>
  <c r="F142" i="34"/>
  <c r="C142" i="34"/>
  <c r="C146" i="34" s="1"/>
  <c r="E99" i="34"/>
  <c r="K161" i="34"/>
  <c r="D160" i="34"/>
  <c r="D208" i="34" s="1"/>
  <c r="G135" i="34"/>
  <c r="E4" i="34"/>
  <c r="I32" i="34"/>
  <c r="K76" i="34"/>
  <c r="F160" i="34"/>
  <c r="F129" i="34"/>
  <c r="F99" i="34"/>
  <c r="F83" i="34"/>
  <c r="J32" i="34"/>
  <c r="D44" i="34"/>
  <c r="D70" i="34" s="1"/>
  <c r="E104" i="34"/>
  <c r="E119" i="34"/>
  <c r="E145" i="34"/>
  <c r="J145" i="34" s="1"/>
  <c r="E160" i="34"/>
  <c r="E208" i="34" s="1"/>
  <c r="F44" i="34"/>
  <c r="F12" i="34"/>
  <c r="F153" i="34"/>
  <c r="K153" i="34" s="1"/>
  <c r="D142" i="34"/>
  <c r="E83" i="34"/>
  <c r="D113" i="34"/>
  <c r="J195" i="34"/>
  <c r="G70" i="34"/>
  <c r="H70" i="34" s="1"/>
  <c r="F4" i="34"/>
  <c r="F145" i="34"/>
  <c r="F119" i="34"/>
  <c r="F94" i="34"/>
  <c r="F36" i="34"/>
  <c r="G74" i="34"/>
  <c r="H74" i="34" s="1"/>
  <c r="I74" i="34"/>
  <c r="D76" i="34"/>
  <c r="I76" i="34" s="1"/>
  <c r="C135" i="34"/>
  <c r="E211" i="34"/>
  <c r="E212" i="34" s="1"/>
  <c r="J189" i="34"/>
  <c r="D146" i="34"/>
  <c r="E12" i="34"/>
  <c r="E136" i="34"/>
  <c r="E36" i="34"/>
  <c r="E44" i="34"/>
  <c r="E113" i="34"/>
  <c r="E129" i="34"/>
  <c r="D153" i="34"/>
  <c r="I189" i="34"/>
  <c r="I195" i="34"/>
  <c r="D197" i="17"/>
  <c r="D217" i="17"/>
  <c r="E217" i="17"/>
  <c r="C234" i="17"/>
  <c r="G210" i="34" l="1"/>
  <c r="G212" i="34" s="1"/>
  <c r="H189" i="34"/>
  <c r="I142" i="34"/>
  <c r="J153" i="34"/>
  <c r="D135" i="34"/>
  <c r="I135" i="34" s="1"/>
  <c r="AC35" i="28"/>
  <c r="AC38" i="28" s="1"/>
  <c r="AC76" i="28" s="1"/>
  <c r="F135" i="34"/>
  <c r="D220" i="17"/>
  <c r="K160" i="34"/>
  <c r="J160" i="34"/>
  <c r="K145" i="34"/>
  <c r="I146" i="34"/>
  <c r="I160" i="34"/>
  <c r="E209" i="34"/>
  <c r="C147" i="34"/>
  <c r="C205" i="34" s="1"/>
  <c r="C216" i="34" s="1"/>
  <c r="C219" i="34" s="1"/>
  <c r="F70" i="34"/>
  <c r="F207" i="34"/>
  <c r="G76" i="34"/>
  <c r="F146" i="34"/>
  <c r="F208" i="34"/>
  <c r="J76" i="34"/>
  <c r="D77" i="34"/>
  <c r="I77" i="34" s="1"/>
  <c r="D207" i="34"/>
  <c r="D209" i="34" s="1"/>
  <c r="I153" i="34"/>
  <c r="E135" i="34"/>
  <c r="I70" i="34"/>
  <c r="E70" i="34"/>
  <c r="C215" i="34"/>
  <c r="C218" i="34" s="1"/>
  <c r="E142" i="34"/>
  <c r="K142" i="34" s="1"/>
  <c r="C199" i="17"/>
  <c r="G222" i="17"/>
  <c r="H219" i="17"/>
  <c r="I219" i="17" s="1"/>
  <c r="H218" i="17"/>
  <c r="C218" i="17"/>
  <c r="H217" i="17"/>
  <c r="I217" i="17" s="1"/>
  <c r="H216" i="17"/>
  <c r="I216" i="17" s="1"/>
  <c r="H215" i="17"/>
  <c r="I215" i="17" s="1"/>
  <c r="H213" i="17"/>
  <c r="I213" i="17" s="1"/>
  <c r="H212" i="17"/>
  <c r="I212" i="17" s="1"/>
  <c r="H211" i="17"/>
  <c r="I211" i="17" s="1"/>
  <c r="H210" i="17"/>
  <c r="I210" i="17" s="1"/>
  <c r="H209" i="17"/>
  <c r="I209" i="17" s="1"/>
  <c r="H208" i="17"/>
  <c r="I208" i="17" s="1"/>
  <c r="H206" i="17"/>
  <c r="I206" i="17" s="1"/>
  <c r="H205" i="17"/>
  <c r="I205" i="17" s="1"/>
  <c r="H204" i="17"/>
  <c r="I204" i="17" s="1"/>
  <c r="H203" i="17"/>
  <c r="I203" i="17" s="1"/>
  <c r="H202" i="17"/>
  <c r="I202" i="17" s="1"/>
  <c r="H200" i="17"/>
  <c r="I200" i="17" s="1"/>
  <c r="H199" i="17"/>
  <c r="H198" i="17"/>
  <c r="I198" i="17" s="1"/>
  <c r="H197" i="17"/>
  <c r="C197" i="17"/>
  <c r="G77" i="34" l="1"/>
  <c r="H77" i="34" s="1"/>
  <c r="H76" i="34"/>
  <c r="G142" i="34"/>
  <c r="H141" i="34"/>
  <c r="K141" i="34" s="1"/>
  <c r="F147" i="34"/>
  <c r="K135" i="34"/>
  <c r="K70" i="34"/>
  <c r="D147" i="34"/>
  <c r="D205" i="34" s="1"/>
  <c r="D216" i="34" s="1"/>
  <c r="I216" i="34" s="1"/>
  <c r="F77" i="34"/>
  <c r="I199" i="17"/>
  <c r="I218" i="17"/>
  <c r="E220" i="17"/>
  <c r="E222" i="17" s="1"/>
  <c r="D204" i="34"/>
  <c r="C206" i="34"/>
  <c r="C213" i="34" s="1"/>
  <c r="J141" i="34"/>
  <c r="F209" i="34"/>
  <c r="I197" i="17"/>
  <c r="F205" i="34"/>
  <c r="F216" i="34" s="1"/>
  <c r="F219" i="34" s="1"/>
  <c r="F204" i="34"/>
  <c r="E146" i="34"/>
  <c r="K146" i="34" s="1"/>
  <c r="J142" i="34"/>
  <c r="J70" i="34"/>
  <c r="E77" i="34"/>
  <c r="D215" i="34"/>
  <c r="J135" i="34"/>
  <c r="C220" i="17"/>
  <c r="H207" i="17"/>
  <c r="I207" i="17" s="1"/>
  <c r="AH33" i="28"/>
  <c r="G204" i="34" l="1"/>
  <c r="G146" i="34"/>
  <c r="H142" i="34"/>
  <c r="D219" i="34"/>
  <c r="I219" i="34" s="1"/>
  <c r="I147" i="34"/>
  <c r="D206" i="34"/>
  <c r="D213" i="34" s="1"/>
  <c r="K77" i="34"/>
  <c r="E147" i="34"/>
  <c r="K147" i="34" s="1"/>
  <c r="F206" i="34"/>
  <c r="F213" i="34" s="1"/>
  <c r="F215" i="34"/>
  <c r="F218" i="34" s="1"/>
  <c r="G215" i="34"/>
  <c r="G218" i="34" s="1"/>
  <c r="E205" i="34"/>
  <c r="E216" i="34" s="1"/>
  <c r="K216" i="34" s="1"/>
  <c r="J147" i="34"/>
  <c r="D218" i="34"/>
  <c r="I218" i="34" s="1"/>
  <c r="I215" i="34"/>
  <c r="E204" i="34"/>
  <c r="J77" i="34"/>
  <c r="J146" i="34"/>
  <c r="H220" i="17"/>
  <c r="I220" i="17" s="1"/>
  <c r="G147" i="34" l="1"/>
  <c r="H146" i="34"/>
  <c r="E215" i="34"/>
  <c r="K215" i="34" s="1"/>
  <c r="E206" i="34"/>
  <c r="E213" i="34" s="1"/>
  <c r="E219" i="34"/>
  <c r="J216" i="34"/>
  <c r="E132" i="29"/>
  <c r="E88" i="29"/>
  <c r="I75" i="29"/>
  <c r="E48" i="29"/>
  <c r="E8" i="29"/>
  <c r="H147" i="34" l="1"/>
  <c r="G205" i="34"/>
  <c r="J219" i="34"/>
  <c r="K219" i="34"/>
  <c r="E218" i="34"/>
  <c r="J215" i="34"/>
  <c r="G216" i="34" l="1"/>
  <c r="G219" i="34" s="1"/>
  <c r="G206" i="34"/>
  <c r="G213" i="34" s="1"/>
  <c r="J218" i="34"/>
  <c r="K218" i="34"/>
  <c r="G187" i="29"/>
  <c r="G188" i="29"/>
  <c r="G189" i="29"/>
  <c r="G190" i="29"/>
  <c r="G191" i="29"/>
  <c r="G193" i="29"/>
  <c r="G194" i="29"/>
  <c r="G195" i="29"/>
  <c r="G154" i="29"/>
  <c r="G158" i="29"/>
  <c r="G161" i="29"/>
  <c r="G162" i="29"/>
  <c r="G164" i="29"/>
  <c r="G166" i="29"/>
  <c r="G167" i="29"/>
  <c r="G168" i="29"/>
  <c r="G169" i="29"/>
  <c r="G170" i="29"/>
  <c r="G171" i="29"/>
  <c r="G173" i="29"/>
  <c r="G174" i="29"/>
  <c r="G175" i="29"/>
  <c r="G176" i="29"/>
  <c r="G177" i="29"/>
  <c r="G85" i="29"/>
  <c r="G88" i="29"/>
  <c r="G92" i="29"/>
  <c r="G93" i="29"/>
  <c r="G94" i="29"/>
  <c r="G95" i="29"/>
  <c r="G96" i="29"/>
  <c r="G97" i="29"/>
  <c r="G98" i="29"/>
  <c r="G102" i="29"/>
  <c r="G103" i="29"/>
  <c r="G106" i="29"/>
  <c r="G109" i="29"/>
  <c r="G110" i="29"/>
  <c r="G112" i="29"/>
  <c r="G114" i="29"/>
  <c r="G115" i="29"/>
  <c r="G116" i="29"/>
  <c r="G118" i="29"/>
  <c r="G123" i="29"/>
  <c r="G124" i="29"/>
  <c r="G125" i="29"/>
  <c r="G126" i="29"/>
  <c r="G127" i="29"/>
  <c r="G128" i="29"/>
  <c r="G130" i="29"/>
  <c r="G131" i="29"/>
  <c r="G132" i="29"/>
  <c r="G133" i="29"/>
  <c r="G134" i="29"/>
  <c r="G138" i="29"/>
  <c r="G139" i="29"/>
  <c r="G140" i="29"/>
  <c r="G143" i="29"/>
  <c r="G5" i="29"/>
  <c r="G6" i="29"/>
  <c r="G7" i="29"/>
  <c r="G8" i="29"/>
  <c r="G9" i="29"/>
  <c r="G10" i="29"/>
  <c r="G11" i="29"/>
  <c r="G13" i="29"/>
  <c r="G14" i="29"/>
  <c r="G15" i="29"/>
  <c r="G17" i="29"/>
  <c r="G18" i="29"/>
  <c r="G20" i="29"/>
  <c r="G22" i="29"/>
  <c r="G23" i="29"/>
  <c r="G24" i="29"/>
  <c r="G26" i="29"/>
  <c r="G27" i="29"/>
  <c r="G28" i="29"/>
  <c r="G29" i="29"/>
  <c r="G30" i="29"/>
  <c r="G31" i="29"/>
  <c r="G32" i="29"/>
  <c r="G33" i="29"/>
  <c r="G35" i="29"/>
  <c r="G38" i="29"/>
  <c r="G39" i="29"/>
  <c r="G40" i="29"/>
  <c r="G43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61" i="29"/>
  <c r="G62" i="29"/>
  <c r="G65" i="29"/>
  <c r="G67" i="29"/>
  <c r="G72" i="29"/>
  <c r="G73" i="29"/>
  <c r="G74" i="29"/>
  <c r="G75" i="29"/>
  <c r="E86" i="29"/>
  <c r="G86" i="29" s="1"/>
  <c r="E91" i="29"/>
  <c r="G91" i="29" s="1"/>
  <c r="E134" i="29"/>
  <c r="E5" i="29"/>
  <c r="E207" i="29"/>
  <c r="E186" i="29"/>
  <c r="E192" i="29"/>
  <c r="E208" i="29" s="1"/>
  <c r="E155" i="29"/>
  <c r="E153" i="29" s="1"/>
  <c r="E204" i="29" s="1"/>
  <c r="E156" i="29"/>
  <c r="G156" i="29" s="1"/>
  <c r="E157" i="29"/>
  <c r="G157" i="29" s="1"/>
  <c r="E160" i="29"/>
  <c r="E163" i="29"/>
  <c r="G163" i="29" s="1"/>
  <c r="E165" i="29"/>
  <c r="G165" i="29" s="1"/>
  <c r="E172" i="29"/>
  <c r="G172" i="29" s="1"/>
  <c r="E178" i="29"/>
  <c r="G178" i="29" s="1"/>
  <c r="E179" i="29"/>
  <c r="G179" i="29" s="1"/>
  <c r="E180" i="29"/>
  <c r="G180" i="29" s="1"/>
  <c r="E84" i="29"/>
  <c r="G84" i="29" s="1"/>
  <c r="E87" i="29"/>
  <c r="G87" i="29" s="1"/>
  <c r="E90" i="29"/>
  <c r="E89" i="29" s="1"/>
  <c r="G89" i="29" s="1"/>
  <c r="E94" i="29"/>
  <c r="E98" i="29"/>
  <c r="E100" i="29"/>
  <c r="G100" i="29" s="1"/>
  <c r="E101" i="29"/>
  <c r="G101" i="29" s="1"/>
  <c r="E105" i="29"/>
  <c r="G105" i="29" s="1"/>
  <c r="E106" i="29"/>
  <c r="E107" i="29"/>
  <c r="G107" i="29" s="1"/>
  <c r="E111" i="29"/>
  <c r="E108" i="29" s="1"/>
  <c r="E114" i="29"/>
  <c r="E117" i="29"/>
  <c r="G117" i="29" s="1"/>
  <c r="E120" i="29"/>
  <c r="E119" i="29" s="1"/>
  <c r="G119" i="29" s="1"/>
  <c r="E130" i="29"/>
  <c r="E137" i="29"/>
  <c r="E141" i="29"/>
  <c r="E143" i="29"/>
  <c r="E144" i="29"/>
  <c r="E4" i="29"/>
  <c r="E16" i="29"/>
  <c r="E12" i="29" s="1"/>
  <c r="E21" i="29"/>
  <c r="G21" i="29" s="1"/>
  <c r="E27" i="29"/>
  <c r="E34" i="29"/>
  <c r="E36" i="29"/>
  <c r="E41" i="29"/>
  <c r="G41" i="29" s="1"/>
  <c r="E42" i="29"/>
  <c r="G42" i="29" s="1"/>
  <c r="E64" i="29"/>
  <c r="G64" i="29" s="1"/>
  <c r="E65" i="29"/>
  <c r="E66" i="29"/>
  <c r="G66" i="29" s="1"/>
  <c r="E68" i="29"/>
  <c r="G68" i="29" s="1"/>
  <c r="E69" i="29"/>
  <c r="G69" i="29" s="1"/>
  <c r="E74" i="29"/>
  <c r="E76" i="29"/>
  <c r="F205" i="29"/>
  <c r="F204" i="29"/>
  <c r="F206" i="29" s="1"/>
  <c r="F192" i="29"/>
  <c r="F208" i="29" s="1"/>
  <c r="D192" i="29"/>
  <c r="C192" i="29"/>
  <c r="C208" i="29" s="1"/>
  <c r="K188" i="29"/>
  <c r="J188" i="29"/>
  <c r="I190" i="29"/>
  <c r="F186" i="29"/>
  <c r="F207" i="29" s="1"/>
  <c r="F209" i="29" s="1"/>
  <c r="D186" i="29"/>
  <c r="D207" i="29" s="1"/>
  <c r="C186" i="29"/>
  <c r="D180" i="29"/>
  <c r="D179" i="29"/>
  <c r="D178" i="29"/>
  <c r="D172" i="29"/>
  <c r="D169" i="29"/>
  <c r="D165" i="29"/>
  <c r="D163" i="29"/>
  <c r="K160" i="29"/>
  <c r="I162" i="29"/>
  <c r="D162" i="29"/>
  <c r="D160" i="29"/>
  <c r="J160" i="29" s="1"/>
  <c r="F159" i="29"/>
  <c r="C159" i="29"/>
  <c r="C205" i="29" s="1"/>
  <c r="I158" i="29"/>
  <c r="D157" i="29"/>
  <c r="D156" i="29"/>
  <c r="D155" i="29"/>
  <c r="F153" i="29"/>
  <c r="G153" i="29" s="1"/>
  <c r="C153" i="29"/>
  <c r="C204" i="29" s="1"/>
  <c r="C206" i="29" s="1"/>
  <c r="F144" i="29"/>
  <c r="F145" i="29" s="1"/>
  <c r="D144" i="29"/>
  <c r="C144" i="29"/>
  <c r="C145" i="29" s="1"/>
  <c r="D143" i="29"/>
  <c r="D145" i="29" s="1"/>
  <c r="H145" i="29" s="1"/>
  <c r="C143" i="29"/>
  <c r="F141" i="29"/>
  <c r="G141" i="29" s="1"/>
  <c r="D141" i="29"/>
  <c r="C141" i="29"/>
  <c r="D137" i="29"/>
  <c r="C137" i="29"/>
  <c r="F136" i="29"/>
  <c r="D130" i="29"/>
  <c r="F129" i="29"/>
  <c r="D129" i="29"/>
  <c r="C129" i="29"/>
  <c r="D120" i="29"/>
  <c r="F119" i="29"/>
  <c r="D119" i="29"/>
  <c r="C119" i="29"/>
  <c r="D118" i="29"/>
  <c r="D117" i="29"/>
  <c r="D115" i="29"/>
  <c r="D114" i="29"/>
  <c r="F113" i="29"/>
  <c r="C113" i="29"/>
  <c r="D111" i="29"/>
  <c r="D108" i="29" s="1"/>
  <c r="F108" i="29"/>
  <c r="G108" i="29" s="1"/>
  <c r="C108" i="29"/>
  <c r="D107" i="29"/>
  <c r="D106" i="29"/>
  <c r="D104" i="29" s="1"/>
  <c r="D105" i="29"/>
  <c r="F104" i="29"/>
  <c r="C104" i="29"/>
  <c r="D101" i="29"/>
  <c r="D100" i="29"/>
  <c r="F99" i="29"/>
  <c r="C99" i="29"/>
  <c r="D98" i="29"/>
  <c r="D96" i="29"/>
  <c r="F94" i="29"/>
  <c r="D94" i="29"/>
  <c r="C94" i="29"/>
  <c r="F91" i="29"/>
  <c r="D91" i="29"/>
  <c r="C91" i="29"/>
  <c r="D90" i="29"/>
  <c r="F89" i="29"/>
  <c r="D89" i="29"/>
  <c r="C89" i="29"/>
  <c r="D88" i="29"/>
  <c r="D87" i="29"/>
  <c r="D85" i="29"/>
  <c r="D84" i="29"/>
  <c r="F83" i="29"/>
  <c r="C83" i="29"/>
  <c r="H75" i="29"/>
  <c r="D74" i="29"/>
  <c r="D76" i="29" s="1"/>
  <c r="C74" i="29"/>
  <c r="F71" i="29"/>
  <c r="F74" i="29" s="1"/>
  <c r="D69" i="29"/>
  <c r="D136" i="29" s="1"/>
  <c r="D142" i="29" s="1"/>
  <c r="C69" i="29"/>
  <c r="C136" i="29" s="1"/>
  <c r="C142" i="29" s="1"/>
  <c r="D68" i="29"/>
  <c r="D66" i="29"/>
  <c r="D65" i="29"/>
  <c r="D64" i="29"/>
  <c r="D44" i="29" s="1"/>
  <c r="D48" i="29"/>
  <c r="F44" i="29"/>
  <c r="D42" i="29"/>
  <c r="D36" i="29" s="1"/>
  <c r="C42" i="29"/>
  <c r="D41" i="29"/>
  <c r="F36" i="29"/>
  <c r="G36" i="29" s="1"/>
  <c r="C36" i="29"/>
  <c r="F34" i="29"/>
  <c r="G34" i="29" s="1"/>
  <c r="D34" i="29"/>
  <c r="C34" i="29"/>
  <c r="J33" i="29"/>
  <c r="J32" i="29"/>
  <c r="D27" i="29"/>
  <c r="I32" i="29" s="1"/>
  <c r="C27" i="29"/>
  <c r="C12" i="29" s="1"/>
  <c r="D21" i="29"/>
  <c r="J17" i="29"/>
  <c r="I17" i="29"/>
  <c r="H17" i="29"/>
  <c r="D16" i="29"/>
  <c r="F12" i="29"/>
  <c r="G12" i="29" s="1"/>
  <c r="D12" i="29"/>
  <c r="D5" i="29"/>
  <c r="D4" i="29" s="1"/>
  <c r="D70" i="29" s="1"/>
  <c r="F4" i="29"/>
  <c r="C4" i="29"/>
  <c r="E242" i="17"/>
  <c r="G242" i="17"/>
  <c r="G113" i="29" l="1"/>
  <c r="E44" i="29"/>
  <c r="G44" i="29" s="1"/>
  <c r="G4" i="29"/>
  <c r="E99" i="29"/>
  <c r="G99" i="29" s="1"/>
  <c r="E159" i="29"/>
  <c r="E205" i="29" s="1"/>
  <c r="G16" i="29"/>
  <c r="G186" i="29"/>
  <c r="G192" i="29"/>
  <c r="E209" i="29"/>
  <c r="C44" i="29"/>
  <c r="J156" i="29"/>
  <c r="I76" i="29"/>
  <c r="E136" i="29"/>
  <c r="E142" i="29" s="1"/>
  <c r="E113" i="29"/>
  <c r="E104" i="29"/>
  <c r="G104" i="29" s="1"/>
  <c r="D159" i="29"/>
  <c r="H74" i="29"/>
  <c r="F137" i="29"/>
  <c r="H186" i="29"/>
  <c r="I74" i="29"/>
  <c r="E145" i="29"/>
  <c r="I145" i="29" s="1"/>
  <c r="E129" i="29"/>
  <c r="G129" i="29" s="1"/>
  <c r="G71" i="29"/>
  <c r="G144" i="29"/>
  <c r="G120" i="29"/>
  <c r="G111" i="29"/>
  <c r="G90" i="29"/>
  <c r="G160" i="29"/>
  <c r="G155" i="29"/>
  <c r="G159" i="29"/>
  <c r="E83" i="29"/>
  <c r="E206" i="29"/>
  <c r="E70" i="29"/>
  <c r="I70" i="29" s="1"/>
  <c r="C76" i="29"/>
  <c r="H76" i="29" s="1"/>
  <c r="C207" i="29"/>
  <c r="C209" i="29" s="1"/>
  <c r="H192" i="29"/>
  <c r="C70" i="29"/>
  <c r="C146" i="29"/>
  <c r="F135" i="29"/>
  <c r="C135" i="29"/>
  <c r="D208" i="29"/>
  <c r="D209" i="29" s="1"/>
  <c r="D77" i="29"/>
  <c r="H70" i="29"/>
  <c r="H142" i="29"/>
  <c r="D146" i="29"/>
  <c r="F76" i="29"/>
  <c r="G76" i="29" s="1"/>
  <c r="D205" i="29"/>
  <c r="H159" i="29"/>
  <c r="H32" i="29"/>
  <c r="F142" i="29"/>
  <c r="G142" i="29" s="1"/>
  <c r="I33" i="29"/>
  <c r="F70" i="29"/>
  <c r="D99" i="29"/>
  <c r="D153" i="29"/>
  <c r="H33" i="29"/>
  <c r="D83" i="29"/>
  <c r="D113" i="29"/>
  <c r="AH52" i="28"/>
  <c r="AH51" i="28"/>
  <c r="AH50" i="28"/>
  <c r="AH56" i="28"/>
  <c r="AH21" i="28"/>
  <c r="AH16" i="28"/>
  <c r="AH7" i="28"/>
  <c r="C77" i="29" l="1"/>
  <c r="C201" i="29" s="1"/>
  <c r="C212" i="29" s="1"/>
  <c r="C215" i="29" s="1"/>
  <c r="I141" i="29"/>
  <c r="G137" i="29"/>
  <c r="E146" i="29"/>
  <c r="I146" i="29" s="1"/>
  <c r="I142" i="29"/>
  <c r="G136" i="29"/>
  <c r="G145" i="29"/>
  <c r="AH49" i="28"/>
  <c r="AH32" i="28"/>
  <c r="E135" i="29"/>
  <c r="G83" i="29"/>
  <c r="E77" i="29"/>
  <c r="I77" i="29" s="1"/>
  <c r="G70" i="29"/>
  <c r="H146" i="29"/>
  <c r="C147" i="29"/>
  <c r="C202" i="29" s="1"/>
  <c r="C213" i="29" s="1"/>
  <c r="C216" i="29" s="1"/>
  <c r="D135" i="29"/>
  <c r="H153" i="29"/>
  <c r="D204" i="29"/>
  <c r="D206" i="29" s="1"/>
  <c r="F77" i="29"/>
  <c r="F146" i="29"/>
  <c r="G146" i="29" s="1"/>
  <c r="D201" i="29"/>
  <c r="H77" i="29"/>
  <c r="AH25" i="28"/>
  <c r="AH28" i="28" s="1"/>
  <c r="C242" i="17"/>
  <c r="AH58" i="28" l="1"/>
  <c r="AH61" i="28" s="1"/>
  <c r="AH62" i="28" s="1"/>
  <c r="E147" i="29"/>
  <c r="G135" i="29"/>
  <c r="E201" i="29"/>
  <c r="G77" i="29"/>
  <c r="C203" i="29"/>
  <c r="C210" i="29" s="1"/>
  <c r="F147" i="29"/>
  <c r="D212" i="29"/>
  <c r="F201" i="29"/>
  <c r="D147" i="29"/>
  <c r="H135" i="29"/>
  <c r="C235" i="17"/>
  <c r="I147" i="29" l="1"/>
  <c r="E202" i="29"/>
  <c r="E213" i="29" s="1"/>
  <c r="G147" i="29"/>
  <c r="E212" i="29"/>
  <c r="H212" i="29"/>
  <c r="D215" i="29"/>
  <c r="H215" i="29" s="1"/>
  <c r="F202" i="29"/>
  <c r="F213" i="29" s="1"/>
  <c r="F216" i="29" s="1"/>
  <c r="D202" i="29"/>
  <c r="H147" i="29"/>
  <c r="F212" i="29"/>
  <c r="F215" i="29" s="1"/>
  <c r="F203" i="29"/>
  <c r="F210" i="29" s="1"/>
  <c r="E70" i="27"/>
  <c r="E203" i="29" l="1"/>
  <c r="E210" i="29" s="1"/>
  <c r="E216" i="29"/>
  <c r="E215" i="29"/>
  <c r="I215" i="29" s="1"/>
  <c r="I212" i="29"/>
  <c r="D213" i="29"/>
  <c r="I213" i="29" s="1"/>
  <c r="D203" i="29"/>
  <c r="D210" i="29" s="1"/>
  <c r="G254" i="17"/>
  <c r="F254" i="17"/>
  <c r="D254" i="17"/>
  <c r="H253" i="17"/>
  <c r="I253" i="17" s="1"/>
  <c r="H252" i="17"/>
  <c r="C252" i="17"/>
  <c r="E251" i="17"/>
  <c r="E254" i="17" s="1"/>
  <c r="E256" i="17" s="1"/>
  <c r="H250" i="17"/>
  <c r="I250" i="17" s="1"/>
  <c r="H249" i="17"/>
  <c r="I249" i="17" s="1"/>
  <c r="H248" i="17"/>
  <c r="I248" i="17" s="1"/>
  <c r="H247" i="17"/>
  <c r="I247" i="17" s="1"/>
  <c r="H246" i="17"/>
  <c r="I246" i="17" s="1"/>
  <c r="H245" i="17"/>
  <c r="I245" i="17" s="1"/>
  <c r="H244" i="17"/>
  <c r="I244" i="17" s="1"/>
  <c r="H243" i="17"/>
  <c r="I243" i="17" s="1"/>
  <c r="H242" i="17"/>
  <c r="I242" i="17" s="1"/>
  <c r="H241" i="17"/>
  <c r="I241" i="17" s="1"/>
  <c r="H240" i="17"/>
  <c r="I240" i="17" s="1"/>
  <c r="H239" i="17"/>
  <c r="I239" i="17" s="1"/>
  <c r="H238" i="17"/>
  <c r="I238" i="17" s="1"/>
  <c r="H237" i="17"/>
  <c r="I237" i="17" s="1"/>
  <c r="H236" i="17"/>
  <c r="I236" i="17" s="1"/>
  <c r="H235" i="17"/>
  <c r="I235" i="17" s="1"/>
  <c r="H234" i="17"/>
  <c r="I234" i="17" s="1"/>
  <c r="H233" i="17"/>
  <c r="C233" i="17"/>
  <c r="I252" i="17" l="1"/>
  <c r="H213" i="29"/>
  <c r="D216" i="29"/>
  <c r="H216" i="29" s="1"/>
  <c r="I233" i="17"/>
  <c r="C254" i="17"/>
  <c r="H251" i="17"/>
  <c r="I251" i="17" s="1"/>
  <c r="E141" i="27"/>
  <c r="G288" i="17"/>
  <c r="F288" i="17"/>
  <c r="D288" i="17"/>
  <c r="H287" i="17"/>
  <c r="I287" i="17" s="1"/>
  <c r="H286" i="17"/>
  <c r="C286" i="17"/>
  <c r="E285" i="17"/>
  <c r="E288" i="17" s="1"/>
  <c r="E290" i="17" s="1"/>
  <c r="H284" i="17"/>
  <c r="I284" i="17" s="1"/>
  <c r="H283" i="17"/>
  <c r="I283" i="17" s="1"/>
  <c r="H282" i="17"/>
  <c r="I282" i="17" s="1"/>
  <c r="H281" i="17"/>
  <c r="I281" i="17" s="1"/>
  <c r="H280" i="17"/>
  <c r="I280" i="17" s="1"/>
  <c r="H279" i="17"/>
  <c r="I279" i="17" s="1"/>
  <c r="H278" i="17"/>
  <c r="I278" i="17" s="1"/>
  <c r="H277" i="17"/>
  <c r="I277" i="17" s="1"/>
  <c r="H276" i="17"/>
  <c r="I276" i="17" s="1"/>
  <c r="H275" i="17"/>
  <c r="I275" i="17" s="1"/>
  <c r="H274" i="17"/>
  <c r="I274" i="17" s="1"/>
  <c r="H273" i="17"/>
  <c r="I273" i="17" s="1"/>
  <c r="H272" i="17"/>
  <c r="I272" i="17" s="1"/>
  <c r="H271" i="17"/>
  <c r="I271" i="17" s="1"/>
  <c r="H270" i="17"/>
  <c r="I270" i="17" s="1"/>
  <c r="H269" i="17"/>
  <c r="I269" i="17" s="1"/>
  <c r="H268" i="17"/>
  <c r="I268" i="17" s="1"/>
  <c r="H267" i="17"/>
  <c r="C267" i="17"/>
  <c r="C288" i="17" s="1"/>
  <c r="I216" i="29" l="1"/>
  <c r="H254" i="17"/>
  <c r="I254" i="17" s="1"/>
  <c r="I286" i="17"/>
  <c r="I267" i="17"/>
  <c r="H285" i="17"/>
  <c r="I285" i="17" s="1"/>
  <c r="AM68" i="28"/>
  <c r="AM69" i="28"/>
  <c r="AM66" i="28"/>
  <c r="AM51" i="28"/>
  <c r="AM48" i="28"/>
  <c r="AM45" i="28"/>
  <c r="AM43" i="28"/>
  <c r="AM64" i="28"/>
  <c r="H288" i="17" l="1"/>
  <c r="I288" i="17" s="1"/>
  <c r="D127" i="27"/>
  <c r="D106" i="27"/>
  <c r="D87" i="27"/>
  <c r="D83" i="27"/>
  <c r="D48" i="27"/>
  <c r="D16" i="27"/>
  <c r="AM12" i="28"/>
  <c r="AM53" i="28"/>
  <c r="AM42" i="28"/>
  <c r="D119" i="27" l="1"/>
  <c r="D117" i="27"/>
  <c r="D95" i="27"/>
  <c r="AM31" i="28" l="1"/>
  <c r="AM63" i="28"/>
  <c r="D177" i="27" l="1"/>
  <c r="D169" i="27"/>
  <c r="D166" i="27"/>
  <c r="D152" i="27"/>
  <c r="D114" i="27" l="1"/>
  <c r="AM62" i="28"/>
  <c r="AM50" i="28" l="1"/>
  <c r="D176" i="27" l="1"/>
  <c r="D175" i="27"/>
  <c r="F169" i="27"/>
  <c r="D162" i="27"/>
  <c r="F162" i="27" s="1"/>
  <c r="D160" i="27"/>
  <c r="F160" i="27" s="1"/>
  <c r="D159" i="27"/>
  <c r="F166" i="27"/>
  <c r="D154" i="27"/>
  <c r="F154" i="27" s="1"/>
  <c r="D153" i="27"/>
  <c r="D157" i="27"/>
  <c r="I159" i="27" s="1"/>
  <c r="F177" i="27"/>
  <c r="F152" i="27"/>
  <c r="AM82" i="28"/>
  <c r="AM71" i="28"/>
  <c r="AM67" i="28"/>
  <c r="AM60" i="28"/>
  <c r="AM61" i="28"/>
  <c r="AM57" i="28"/>
  <c r="AM54" i="28"/>
  <c r="AM49" i="28"/>
  <c r="AM47" i="28"/>
  <c r="AM44" i="28"/>
  <c r="AM30" i="28"/>
  <c r="AM25" i="28"/>
  <c r="AM22" i="28"/>
  <c r="AM18" i="28"/>
  <c r="AM17" i="28"/>
  <c r="F192" i="27"/>
  <c r="F191" i="27"/>
  <c r="F190" i="27"/>
  <c r="E189" i="27"/>
  <c r="E205" i="27" s="1"/>
  <c r="D189" i="27"/>
  <c r="C189" i="27"/>
  <c r="C205" i="27" s="1"/>
  <c r="F188" i="27"/>
  <c r="J187" i="27"/>
  <c r="I187" i="27"/>
  <c r="H187" i="27"/>
  <c r="F187" i="27"/>
  <c r="F186" i="27"/>
  <c r="F185" i="27"/>
  <c r="F184" i="27"/>
  <c r="E183" i="27"/>
  <c r="E204" i="27" s="1"/>
  <c r="D183" i="27"/>
  <c r="D204" i="27" s="1"/>
  <c r="C183" i="27"/>
  <c r="C204" i="27" s="1"/>
  <c r="F176" i="27"/>
  <c r="F175" i="27"/>
  <c r="F173" i="27"/>
  <c r="F172" i="27"/>
  <c r="F171" i="27"/>
  <c r="F170" i="27"/>
  <c r="F168" i="27"/>
  <c r="F167" i="27"/>
  <c r="F165" i="27"/>
  <c r="F164" i="27"/>
  <c r="F163" i="27"/>
  <c r="F161" i="27"/>
  <c r="J159" i="27"/>
  <c r="H159" i="27"/>
  <c r="F159" i="27"/>
  <c r="F158" i="27"/>
  <c r="E156" i="27"/>
  <c r="E202" i="27" s="1"/>
  <c r="C156" i="27"/>
  <c r="C202" i="27" s="1"/>
  <c r="H155" i="27"/>
  <c r="F155" i="27"/>
  <c r="F151" i="27"/>
  <c r="E150" i="27"/>
  <c r="E201" i="27" s="1"/>
  <c r="C150" i="27"/>
  <c r="C201" i="27" s="1"/>
  <c r="D141" i="27"/>
  <c r="C141" i="27"/>
  <c r="D140" i="27"/>
  <c r="C140" i="27"/>
  <c r="E138" i="27"/>
  <c r="D138" i="27"/>
  <c r="C138" i="27"/>
  <c r="F137" i="27"/>
  <c r="F136" i="27"/>
  <c r="F135" i="27"/>
  <c r="E134" i="27"/>
  <c r="H138" i="27" s="1"/>
  <c r="D134" i="27"/>
  <c r="C134" i="27"/>
  <c r="E133" i="27"/>
  <c r="F131" i="27"/>
  <c r="F130" i="27"/>
  <c r="F129" i="27"/>
  <c r="F128" i="27"/>
  <c r="D126" i="27"/>
  <c r="E126" i="27"/>
  <c r="C126" i="27"/>
  <c r="F125" i="27"/>
  <c r="F124" i="27"/>
  <c r="F123" i="27"/>
  <c r="F122" i="27"/>
  <c r="F121" i="27"/>
  <c r="F120" i="27"/>
  <c r="F119" i="27"/>
  <c r="E118" i="27"/>
  <c r="C118" i="27"/>
  <c r="F117" i="27"/>
  <c r="D116" i="27"/>
  <c r="F116" i="27" s="1"/>
  <c r="F115" i="27"/>
  <c r="F114" i="27"/>
  <c r="D113" i="27"/>
  <c r="E112" i="27"/>
  <c r="C112" i="27"/>
  <c r="F111" i="27"/>
  <c r="D110" i="27"/>
  <c r="D107" i="27" s="1"/>
  <c r="F109" i="27"/>
  <c r="F108" i="27"/>
  <c r="E107" i="27"/>
  <c r="C107" i="27"/>
  <c r="F106" i="27"/>
  <c r="D105" i="27"/>
  <c r="F105" i="27" s="1"/>
  <c r="D104" i="27"/>
  <c r="E103" i="27"/>
  <c r="C103" i="27"/>
  <c r="F102" i="27"/>
  <c r="F101" i="27"/>
  <c r="D100" i="27"/>
  <c r="D99" i="27"/>
  <c r="F99" i="27" s="1"/>
  <c r="E98" i="27"/>
  <c r="C98" i="27"/>
  <c r="D97" i="27"/>
  <c r="F97" i="27" s="1"/>
  <c r="F96" i="27"/>
  <c r="F95" i="27"/>
  <c r="F94" i="27"/>
  <c r="E93" i="27"/>
  <c r="C93" i="27"/>
  <c r="F92" i="27"/>
  <c r="F91" i="27"/>
  <c r="E90" i="27"/>
  <c r="D90" i="27"/>
  <c r="C90" i="27"/>
  <c r="D89" i="27"/>
  <c r="D88" i="27" s="1"/>
  <c r="E88" i="27"/>
  <c r="F88" i="27" s="1"/>
  <c r="C88" i="27"/>
  <c r="F87" i="27"/>
  <c r="D86" i="27"/>
  <c r="F86" i="27" s="1"/>
  <c r="F85" i="27"/>
  <c r="D84" i="27"/>
  <c r="F84" i="27" s="1"/>
  <c r="F83" i="27"/>
  <c r="E82" i="27"/>
  <c r="C82" i="27"/>
  <c r="G74" i="27"/>
  <c r="F74" i="27"/>
  <c r="E73" i="27"/>
  <c r="E75" i="27" s="1"/>
  <c r="D73" i="27"/>
  <c r="D75" i="27" s="1"/>
  <c r="C73" i="27"/>
  <c r="C75" i="27" s="1"/>
  <c r="F72" i="27"/>
  <c r="F71" i="27"/>
  <c r="F70" i="27"/>
  <c r="D68" i="27"/>
  <c r="F68" i="27" s="1"/>
  <c r="C68" i="27"/>
  <c r="C133" i="27" s="1"/>
  <c r="D67" i="27"/>
  <c r="F67" i="27" s="1"/>
  <c r="F66" i="27"/>
  <c r="D65" i="27"/>
  <c r="F65" i="27" s="1"/>
  <c r="D64" i="27"/>
  <c r="F64" i="27" s="1"/>
  <c r="D63" i="27"/>
  <c r="F63" i="27" s="1"/>
  <c r="F61" i="27"/>
  <c r="F60" i="27"/>
  <c r="F57" i="27"/>
  <c r="F56" i="27"/>
  <c r="F55" i="27"/>
  <c r="F53" i="27"/>
  <c r="F52" i="27"/>
  <c r="F51" i="27"/>
  <c r="F50" i="27"/>
  <c r="F49" i="27"/>
  <c r="F48" i="27"/>
  <c r="F47" i="27"/>
  <c r="F54" i="27"/>
  <c r="F46" i="27"/>
  <c r="E44" i="27"/>
  <c r="F43" i="27"/>
  <c r="C42" i="27"/>
  <c r="C36" i="27" s="1"/>
  <c r="D41" i="27"/>
  <c r="F41" i="27" s="1"/>
  <c r="F40" i="27"/>
  <c r="F39" i="27"/>
  <c r="F38" i="27"/>
  <c r="E36" i="27"/>
  <c r="F35" i="27"/>
  <c r="E34" i="27"/>
  <c r="D34" i="27"/>
  <c r="C34" i="27"/>
  <c r="I33" i="27"/>
  <c r="F33" i="27"/>
  <c r="I32" i="27"/>
  <c r="F32" i="27"/>
  <c r="F31" i="27"/>
  <c r="F30" i="27"/>
  <c r="F29" i="27"/>
  <c r="F28" i="27"/>
  <c r="D27" i="27"/>
  <c r="F27" i="27" s="1"/>
  <c r="C27" i="27"/>
  <c r="G33" i="27" s="1"/>
  <c r="F26" i="27"/>
  <c r="F24" i="27"/>
  <c r="F23" i="27"/>
  <c r="F22" i="27"/>
  <c r="D21" i="27"/>
  <c r="F21" i="27" s="1"/>
  <c r="F20" i="27"/>
  <c r="F18" i="27"/>
  <c r="I17" i="27"/>
  <c r="G17" i="27"/>
  <c r="F17" i="27"/>
  <c r="F15" i="27"/>
  <c r="F14" i="27"/>
  <c r="F13" i="27"/>
  <c r="E12" i="27"/>
  <c r="F11" i="27"/>
  <c r="F10" i="27"/>
  <c r="F9" i="27"/>
  <c r="F8" i="27"/>
  <c r="F7" i="27"/>
  <c r="F6" i="27"/>
  <c r="D5" i="27"/>
  <c r="F5" i="27" s="1"/>
  <c r="E4" i="27"/>
  <c r="C4" i="27"/>
  <c r="D126" i="18"/>
  <c r="D113" i="18"/>
  <c r="C12" i="27" l="1"/>
  <c r="AM41" i="28"/>
  <c r="AM84" i="28" s="1"/>
  <c r="AM87" i="28" s="1"/>
  <c r="D112" i="27"/>
  <c r="F112" i="27" s="1"/>
  <c r="D103" i="27"/>
  <c r="F103" i="27" s="1"/>
  <c r="F157" i="27"/>
  <c r="D4" i="27"/>
  <c r="F4" i="27" s="1"/>
  <c r="I155" i="27"/>
  <c r="D150" i="27"/>
  <c r="F153" i="27"/>
  <c r="C44" i="27"/>
  <c r="C69" i="27" s="1"/>
  <c r="C76" i="27" s="1"/>
  <c r="C198" i="27" s="1"/>
  <c r="F138" i="27"/>
  <c r="E203" i="27"/>
  <c r="C206" i="27"/>
  <c r="C142" i="27"/>
  <c r="D156" i="27"/>
  <c r="AM7" i="28"/>
  <c r="AM34" i="28" s="1"/>
  <c r="AM37" i="28" s="1"/>
  <c r="G75" i="27"/>
  <c r="F113" i="27"/>
  <c r="F141" i="27"/>
  <c r="E69" i="27"/>
  <c r="E76" i="27" s="1"/>
  <c r="F34" i="27"/>
  <c r="D44" i="27"/>
  <c r="F44" i="27" s="1"/>
  <c r="F73" i="27"/>
  <c r="C132" i="27"/>
  <c r="F90" i="27"/>
  <c r="D133" i="27"/>
  <c r="D139" i="27" s="1"/>
  <c r="F134" i="27"/>
  <c r="D142" i="27"/>
  <c r="G189" i="27"/>
  <c r="D12" i="27"/>
  <c r="D42" i="27"/>
  <c r="C139" i="27"/>
  <c r="C143" i="27" s="1"/>
  <c r="D98" i="27"/>
  <c r="F98" i="27" s="1"/>
  <c r="F75" i="27"/>
  <c r="C203" i="27"/>
  <c r="F107" i="27"/>
  <c r="F126" i="27"/>
  <c r="E206" i="27"/>
  <c r="H32" i="27"/>
  <c r="E142" i="27"/>
  <c r="H17" i="27"/>
  <c r="D82" i="27"/>
  <c r="F89" i="27"/>
  <c r="D93" i="27"/>
  <c r="F93" i="27" s="1"/>
  <c r="F100" i="27"/>
  <c r="F104" i="27"/>
  <c r="D118" i="27"/>
  <c r="F118" i="27" s="1"/>
  <c r="F127" i="27"/>
  <c r="F16" i="27"/>
  <c r="G183" i="27"/>
  <c r="F189" i="27"/>
  <c r="H33" i="27"/>
  <c r="E132" i="27"/>
  <c r="E139" i="27"/>
  <c r="F110" i="27"/>
  <c r="F140" i="27"/>
  <c r="F183" i="27"/>
  <c r="D205" i="27"/>
  <c r="D206" i="27" s="1"/>
  <c r="G32" i="27"/>
  <c r="G73" i="27"/>
  <c r="F156" i="27" l="1"/>
  <c r="G156" i="27"/>
  <c r="D201" i="27"/>
  <c r="G150" i="27"/>
  <c r="F150" i="27"/>
  <c r="F133" i="27"/>
  <c r="D143" i="27"/>
  <c r="D202" i="27"/>
  <c r="D203" i="27" s="1"/>
  <c r="C144" i="27"/>
  <c r="C199" i="27" s="1"/>
  <c r="C210" i="27" s="1"/>
  <c r="C213" i="27" s="1"/>
  <c r="G139" i="27"/>
  <c r="G142" i="27"/>
  <c r="AM88" i="28"/>
  <c r="F42" i="27"/>
  <c r="D36" i="27"/>
  <c r="F36" i="27" s="1"/>
  <c r="F142" i="27"/>
  <c r="D69" i="27"/>
  <c r="D132" i="27"/>
  <c r="F12" i="27"/>
  <c r="F82" i="27"/>
  <c r="E198" i="27"/>
  <c r="E143" i="27"/>
  <c r="F139" i="27"/>
  <c r="C209" i="27"/>
  <c r="C212" i="27" s="1"/>
  <c r="G143" i="27"/>
  <c r="H9" i="15"/>
  <c r="I9" i="15"/>
  <c r="F143" i="27" l="1"/>
  <c r="D144" i="27"/>
  <c r="G132" i="27"/>
  <c r="F132" i="27"/>
  <c r="C200" i="27"/>
  <c r="C207" i="27" s="1"/>
  <c r="F69" i="27"/>
  <c r="D76" i="27"/>
  <c r="G69" i="27"/>
  <c r="E144" i="27"/>
  <c r="E209" i="27"/>
  <c r="E212" i="27" s="1"/>
  <c r="D199" i="27"/>
  <c r="D210" i="27" s="1"/>
  <c r="G144" i="27"/>
  <c r="D213" i="27" l="1"/>
  <c r="G213" i="27" s="1"/>
  <c r="G210" i="27"/>
  <c r="G76" i="27"/>
  <c r="D198" i="27"/>
  <c r="D209" i="27" s="1"/>
  <c r="F76" i="27"/>
  <c r="F144" i="27"/>
  <c r="E199" i="27"/>
  <c r="D200" i="27" l="1"/>
  <c r="D207" i="27" s="1"/>
  <c r="D212" i="27"/>
  <c r="G212" i="27" s="1"/>
  <c r="G209" i="27"/>
  <c r="E210" i="27"/>
  <c r="E213" i="27" s="1"/>
  <c r="E200" i="27"/>
  <c r="E207" i="27" s="1"/>
  <c r="D140" i="18" l="1"/>
  <c r="D139" i="18"/>
  <c r="D67" i="18"/>
  <c r="D72" i="18" l="1"/>
  <c r="E72" i="18"/>
  <c r="E74" i="18" s="1"/>
  <c r="F72" i="18"/>
  <c r="F74" i="18" s="1"/>
  <c r="G72" i="18"/>
  <c r="G74" i="18" s="1"/>
  <c r="D74" i="18"/>
  <c r="C72" i="18"/>
  <c r="C74" i="18" s="1"/>
  <c r="D137" i="18" l="1"/>
  <c r="E137" i="18"/>
  <c r="F137" i="18"/>
  <c r="G137" i="18"/>
  <c r="C137" i="18"/>
  <c r="G42" i="18"/>
  <c r="F42" i="18"/>
  <c r="E42" i="18"/>
  <c r="D203" i="18" l="1"/>
  <c r="G201" i="18"/>
  <c r="G217" i="18" s="1"/>
  <c r="F201" i="18"/>
  <c r="F217" i="18" s="1"/>
  <c r="E201" i="18"/>
  <c r="E217" i="18" s="1"/>
  <c r="D201" i="18"/>
  <c r="D217" i="18" s="1"/>
  <c r="C201" i="18"/>
  <c r="C217" i="18" s="1"/>
  <c r="D200" i="18"/>
  <c r="N197" i="18"/>
  <c r="M197" i="18"/>
  <c r="L197" i="18"/>
  <c r="D198" i="18"/>
  <c r="K198" i="18" s="1"/>
  <c r="C198" i="18"/>
  <c r="J198" i="18" s="1"/>
  <c r="G195" i="18"/>
  <c r="N193" i="18" s="1"/>
  <c r="F195" i="18"/>
  <c r="F216" i="18" s="1"/>
  <c r="E195" i="18"/>
  <c r="E216" i="18" s="1"/>
  <c r="D187" i="18"/>
  <c r="D186" i="18"/>
  <c r="D184" i="18"/>
  <c r="D176" i="18"/>
  <c r="D173" i="18"/>
  <c r="D172" i="18"/>
  <c r="D170" i="18"/>
  <c r="D168" i="18"/>
  <c r="D165" i="18"/>
  <c r="D164" i="18"/>
  <c r="D162" i="18"/>
  <c r="D159" i="18"/>
  <c r="G158" i="18"/>
  <c r="G214" i="18" s="1"/>
  <c r="F158" i="18"/>
  <c r="E158" i="18"/>
  <c r="C158" i="18"/>
  <c r="C214" i="18" s="1"/>
  <c r="M155" i="18"/>
  <c r="L155" i="18"/>
  <c r="K156" i="18"/>
  <c r="D156" i="18"/>
  <c r="C156" i="18"/>
  <c r="C149" i="18" s="1"/>
  <c r="D153" i="18"/>
  <c r="D152" i="18"/>
  <c r="D151" i="18"/>
  <c r="D150" i="18"/>
  <c r="G149" i="18"/>
  <c r="G213" i="18" s="1"/>
  <c r="F149" i="18"/>
  <c r="F213" i="18" s="1"/>
  <c r="E149" i="18"/>
  <c r="E213" i="18" s="1"/>
  <c r="G140" i="18"/>
  <c r="F140" i="18"/>
  <c r="E140" i="18"/>
  <c r="C140" i="18"/>
  <c r="C141" i="18" s="1"/>
  <c r="G139" i="18"/>
  <c r="F139" i="18"/>
  <c r="E139" i="18"/>
  <c r="C134" i="18"/>
  <c r="C133" i="18"/>
  <c r="C132" i="18"/>
  <c r="D127" i="18"/>
  <c r="C127" i="18"/>
  <c r="C125" i="18" s="1"/>
  <c r="G125" i="18"/>
  <c r="F125" i="18"/>
  <c r="E125" i="18"/>
  <c r="D123" i="18"/>
  <c r="D122" i="18"/>
  <c r="D121" i="18"/>
  <c r="D120" i="18"/>
  <c r="D119" i="18"/>
  <c r="D118" i="18"/>
  <c r="G117" i="18"/>
  <c r="F117" i="18"/>
  <c r="E117" i="18"/>
  <c r="C117" i="18"/>
  <c r="D116" i="18"/>
  <c r="D112" i="18"/>
  <c r="G111" i="18"/>
  <c r="F111" i="18"/>
  <c r="E111" i="18"/>
  <c r="C111" i="18"/>
  <c r="D108" i="18"/>
  <c r="D106" i="18" s="1"/>
  <c r="G106" i="18"/>
  <c r="F106" i="18"/>
  <c r="E106" i="18"/>
  <c r="C106" i="18"/>
  <c r="D105" i="18"/>
  <c r="D104" i="18"/>
  <c r="D103" i="18"/>
  <c r="G102" i="18"/>
  <c r="F102" i="18"/>
  <c r="E102" i="18"/>
  <c r="C102" i="18"/>
  <c r="D99" i="18"/>
  <c r="G97" i="18"/>
  <c r="F97" i="18"/>
  <c r="E97" i="18"/>
  <c r="D97" i="18"/>
  <c r="C97" i="18"/>
  <c r="D95" i="18"/>
  <c r="D94" i="18"/>
  <c r="D93" i="18"/>
  <c r="G92" i="18"/>
  <c r="F92" i="18"/>
  <c r="E92" i="18"/>
  <c r="C92" i="18"/>
  <c r="D91" i="18"/>
  <c r="G89" i="18"/>
  <c r="F89" i="18"/>
  <c r="E89" i="18"/>
  <c r="D89" i="18"/>
  <c r="C89" i="18"/>
  <c r="D88" i="18"/>
  <c r="G87" i="18"/>
  <c r="F87" i="18"/>
  <c r="E87" i="18"/>
  <c r="D87" i="18"/>
  <c r="C87" i="18"/>
  <c r="D85" i="18"/>
  <c r="D84" i="18"/>
  <c r="D83" i="18"/>
  <c r="D82" i="18"/>
  <c r="G81" i="18"/>
  <c r="F81" i="18"/>
  <c r="E81" i="18"/>
  <c r="C81" i="18"/>
  <c r="G133" i="18"/>
  <c r="F133" i="18"/>
  <c r="E133" i="18"/>
  <c r="D133" i="18"/>
  <c r="G67" i="18"/>
  <c r="G132" i="18" s="1"/>
  <c r="G138" i="18" s="1"/>
  <c r="F67" i="18"/>
  <c r="F132" i="18" s="1"/>
  <c r="F138" i="18" s="1"/>
  <c r="E67" i="18"/>
  <c r="E132" i="18" s="1"/>
  <c r="E138" i="18" s="1"/>
  <c r="D132" i="18"/>
  <c r="D138" i="18" s="1"/>
  <c r="D63" i="18"/>
  <c r="D62" i="18"/>
  <c r="D60" i="18"/>
  <c r="D56" i="18"/>
  <c r="D55" i="18"/>
  <c r="C55" i="18"/>
  <c r="D51" i="18"/>
  <c r="C51" i="18"/>
  <c r="D45" i="18"/>
  <c r="F44" i="18"/>
  <c r="G36" i="18"/>
  <c r="F36" i="18"/>
  <c r="E36" i="18"/>
  <c r="D42" i="18"/>
  <c r="C42" i="18"/>
  <c r="D41" i="18"/>
  <c r="C41" i="18"/>
  <c r="G34" i="18"/>
  <c r="F34" i="18"/>
  <c r="E34" i="18"/>
  <c r="D34" i="18"/>
  <c r="C34" i="18"/>
  <c r="I33" i="18"/>
  <c r="I32" i="18"/>
  <c r="D28" i="18"/>
  <c r="G27" i="18"/>
  <c r="M32" i="18" s="1"/>
  <c r="F27" i="18"/>
  <c r="L33" i="18" s="1"/>
  <c r="E27" i="18"/>
  <c r="K33" i="18" s="1"/>
  <c r="D27" i="18"/>
  <c r="D21" i="18"/>
  <c r="D18" i="18"/>
  <c r="M17" i="18"/>
  <c r="L17" i="18"/>
  <c r="K17" i="18"/>
  <c r="I17" i="18"/>
  <c r="D17" i="18"/>
  <c r="D13" i="18"/>
  <c r="G12" i="18"/>
  <c r="C12" i="18"/>
  <c r="D5" i="18"/>
  <c r="D4" i="18" s="1"/>
  <c r="G4" i="18"/>
  <c r="F4" i="18"/>
  <c r="E4" i="18"/>
  <c r="C4" i="18"/>
  <c r="C138" i="18" l="1"/>
  <c r="C142" i="18" s="1"/>
  <c r="D36" i="18"/>
  <c r="C44" i="18"/>
  <c r="D149" i="18"/>
  <c r="D213" i="18" s="1"/>
  <c r="G141" i="18"/>
  <c r="G142" i="18" s="1"/>
  <c r="E218" i="18"/>
  <c r="G131" i="18"/>
  <c r="D117" i="18"/>
  <c r="J32" i="18"/>
  <c r="J17" i="18"/>
  <c r="C36" i="18"/>
  <c r="C68" i="18" s="1"/>
  <c r="C75" i="18" s="1"/>
  <c r="C210" i="18" s="1"/>
  <c r="E12" i="18"/>
  <c r="E141" i="18"/>
  <c r="D141" i="18"/>
  <c r="D142" i="18" s="1"/>
  <c r="M33" i="18"/>
  <c r="E44" i="18"/>
  <c r="D44" i="18"/>
  <c r="C131" i="18"/>
  <c r="D111" i="18"/>
  <c r="I156" i="18"/>
  <c r="C195" i="18"/>
  <c r="J194" i="18" s="1"/>
  <c r="M193" i="18"/>
  <c r="J33" i="18"/>
  <c r="E131" i="18"/>
  <c r="D102" i="18"/>
  <c r="D125" i="18"/>
  <c r="L194" i="18"/>
  <c r="N194" i="18"/>
  <c r="D195" i="18"/>
  <c r="D216" i="18" s="1"/>
  <c r="D218" i="18" s="1"/>
  <c r="D81" i="18"/>
  <c r="G44" i="18"/>
  <c r="G68" i="18" s="1"/>
  <c r="G75" i="18" s="1"/>
  <c r="F131" i="18"/>
  <c r="D92" i="18"/>
  <c r="F141" i="18"/>
  <c r="M194" i="18"/>
  <c r="D158" i="18"/>
  <c r="D214" i="18" s="1"/>
  <c r="G215" i="18"/>
  <c r="F218" i="18"/>
  <c r="C213" i="18"/>
  <c r="C215" i="18" s="1"/>
  <c r="J195" i="18"/>
  <c r="D12" i="18"/>
  <c r="D68" i="18" s="1"/>
  <c r="D75" i="18" s="1"/>
  <c r="K32" i="18"/>
  <c r="J156" i="18"/>
  <c r="L193" i="18"/>
  <c r="E214" i="18"/>
  <c r="E215" i="18" s="1"/>
  <c r="G216" i="18"/>
  <c r="G218" i="18" s="1"/>
  <c r="L32" i="18"/>
  <c r="F214" i="18"/>
  <c r="F215" i="18" s="1"/>
  <c r="F12" i="18"/>
  <c r="F68" i="18" s="1"/>
  <c r="F321" i="17"/>
  <c r="G321" i="17"/>
  <c r="C310" i="17"/>
  <c r="E310" i="17"/>
  <c r="E321" i="17" s="1"/>
  <c r="D320" i="17"/>
  <c r="H320" i="17" s="1"/>
  <c r="I320" i="17" s="1"/>
  <c r="H319" i="17"/>
  <c r="I319" i="17" s="1"/>
  <c r="F75" i="18" l="1"/>
  <c r="F210" i="18" s="1"/>
  <c r="F221" i="18" s="1"/>
  <c r="F224" i="18" s="1"/>
  <c r="E68" i="18"/>
  <c r="D215" i="18"/>
  <c r="C143" i="18"/>
  <c r="C211" i="18" s="1"/>
  <c r="C222" i="18" s="1"/>
  <c r="C225" i="18" s="1"/>
  <c r="D210" i="18"/>
  <c r="D221" i="18" s="1"/>
  <c r="D224" i="18" s="1"/>
  <c r="D131" i="18"/>
  <c r="D143" i="18" s="1"/>
  <c r="D211" i="18" s="1"/>
  <c r="C216" i="18"/>
  <c r="C218" i="18" s="1"/>
  <c r="E142" i="18"/>
  <c r="E143" i="18" s="1"/>
  <c r="E211" i="18" s="1"/>
  <c r="E222" i="18" s="1"/>
  <c r="E225" i="18" s="1"/>
  <c r="G143" i="18"/>
  <c r="G211" i="18" s="1"/>
  <c r="G222" i="18" s="1"/>
  <c r="G225" i="18" s="1"/>
  <c r="K195" i="18"/>
  <c r="G210" i="18"/>
  <c r="G221" i="18" s="1"/>
  <c r="G224" i="18" s="1"/>
  <c r="K194" i="18"/>
  <c r="F142" i="18"/>
  <c r="F143" i="18" s="1"/>
  <c r="F211" i="18" s="1"/>
  <c r="F222" i="18" s="1"/>
  <c r="F225" i="18" s="1"/>
  <c r="C221" i="18"/>
  <c r="C224" i="18" s="1"/>
  <c r="H308" i="17"/>
  <c r="I308" i="17" s="1"/>
  <c r="H312" i="17"/>
  <c r="I312" i="17" s="1"/>
  <c r="E75" i="18" l="1"/>
  <c r="E210" i="18" s="1"/>
  <c r="C212" i="18"/>
  <c r="C219" i="18" s="1"/>
  <c r="D212" i="18"/>
  <c r="D219" i="18" s="1"/>
  <c r="D222" i="18"/>
  <c r="D225" i="18" s="1"/>
  <c r="G212" i="18"/>
  <c r="G219" i="18" s="1"/>
  <c r="F212" i="18"/>
  <c r="F219" i="18" s="1"/>
  <c r="C321" i="17"/>
  <c r="H318" i="17"/>
  <c r="I318" i="17" s="1"/>
  <c r="H317" i="17"/>
  <c r="I317" i="17" s="1"/>
  <c r="H316" i="17"/>
  <c r="I316" i="17" s="1"/>
  <c r="H315" i="17"/>
  <c r="I315" i="17" s="1"/>
  <c r="H314" i="17"/>
  <c r="I314" i="17" s="1"/>
  <c r="H313" i="17"/>
  <c r="I313" i="17" s="1"/>
  <c r="H311" i="17"/>
  <c r="I311" i="17" s="1"/>
  <c r="H310" i="17"/>
  <c r="I310" i="17" s="1"/>
  <c r="H309" i="17"/>
  <c r="I309" i="17" s="1"/>
  <c r="H307" i="17"/>
  <c r="I307" i="17" s="1"/>
  <c r="H306" i="17"/>
  <c r="I306" i="17" s="1"/>
  <c r="H305" i="17"/>
  <c r="I305" i="17" s="1"/>
  <c r="H304" i="17"/>
  <c r="I304" i="17" s="1"/>
  <c r="H303" i="17"/>
  <c r="H302" i="17"/>
  <c r="I302" i="17" s="1"/>
  <c r="D301" i="17"/>
  <c r="H301" i="17" l="1"/>
  <c r="I301" i="17" s="1"/>
  <c r="D321" i="17"/>
  <c r="E221" i="18"/>
  <c r="E224" i="18" s="1"/>
  <c r="E212" i="18"/>
  <c r="E219" i="18" s="1"/>
  <c r="H321" i="17"/>
  <c r="I321" i="17" s="1"/>
  <c r="I303" i="17"/>
  <c r="G21" i="15"/>
  <c r="H10" i="15"/>
  <c r="H20" i="15"/>
  <c r="H19" i="15"/>
  <c r="H18" i="15"/>
  <c r="H8" i="15"/>
  <c r="H17" i="15"/>
  <c r="H16" i="15"/>
  <c r="H15" i="15"/>
  <c r="H14" i="15"/>
  <c r="H12" i="15"/>
  <c r="H11" i="15"/>
  <c r="H7" i="15"/>
  <c r="H6" i="15"/>
  <c r="H5" i="15"/>
  <c r="H4" i="15"/>
  <c r="D21" i="15"/>
  <c r="I5" i="15" l="1"/>
  <c r="I7" i="15"/>
  <c r="I14" i="15"/>
  <c r="I10" i="15"/>
  <c r="I15" i="15"/>
  <c r="I12" i="15"/>
  <c r="I16" i="15"/>
  <c r="I18" i="15"/>
  <c r="I20" i="15"/>
  <c r="I8" i="15"/>
  <c r="F21" i="15"/>
  <c r="C21" i="15"/>
  <c r="E21" i="15"/>
  <c r="I4" i="15"/>
  <c r="I6" i="15"/>
  <c r="H13" i="15"/>
  <c r="I13" i="15" s="1"/>
  <c r="I17" i="15"/>
  <c r="I19" i="15"/>
  <c r="H21" i="15" l="1"/>
  <c r="I21" i="15" s="1"/>
  <c r="H22" i="15"/>
  <c r="I11" i="15"/>
</calcChain>
</file>

<file path=xl/comments1.xml><?xml version="1.0" encoding="utf-8"?>
<comments xmlns="http://schemas.openxmlformats.org/spreadsheetml/2006/main">
  <authors>
    <author>Autor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1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1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1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1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<sst xmlns="http://schemas.openxmlformats.org/spreadsheetml/2006/main" count="4701" uniqueCount="687">
  <si>
    <t>Bežný rozpočet - príjmy</t>
  </si>
  <si>
    <t>Názov položky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</si>
  <si>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</si>
  <si>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</si>
  <si>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</si>
  <si>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</si>
  <si>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</si>
  <si>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</si>
  <si>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</si>
  <si>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</si>
  <si>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</si>
  <si>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</si>
  <si>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</si>
  <si>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</si>
  <si>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</si>
  <si>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</si>
  <si>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</si>
  <si>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</si>
  <si>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</si>
  <si>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</si>
  <si>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separovaný zber</t>
  </si>
  <si>
    <t>poplatok za služby v Dome smútku</t>
  </si>
  <si>
    <t>poplatok za stočné</t>
  </si>
  <si>
    <t>poplatky za služby pri užívaní obec.nebyt.priestorov</t>
  </si>
  <si>
    <t>príjem za réžiu v ŠKJ</t>
  </si>
  <si>
    <t>príspevok rodičov na náklady zariadenia MŠ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</si>
  <si>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</si>
  <si>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</si>
  <si>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</si>
  <si>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</si>
  <si>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</si>
  <si>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</si>
  <si>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>príjem z refundácie za skladníka CO z MV SR</t>
  </si>
  <si>
    <t>príjmy z refundácií</t>
  </si>
  <si>
    <t>granty, dotácie, transfery</t>
  </si>
  <si>
    <t>Dotácia MV SR - voľby</t>
  </si>
  <si>
    <t>Dotácia UPSVR na deti v hm.núdzi /strava,šk.potreby/</t>
  </si>
  <si>
    <t>Dotácia UPSVR na osobitného príjemcu rod.prídavkov</t>
  </si>
  <si>
    <t>Transfer od obcí na SpU opatr.služby</t>
  </si>
  <si>
    <t>Transfer od ZŠ na SpU školstva</t>
  </si>
  <si>
    <t>Transfer od obcí na SpU stavebný</t>
  </si>
  <si>
    <t>Dotácia DPO SR na Dobr.hasič.zbor obce</t>
  </si>
  <si>
    <t>Dotácia MV SR na matričnú čin., register obyv., adries</t>
  </si>
  <si>
    <t>Dotácia MDVRR,MŽP na stavebný úrad</t>
  </si>
  <si>
    <t>Dotácia OkU na výchovu,vzdelávanie v MŠ</t>
  </si>
  <si>
    <t>BEŽNÉ PRÍJMY obce:</t>
  </si>
  <si>
    <t>RO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</si>
  <si>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</si>
  <si>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</si>
  <si>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</si>
  <si>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</si>
  <si>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</si>
  <si>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</si>
  <si>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0131</t>
  </si>
  <si>
    <t>0133</t>
  </si>
  <si>
    <t>Všeobec.služby (Matrika,REGOB,evidencie, správa)</t>
  </si>
  <si>
    <t>0160</t>
  </si>
  <si>
    <t>Všeob.verejné služby (Voľby)</t>
  </si>
  <si>
    <t>02 Obrana</t>
  </si>
  <si>
    <t>0220</t>
  </si>
  <si>
    <t>Civilná ochrana (Skladník CO, evidencie)</t>
  </si>
  <si>
    <t>03 Verejný poriadok a bezpečnosť</t>
  </si>
  <si>
    <t>0320</t>
  </si>
  <si>
    <t>Ochrana pred požiarmi (Prevádzka dobr.hasič.zboru)</t>
  </si>
  <si>
    <t>0360</t>
  </si>
  <si>
    <t>Bezpečnosť (Kamer.systém, bezpečn. projekt)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</si>
  <si>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</si>
  <si>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</si>
  <si>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</si>
  <si>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</si>
  <si>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</si>
  <si>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</si>
  <si>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</si>
  <si>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0460</t>
  </si>
  <si>
    <t>Komunikácia (prevádzka kom.systémov, WIFI)</t>
  </si>
  <si>
    <t>05 Ochrana životného prostredia</t>
  </si>
  <si>
    <t>0510</t>
  </si>
  <si>
    <t>0520</t>
  </si>
  <si>
    <t>Naklad.s odp.vodami (Prevádzka kanalizácie a ČOV)</t>
  </si>
  <si>
    <t>0540</t>
  </si>
  <si>
    <t>Ochrana prírody a krajiny a výrub drevín</t>
  </si>
  <si>
    <t>0560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</si>
  <si>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</si>
  <si>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</si>
  <si>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</si>
  <si>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</si>
  <si>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</si>
  <si>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</si>
  <si>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</si>
  <si>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</si>
  <si>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</si>
  <si>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</si>
  <si>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</si>
  <si>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</si>
  <si>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</si>
  <si>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</t>
  </si>
  <si>
    <t>08 Rekreácia, kultúra a náboženstvo</t>
  </si>
  <si>
    <t>0810</t>
  </si>
  <si>
    <t>Rekreač.,šport.služby (prevádzka šport.areálu, ŠK)</t>
  </si>
  <si>
    <t>0820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</si>
  <si>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</si>
  <si>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</si>
  <si>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</si>
  <si>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</si>
  <si>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</si>
  <si>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09 Vzdelávanie</t>
  </si>
  <si>
    <t>09111</t>
  </si>
  <si>
    <t>Predprimárne vzdelávanie (Prevádzka MŠ)</t>
  </si>
  <si>
    <t>0950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</si>
  <si>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</si>
  <si>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</si>
  <si>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</si>
  <si>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</si>
  <si>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</si>
  <si>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Vedľ.služby v rámci niž.sekund. vzdel. (ŠKJ pre 2.st.ZŠ)</t>
  </si>
  <si>
    <t>09608</t>
  </si>
  <si>
    <t>Vedľ.služby nedefinované (ŠKJ pre ostat, SÚ ŠKOL)</t>
  </si>
  <si>
    <t>0980</t>
  </si>
  <si>
    <t>Správa a riadenie vzdelávania</t>
  </si>
  <si>
    <t>10 Sociálne zabezpečenie</t>
  </si>
  <si>
    <t>1020</t>
  </si>
  <si>
    <t>1040</t>
  </si>
  <si>
    <t>1050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</si>
  <si>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</si>
  <si>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</si>
  <si>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</si>
  <si>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</si>
  <si>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</si>
  <si>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Kapitálový rozpočet</t>
  </si>
  <si>
    <t>Kapitálové príjmy</t>
  </si>
  <si>
    <t>predaj pozemkov</t>
  </si>
  <si>
    <t>Kapitálové výdavky</t>
  </si>
  <si>
    <t>0610</t>
  </si>
  <si>
    <t>Finančné operácie</t>
  </si>
  <si>
    <t>príjmové</t>
  </si>
  <si>
    <t>prevod z FRO - investičné akcie</t>
  </si>
  <si>
    <t>prevody fondu prev.údržby,opráv bytov</t>
  </si>
  <si>
    <t>návratné zdroje financovania</t>
  </si>
  <si>
    <t>výdavkové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</si>
  <si>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</si>
  <si>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</si>
  <si>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</si>
  <si>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</si>
  <si>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</si>
  <si>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</si>
  <si>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</si>
  <si>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</si>
  <si>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</si>
  <si>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</si>
  <si>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</si>
  <si>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</si>
  <si>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</si>
  <si>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</si>
  <si>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</si>
  <si>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</si>
  <si>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</si>
  <si>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>Spoločenská miestnosť</t>
  </si>
  <si>
    <t>Rekonštrukcia strechy na budove štadióna</t>
  </si>
  <si>
    <t>Zníž.energet.náročnosti OcÚ</t>
  </si>
  <si>
    <t>Nákup pozemkov,budov, objektov na ver. účely</t>
  </si>
  <si>
    <t>KT EF zvýš.energ.efekt.budovy MŠ</t>
  </si>
  <si>
    <t>KT EF Náučný chodník</t>
  </si>
  <si>
    <t xml:space="preserve">KT EF Dobudovanie kanalizácie </t>
  </si>
  <si>
    <t>Oporný múr na ul. Farská</t>
  </si>
  <si>
    <t>Kanalizácia (ul. Hlavná)</t>
  </si>
  <si>
    <t>Zvýšenie energ.efektív.budovy MŠ</t>
  </si>
  <si>
    <t>Dotácia UPSVR na aktivačnú činnosť, program reg.miest.zamestnávania</t>
  </si>
  <si>
    <t>Rodina a deti (Príspevky na deti v HN, osob.príjemca PND)</t>
  </si>
  <si>
    <t>Nezamestnanosť (Aktivačná činnosť a programy pre uchádz.o zamestnanie)</t>
  </si>
  <si>
    <t>Spoločenské, kultúrne, športové aktivity obce</t>
  </si>
  <si>
    <t>Ochrana živ.prostr. (Starostlivosť o ŽP, ver.zeleň, potoky, protipovodň.opatrenia,veterinárne služ.)</t>
  </si>
  <si>
    <t>Náučný chodník chotárom obce</t>
  </si>
  <si>
    <t>Propagácia, reklama, inzercia (propagač. predmety)</t>
  </si>
  <si>
    <t>Fin.a rozpoč.záležitosti (HKON,audit,popl,fin.správa, poistné)</t>
  </si>
  <si>
    <t>príjem zo vstupného, kult.činnosti, HDST, reklamné služby</t>
  </si>
  <si>
    <t>príjem za reklamné služby</t>
  </si>
  <si>
    <t xml:space="preserve">príjem z dobropisov </t>
  </si>
  <si>
    <t>príjem z vratiek</t>
  </si>
  <si>
    <t>Granty na kultúrne podujatia</t>
  </si>
  <si>
    <t>Dotácia BBSK na DFF Kolovrátok</t>
  </si>
  <si>
    <t>Dotácia z Fondu na podporu umenia - kultúrne projekty</t>
  </si>
  <si>
    <t>Dotácia IA MPSVR SR na opatrovateľskú službu</t>
  </si>
  <si>
    <t>Bežný príjem rozpočtových organizácií spolu:</t>
  </si>
  <si>
    <t>Bežné výdavky Základnej školy spolu:</t>
  </si>
  <si>
    <t>BEŽNÉ VÝDAVKY SPOLU:</t>
  </si>
  <si>
    <t>KT MV SR rekonštrukcia hasičskej zbrojnice</t>
  </si>
  <si>
    <t>Zmena územno-plánovacej dokumentácie</t>
  </si>
  <si>
    <t>príjem zo stravného v ŠKJ</t>
  </si>
  <si>
    <t>KT MV SR UPD</t>
  </si>
  <si>
    <t>09121,09211</t>
  </si>
  <si>
    <t>Rekonštrukcia schodiska Domu smútku</t>
  </si>
  <si>
    <t>Rekonštrukcia hľadiska amfiteátra</t>
  </si>
  <si>
    <t>Rekonštrukcia pódia na námestí</t>
  </si>
  <si>
    <t xml:space="preserve">Bežecká dráha v športovom areáli </t>
  </si>
  <si>
    <t>Vianočné osvetlenie</t>
  </si>
  <si>
    <t>Sadové úpravy ver.priestranstiev</t>
  </si>
  <si>
    <t>Záujmové vzdelávanie (semináre,kurzy,školenia)</t>
  </si>
  <si>
    <t>Chodník ul. Hlavná (2.úseky)</t>
  </si>
  <si>
    <t>Správa kult.služieb a zariad. (KUL,MĽK,AMF,podujatia,projekty FPU, múzeum)</t>
  </si>
  <si>
    <t>EÚ a ŠR</t>
  </si>
  <si>
    <t>Peň.fondy</t>
  </si>
  <si>
    <t>Úver</t>
  </si>
  <si>
    <t>Spolu:</t>
  </si>
  <si>
    <t>odvod správnych poplatkov za IOM</t>
  </si>
  <si>
    <t>príjem správnych poplatkov ŠR za IOM</t>
  </si>
  <si>
    <t>FNK</t>
  </si>
  <si>
    <t xml:space="preserve">splácanie istiny bankového úveru </t>
  </si>
  <si>
    <t>prevody zostatkov prostr. ŠKJ</t>
  </si>
  <si>
    <t>MŠ - detské ihrisko</t>
  </si>
  <si>
    <t>Vl.zdroje obce</t>
  </si>
  <si>
    <t>Maringotka na zberný dvor</t>
  </si>
  <si>
    <t>Názov investície</t>
  </si>
  <si>
    <t>Grant Nadácia pre deti Slovenska</t>
  </si>
  <si>
    <t>Dotácia Lesy SR na miestne komunikácie</t>
  </si>
  <si>
    <t>upravená položka voči schválenému rozpočtu</t>
  </si>
  <si>
    <t>Projektová dokumentácia pripr.inv.akcií</t>
  </si>
  <si>
    <t>Projektová dokumentácia</t>
  </si>
  <si>
    <t>kontrola</t>
  </si>
  <si>
    <t>upravené zdroje financovania</t>
  </si>
  <si>
    <t>Nákup motorových vozidiel</t>
  </si>
  <si>
    <t>Bežné výdavky rozpočtových organizácií spolu:</t>
  </si>
  <si>
    <t>Rekonštrukcia budovy pošty</t>
  </si>
  <si>
    <t>príjem za asistovanú službu Integrovaného obslužného miesta</t>
  </si>
  <si>
    <t xml:space="preserve">ZŠ - vybudovanie knižnice a čitárne </t>
  </si>
  <si>
    <t>Dotácia ÚV SR projekt na športovú výbavu</t>
  </si>
  <si>
    <t>Transfer vlastného príjmu Základnej školy</t>
  </si>
  <si>
    <t>Bežné výdavky Základnej umeleckej školy:</t>
  </si>
  <si>
    <t>Transfer obce pre Základnú umeleckú školu</t>
  </si>
  <si>
    <t>Transfer vlastného príjmu ZUŠ</t>
  </si>
  <si>
    <t>Projekt MŠVVŠ SR - Zvýšenie kvality vzdelávania na ZŠ</t>
  </si>
  <si>
    <t>2018 upravený</t>
  </si>
  <si>
    <t>09</t>
  </si>
  <si>
    <t>Suma v rozpočte</t>
  </si>
  <si>
    <t>2018 schválený</t>
  </si>
  <si>
    <t>príjem za služby denného stacionára</t>
  </si>
  <si>
    <t>príjmy z refundácie - iné náhrady</t>
  </si>
  <si>
    <t>Dotácia MPSVR na asistenta učiteľa MŠ</t>
  </si>
  <si>
    <t>Dotácia MPRV - rekonštrukcia denného stacionára</t>
  </si>
  <si>
    <t xml:space="preserve">Dotácia MŽP - zníženie energetickej náročnosti budovy OÚ </t>
  </si>
  <si>
    <t>Dotácia MPSVR na denný stacionár</t>
  </si>
  <si>
    <t>KT MZP zníž.energ.náročnosti budovy OcÚ</t>
  </si>
  <si>
    <t>KT MPRV - rekonštrukcia denného stacionára</t>
  </si>
  <si>
    <t>0740</t>
  </si>
  <si>
    <t xml:space="preserve">Štruktúrovaná kabeláž OÚ </t>
  </si>
  <si>
    <t>OÚ rekonštrukcia strechy</t>
  </si>
  <si>
    <t>Rekonštrukcia hasičskej zbrojnice - strecha</t>
  </si>
  <si>
    <t>ŠKJ - prevádzkové stroje</t>
  </si>
  <si>
    <t>Rekonštrukcia denného stacionára</t>
  </si>
  <si>
    <t>01020</t>
  </si>
  <si>
    <t>Zdroje financovania investičných akcií obce v roku 2019</t>
  </si>
  <si>
    <t>Zdroje financovania investičných akcií obce v roku 2020-2021</t>
  </si>
  <si>
    <t>Sadové úpravy ver.priestr. pri zdr. stredisku</t>
  </si>
  <si>
    <t>Pluh na zimnú údržbu miestnych komunikácií</t>
  </si>
  <si>
    <t>Rekonštrukcia strechy OÚ</t>
  </si>
  <si>
    <t xml:space="preserve">Rekonštrukcia strechy hasičskej zbrojnice </t>
  </si>
  <si>
    <t>Rekonštrukcia cesty na ul. Čaneckého</t>
  </si>
  <si>
    <t>Rekonštrukcia prístreška prameňa na ul. Tichá</t>
  </si>
  <si>
    <t>Rekonštrukcia Domu smútku a strechy</t>
  </si>
  <si>
    <t xml:space="preserve">Štrukturovaná kabeláž OÚ </t>
  </si>
  <si>
    <t>Suma v rozpočte v EUR</t>
  </si>
  <si>
    <t>Naklad.s odpadmi (zber,uloženie KO, prevádzka zber.dvora)</t>
  </si>
  <si>
    <t>Ochrana, podpora a rozvoj zdravia (prísp. SČK)</t>
  </si>
  <si>
    <t>Staroba (Opatrovateľská služba, SpÚ OSL, denný stacionár)</t>
  </si>
  <si>
    <t>Vlastný príjem ŠKD</t>
  </si>
  <si>
    <t>Transfer z OkU pre Základnú školu</t>
  </si>
  <si>
    <t>Transfer z projektu MŠVVŠ SR</t>
  </si>
  <si>
    <t>Transfer na rozvojový projekt ZŠ  - spolufinancovanie obce</t>
  </si>
  <si>
    <t>Transfer z rozpočtu obce pre Školský klub detí</t>
  </si>
  <si>
    <t>Transfer vlastného príjmu Školského klubu detí</t>
  </si>
  <si>
    <t>Vlastný príjem ZŠ, preplatky</t>
  </si>
  <si>
    <t>Transfer OkU pre ZŠ - právny subjekt</t>
  </si>
  <si>
    <t>Rozpočet obce Heľpa na rok 2019 bol schválený OZ uz.č. 768 dňa 29.11.2018</t>
  </si>
  <si>
    <t>Rozpočet obce Heľpa na roky 2020-2021 vzalo OZ na vedomie uz.č. 781 dňa 29.11.2018</t>
  </si>
  <si>
    <t>Rozpočet obce bol vyvesený na úradnej tabuli obce dňa 29.11.2018</t>
  </si>
  <si>
    <t>Návrh rozpočtu vyvesený na úradnej tabuli na OcÚ: 14.11.2018</t>
  </si>
  <si>
    <t>Pripomienky OZ zapracované 23.11.2018</t>
  </si>
  <si>
    <t>Heľpa 29.11.2018</t>
  </si>
  <si>
    <t>Bežný príjem RO - Základnej školy Heľpa spolu:</t>
  </si>
  <si>
    <t>Vlastný príjem ZUŠ Heľpa</t>
  </si>
  <si>
    <t>Obec Heľpa, Farská 588/2, 976 68 Heľpa</t>
  </si>
  <si>
    <t>Operatívna evidencia</t>
  </si>
  <si>
    <t>Por.č.</t>
  </si>
  <si>
    <t>Uz.č.</t>
  </si>
  <si>
    <t>zo dňa</t>
  </si>
  <si>
    <t>Rozpočtové opatrenie</t>
  </si>
  <si>
    <t>Zmena v príjmoch      v Eur</t>
  </si>
  <si>
    <t>Zmena vo výdavkoch v Eur</t>
  </si>
  <si>
    <t>1.</t>
  </si>
  <si>
    <t>2.</t>
  </si>
  <si>
    <t>3.</t>
  </si>
  <si>
    <t>4.</t>
  </si>
  <si>
    <t>5.</t>
  </si>
  <si>
    <t>6.</t>
  </si>
  <si>
    <t>7.</t>
  </si>
  <si>
    <t xml:space="preserve">Poznámka: </t>
  </si>
  <si>
    <t>§ 14 ods. 2  písm.:</t>
  </si>
  <si>
    <t>a) presun rozpočtovaných prostriedkov v rámci schváleného rozpočtu, pričom sa nemenia celkové príjmy a celkové výdavky,</t>
  </si>
  <si>
    <t>b) povolené prekročenie a viazanie príjmov,</t>
  </si>
  <si>
    <t>c) povolené prekročenie a viazanie výdavkov,</t>
  </si>
  <si>
    <t>d) povolené prekročenie a viazanie finančných operácií.</t>
  </si>
  <si>
    <t>Schválil: Peter Hyriak - starosta obce</t>
  </si>
  <si>
    <t>rozpočtových opatrení za rok 2019</t>
  </si>
  <si>
    <t>uskutočnené úpravy v rozpočtových položkách:</t>
  </si>
  <si>
    <t>PRÍJMY</t>
  </si>
  <si>
    <t xml:space="preserve">Položka </t>
  </si>
  <si>
    <t>Názov</t>
  </si>
  <si>
    <t>Suma</t>
  </si>
  <si>
    <t>Bežný rozpočet</t>
  </si>
  <si>
    <t>Výnos dane územnej samospráve</t>
  </si>
  <si>
    <t>Prevody rezervného, peňažných fondov</t>
  </si>
  <si>
    <t>Bankový úver</t>
  </si>
  <si>
    <t>Obec bez rozp.organizácie:</t>
  </si>
  <si>
    <t>Vlastný príjem ZUŠ - poplatky</t>
  </si>
  <si>
    <t>Vlastný príjem ZŠ, projekt</t>
  </si>
  <si>
    <t>Obec spolu:</t>
  </si>
  <si>
    <t>VÝDAVKY</t>
  </si>
  <si>
    <t>Názov prvku/projektu</t>
  </si>
  <si>
    <t>Splácanie istiny bank. úveru</t>
  </si>
  <si>
    <t>BT pre ZUŠ</t>
  </si>
  <si>
    <t>+ chýba, - minúť</t>
  </si>
  <si>
    <t>Vypracovala: Mgr. A.Tkáčiková</t>
  </si>
  <si>
    <t>1. úprava rozpočtu 2019</t>
  </si>
  <si>
    <t>zmena1</t>
  </si>
  <si>
    <t>schválený 2019</t>
  </si>
  <si>
    <t>VEO - energie</t>
  </si>
  <si>
    <t>NDS - dot. na šport.potreby</t>
  </si>
  <si>
    <t>0960</t>
  </si>
  <si>
    <t>Prevody fondu PÚO bytov a zost.prostr. ŠKJ, NDS</t>
  </si>
  <si>
    <t>Prenájom šport.areálu - hokej. turnaj</t>
  </si>
  <si>
    <t>Exter.manažm.projektov - ver.obstar., znal.posudky, žiadosti o NFP</t>
  </si>
  <si>
    <t>prevody zostatkov prostr. ŠKJ, NDS</t>
  </si>
  <si>
    <t>presun BT z OkÚ na Základnú školu</t>
  </si>
  <si>
    <t>MV SR fin.prísp. na údržbu voj.hrobov</t>
  </si>
  <si>
    <t>MVSR - dot. na matričný úrad</t>
  </si>
  <si>
    <t>MV SR ref. skladník CO skladu</t>
  </si>
  <si>
    <t xml:space="preserve">CO - odmena skladník </t>
  </si>
  <si>
    <t>PO - PZP, energie, DVP el.rozvody</t>
  </si>
  <si>
    <t>RO - lek.posúdenie zdrav.stavu profesie</t>
  </si>
  <si>
    <t>BT MŠSR - na vých. a vzdel. detí MŠ</t>
  </si>
  <si>
    <t>MPSVR fin.prísp. na soc.služby Den.stacionára</t>
  </si>
  <si>
    <t>ŠA -  dot.ŠK na hokej.turnaj Winter classic, oprava ihrísk, energie</t>
  </si>
  <si>
    <t>Rekonštrukcia Domu smútku</t>
  </si>
  <si>
    <t>Rekonštrukcia strechy Domu smútku</t>
  </si>
  <si>
    <t>ŠKJ - prevádzkové stroje (rúra, škrabka)</t>
  </si>
  <si>
    <t>FPU Kolovrátok, tradície</t>
  </si>
  <si>
    <t>Fašiangy</t>
  </si>
  <si>
    <t>Príjem za opatrovateľskú službu</t>
  </si>
  <si>
    <t>BT MŠSR - na normatív ZŠ, vzdel.poukazy, vzdel.zo soc.znevýh.prostr.</t>
  </si>
  <si>
    <t>MDVSR - dot. na staveb.konanie, cest.dopravu, život.prostredie</t>
  </si>
  <si>
    <t>Dotácia MVSR na údržbu vojnových hrobov</t>
  </si>
  <si>
    <t>Dotácia ÚV SR projekt na mládežnícke aktivity</t>
  </si>
  <si>
    <t>Príjem z dobropisov - energie</t>
  </si>
  <si>
    <t>% plnenia</t>
  </si>
  <si>
    <t>(zvýšenie/zníženie predchádzajúcej výšky rozpočtu  o uvedenú sumu)</t>
  </si>
  <si>
    <t>% čerpania</t>
  </si>
  <si>
    <t>prevody zost. fondu prev.údržby,opráv bytov</t>
  </si>
  <si>
    <t>Všeobec.služby (Matrika,REGOB,evidencie,služby, správa)</t>
  </si>
  <si>
    <t>Služby wifi siete</t>
  </si>
  <si>
    <t>Zdravotná starostlivosť (prevent.prehliadky, lek.posúdenie)</t>
  </si>
  <si>
    <t>Rekreač.,šport.služby (prevádzka šport.areálu, ŠK, NDS projekt)</t>
  </si>
  <si>
    <t>NDS- šport.potreby, materiál, služby</t>
  </si>
  <si>
    <t>Spoločenské, kultúrne, športové aktivity obce, projekty mládeže</t>
  </si>
  <si>
    <t>Vedľ.služby nedefinované (ŠKJ pre ostat, SpÚ ŠKOL)</t>
  </si>
  <si>
    <t>OU - energie, odstupné</t>
  </si>
  <si>
    <t>ČOV - energie</t>
  </si>
  <si>
    <t>RO - energie</t>
  </si>
  <si>
    <t>NFP Rekonštrukcia Denného stacionára</t>
  </si>
  <si>
    <t>Rekonštrukcia Denného stacionára</t>
  </si>
  <si>
    <t>Zníž. energ. náročnsti OcÚ</t>
  </si>
  <si>
    <t>NFP Zníž. energ. náročnsti OcÚ</t>
  </si>
  <si>
    <t>NFP Zvýš. energ. efektív. budovy MŠ</t>
  </si>
  <si>
    <t>Rekonštrukcia strechy OcÚ</t>
  </si>
  <si>
    <t>Rekonštrukcia strechy hasičskej zbrojnice</t>
  </si>
  <si>
    <t xml:space="preserve">Rekonštrukcia Domu smútku </t>
  </si>
  <si>
    <t>Zvýš. energ. efektív. budovy MŠ</t>
  </si>
  <si>
    <t>Projekt Komunita III. - mládežnícke aktivity-spolufin.obce</t>
  </si>
  <si>
    <t>V Heľpe 14.3.2019</t>
  </si>
  <si>
    <t>1. úprava Rozpočtu obce Heľpa na rok 2019 bola schválená OZ uz.č. 78/2019  dňa  14.3.2019</t>
  </si>
  <si>
    <t>Rozpočet obce po zmenách bol vyvesený na úradnej tabuli obce dňa 15.3.2019</t>
  </si>
  <si>
    <t>Pripomienky po prípravnom zasadnutí boli zapracované 8.3.2019</t>
  </si>
  <si>
    <t>Klubovňa - materiál.vybavenie</t>
  </si>
  <si>
    <t>x</t>
  </si>
  <si>
    <t xml:space="preserve">BT voľby prezidenta SR II.kolo - mat.tech.zabezpečenie </t>
  </si>
  <si>
    <t>MATR - dot.mzdy</t>
  </si>
  <si>
    <t>Spu stavebný - dot.mzda</t>
  </si>
  <si>
    <t>CD - mzda, poistné, materiál, dopr.značky</t>
  </si>
  <si>
    <t>KO - poistné,program.odpad.hospodárstva</t>
  </si>
  <si>
    <t>Byt, spoloč.priestory štadión - energie</t>
  </si>
  <si>
    <t>CIN - údržba voj.hrobov, DS - energie, materiál</t>
  </si>
  <si>
    <t>MŠ - dot.učeb.pomôcky, oprava ihriska, Asistent učiteľa- plat,poistné</t>
  </si>
  <si>
    <t>ŠKJ - štiepka, energie, potraviny</t>
  </si>
  <si>
    <t>Prenájom budov - klubovne</t>
  </si>
  <si>
    <t>Poistenie majetku, poštovné, spr.poplatky</t>
  </si>
  <si>
    <t>Voľba prezidenta SR II.kolo a voľby do EP- mat.-tech.zabezpečenie</t>
  </si>
  <si>
    <t>PERS - nemoc.dávky z miezd</t>
  </si>
  <si>
    <t>Akt.čin. - tarif,náradie</t>
  </si>
  <si>
    <t>Den.stacionár - dot.mzdy, prac.mat., stravovanie, OSL IA - poistné</t>
  </si>
  <si>
    <t>Skutočnosť 3</t>
  </si>
  <si>
    <t>Heľpa 14.3.2019</t>
  </si>
  <si>
    <t>Stavebné úpravy OcÚ</t>
  </si>
  <si>
    <t>2. úprava rozpočtu 2019</t>
  </si>
  <si>
    <t>Okresná požiarna súťaž - mat.tech.zabezpečenie</t>
  </si>
  <si>
    <t>Dotácia MPSVR na humanitárnu pomoc pri požiari</t>
  </si>
  <si>
    <t>Pripomienky po prípravnom zasadnutí boli zapracované 2.5.2019</t>
  </si>
  <si>
    <t>Stavebné úpravy OÚ (kabeláž, interiérové úpravy)</t>
  </si>
  <si>
    <t>§14 ods.2 písm. b), c)</t>
  </si>
  <si>
    <t>Soc.pomoc- materiál na opravu domu po požiari z dot.</t>
  </si>
  <si>
    <t>Údržba budov - telocvičňa</t>
  </si>
  <si>
    <t>zmena2</t>
  </si>
  <si>
    <t>Dot. MPSVR - humanitárna pomoc pri požiari</t>
  </si>
  <si>
    <t>MD - nevýherné hracie prístroje</t>
  </si>
  <si>
    <t>BT MV SR - voľby do Europarlamentu</t>
  </si>
  <si>
    <t>Voľby do Europarlamentu - materiálne zabezpečenie, vratky</t>
  </si>
  <si>
    <t>zmena3</t>
  </si>
  <si>
    <t>FIN - úroky z úveru, spr. poplatky</t>
  </si>
  <si>
    <t>Exter.manažment - služby ver.obstarávania</t>
  </si>
  <si>
    <t>V Heľpe 10.5.2019</t>
  </si>
  <si>
    <t>09121,9211</t>
  </si>
  <si>
    <t>dot. MŠVVŠSR - projekt Komunita III.</t>
  </si>
  <si>
    <t>2. úprava Rozpočtu obce Heľpa na rok 2019 bola schválená OZ uz.č. 123/2019  dňa 10.5.2019</t>
  </si>
  <si>
    <t>Rozpočet obce po zmenách bol vyvesený na úradnej tabuli obce dňa 13.5.2019</t>
  </si>
  <si>
    <t>§14 ods.2 písm. b), c), d)</t>
  </si>
  <si>
    <t>projekt Komunita III. z dot. - aktivity</t>
  </si>
  <si>
    <t>AČ - tarif spolufin.</t>
  </si>
  <si>
    <t>3. úprava rozpočtu 2019</t>
  </si>
  <si>
    <t>MĽK - interiérové vybavenie</t>
  </si>
  <si>
    <t>FPU - dotácia na modernú knižnicu</t>
  </si>
  <si>
    <t>FPU - dotácia na FS Heľpan</t>
  </si>
  <si>
    <t>Spoloč.kult.aktivity FS Heľpan</t>
  </si>
  <si>
    <t>Heľpa 10.5.2019</t>
  </si>
  <si>
    <t>Stavebné úpravy OcU</t>
  </si>
  <si>
    <t>MĽK - nákup kníh</t>
  </si>
  <si>
    <t>FPU - dotácia na nákup kníh</t>
  </si>
  <si>
    <t>FPU - festival K Tebe Matka milostivá</t>
  </si>
  <si>
    <t>Festival K Tebe Matka milostivá</t>
  </si>
  <si>
    <t>FPU - kult.podujatie od Lucii do Viliji</t>
  </si>
  <si>
    <t>Kult.podujatie Od Lucii do Viliji</t>
  </si>
  <si>
    <t>Zníž.energ.náročnosti OcU</t>
  </si>
  <si>
    <t>Zvýš.energ.efektívnosti MŠ</t>
  </si>
  <si>
    <t>CD - údržba miest.komunikácií</t>
  </si>
  <si>
    <t>MŠ - údržba budovy</t>
  </si>
  <si>
    <t>Prenájom pozemkov Fedorová</t>
  </si>
  <si>
    <t>Prenájom bytov</t>
  </si>
  <si>
    <t>Dotácia MŠVVŠ SR - projekt Komunita III. na mládežnícke aktivity</t>
  </si>
  <si>
    <t>09121</t>
  </si>
  <si>
    <t>09211</t>
  </si>
  <si>
    <t>Primárne vzdelávanie (údržba objektov ZŠ)</t>
  </si>
  <si>
    <t>Nižšie sekundárne vzdelávanie (údržba objektov ZŠ)</t>
  </si>
  <si>
    <t>Kult.podujatia</t>
  </si>
  <si>
    <t>MD užívanie ver.priestranstva</t>
  </si>
  <si>
    <t xml:space="preserve">Kapitálový rozpočet PPD k prvej úprave </t>
  </si>
  <si>
    <t>Názov PD</t>
  </si>
  <si>
    <t>Poznámka</t>
  </si>
  <si>
    <t>PD bežecká dráha</t>
  </si>
  <si>
    <t>Vytýčenie stavieb</t>
  </si>
  <si>
    <t>Rekonštrukcia elektroinštalácie v telocvični</t>
  </si>
  <si>
    <t xml:space="preserve">Rekonštrukcia domu smútku </t>
  </si>
  <si>
    <t xml:space="preserve">PD odvedenie povrchových vôd </t>
  </si>
  <si>
    <t>Projektová dokumentácia pre budúce obdobia</t>
  </si>
  <si>
    <t>Suma v EUR</t>
  </si>
  <si>
    <t>Predaj pozemkov</t>
  </si>
  <si>
    <t>ŠK dotácia na spolufin.projektu</t>
  </si>
  <si>
    <t>Dotácia pre OV SZPB, MO Konfederácie politic.väzňov</t>
  </si>
  <si>
    <t>MV SR rozšírenie kamerového systému</t>
  </si>
  <si>
    <t>Kanalizácia</t>
  </si>
  <si>
    <t>Rozšírenie kamerového systému</t>
  </si>
  <si>
    <t>Reprezentačné výdavky</t>
  </si>
  <si>
    <t>projekt Rozšírenie kamerového systému</t>
  </si>
  <si>
    <t>KT MV SR rozšírenie kamerového systému</t>
  </si>
  <si>
    <t>DF</t>
  </si>
  <si>
    <t>Celkom PPD:</t>
  </si>
  <si>
    <t>MV SR dotácia na matričnú činnosť</t>
  </si>
  <si>
    <t>Matričná činnosť</t>
  </si>
  <si>
    <t>Rekonštrukcia miest.komunikácie ul. Čaneckého</t>
  </si>
  <si>
    <t xml:space="preserve">Stvebné úpravy Obecného úradu ( kabeláž) </t>
  </si>
  <si>
    <t>obj.</t>
  </si>
  <si>
    <t>Zníže.energ.nároč. OcÚ</t>
  </si>
  <si>
    <t>DF kanalizácia, miest.kom. Čaneckého</t>
  </si>
  <si>
    <t>PPD z úveru:</t>
  </si>
  <si>
    <t>PPD z peňažného fondu:</t>
  </si>
  <si>
    <t>Prípravná projektová dokumentácia</t>
  </si>
  <si>
    <t>Rezerva na potrebnú dokumentáciu</t>
  </si>
  <si>
    <t>Heľpa 14.6.2019</t>
  </si>
  <si>
    <t>V Heľpe 14.6.2019</t>
  </si>
  <si>
    <t>ZS - výmena dverí na lekárni</t>
  </si>
  <si>
    <t>Grant na HDST</t>
  </si>
  <si>
    <t>Prenájom techniky počas HDST</t>
  </si>
  <si>
    <t>Refundácia služieb počas HDST</t>
  </si>
  <si>
    <t>Príjem z kultúrnej činnosti</t>
  </si>
  <si>
    <t xml:space="preserve">BBSK - dotácia na DFF Kolovrátok, Leto v det. den. tábore Mydlík </t>
  </si>
  <si>
    <t>MV SR dotácia na voľby do Europarlamentu</t>
  </si>
  <si>
    <t>Obce - transfer na spoloč. stavebný úrad</t>
  </si>
  <si>
    <t>MŽP SR - dotácia na spoloč. stavebný úrad</t>
  </si>
  <si>
    <t>EF - dot. na kanalizáciu</t>
  </si>
  <si>
    <t>Rekonštrukcia budovy pošty (schodisko)</t>
  </si>
  <si>
    <t>KT - ŠK Heľpa (rekonštrukcia ihriska)</t>
  </si>
  <si>
    <t>Spoloč.kult.aktivity, det.den.tábor Mydlík</t>
  </si>
  <si>
    <t>Škola tanca počas HDST z grantu</t>
  </si>
  <si>
    <t>ŠK Heľpa - rekonštrukcia ihriska</t>
  </si>
  <si>
    <t>Dotácia BBSK na DFF Kolovrátok, letný det.denný tábor Mydlík</t>
  </si>
  <si>
    <t>Skutočnosť 5</t>
  </si>
  <si>
    <t>3. úprava Rozpočtu obce Heľpa na rok 2019 bola schválená OZ uz.č. 164/2019  dňa 14.6.2019</t>
  </si>
  <si>
    <t>Návrh Rozpočtu obce na rok 2019 po zmenách bol vyvesený na úradnej tabuli obce dňa 7.6.2019</t>
  </si>
  <si>
    <t>Schválený Rozpočet obce na rok 2019 bol vyvesený na úradnej tabuli obce dňa 17.6.2019</t>
  </si>
  <si>
    <t>Pripomienky po prípravnom zasadnutí OZ boli zapracované 7.6.2019</t>
  </si>
  <si>
    <t>MV SR Voľby do Eur.parlamentu</t>
  </si>
  <si>
    <t>NDS "...chceme byť zdraví" - spolufin.projektu, ŠA - materiál</t>
  </si>
  <si>
    <t>KT pre ŠK Heľpa - rekonštrukcia ihriska</t>
  </si>
  <si>
    <t>4. úprava rozpočtu 2019</t>
  </si>
  <si>
    <t>Skutočnosť 6</t>
  </si>
  <si>
    <t>zmena4</t>
  </si>
  <si>
    <t>Múzeum - materiál, stroje</t>
  </si>
  <si>
    <t>AČ - plat, poistné</t>
  </si>
  <si>
    <t>MŠ - asistent učiteľa - plat, poistné</t>
  </si>
  <si>
    <t>MŠ - učiteľka - plat, poistné</t>
  </si>
  <si>
    <t>OSL - plat, poistné</t>
  </si>
  <si>
    <t>DFF Kolovrátok</t>
  </si>
  <si>
    <t>ŽP - zeleň - výsadba pri pošte</t>
  </si>
  <si>
    <t>Protipovodňové opatrenia - materiál</t>
  </si>
  <si>
    <t>Údržba zábradlia mosta na ul. Hlavná</t>
  </si>
  <si>
    <t>Náhrady poistného plnenia</t>
  </si>
  <si>
    <t>ŠKJ - pomocná kuchárka - plat, poistné, materiál</t>
  </si>
  <si>
    <t>HDST</t>
  </si>
  <si>
    <t>BT ZŠ - nenorm.prostr. na učebnice</t>
  </si>
  <si>
    <t>Návrh Rozpočtu obce na rok 2019 po zmenách bol vyvesený na úradnej tabuli obce dňa 30.7.2019</t>
  </si>
  <si>
    <t>5. úprava rozpočtu 2019</t>
  </si>
  <si>
    <t xml:space="preserve">Príjem za réžiu v ŠKJ </t>
  </si>
  <si>
    <t>Príjem zo stravného v ŠKJ</t>
  </si>
  <si>
    <t>ŠKJ - prévádzka  a potraviny</t>
  </si>
  <si>
    <t>Lekáreň - výmena dverí</t>
  </si>
  <si>
    <t>Údržba miestnych komunikácií</t>
  </si>
  <si>
    <t>ZUŠ - stavebné úpravy koncertnej triedy</t>
  </si>
  <si>
    <t>OcÚ - údržba elektroinštalácie (silnoprúd)</t>
  </si>
  <si>
    <t>312</t>
  </si>
  <si>
    <t>výnos dane pre územ.samosprávu</t>
  </si>
  <si>
    <t>4. úprava Rozpočtu obce Heľpa na rok 2019 bola schválená OZ uz.č. 172/2019  dňa 1.8.2019</t>
  </si>
  <si>
    <t>Schválený Rozpočet obce na rok 2019 bol vyvesený na úradnej tabuli obce dňa 2.8.2019</t>
  </si>
  <si>
    <t>Pripomienky po prípravnom zasadnutí OZ boli zapracované 30.7.2019</t>
  </si>
  <si>
    <t>V Heľpe 1.8.2019</t>
  </si>
  <si>
    <t>Vlastný príjem ZUŠ - projekt Komunita III.</t>
  </si>
  <si>
    <t>Vlastný príjem ZŠ - projekt Komunita III.</t>
  </si>
  <si>
    <t>presun BT na Základnú školu</t>
  </si>
  <si>
    <t>presun BT pre ZUŠ</t>
  </si>
  <si>
    <t>Dotácia UPSVR na pomoc.prac.silu do ŠKJ</t>
  </si>
  <si>
    <t>Príjem z poplatkov za MŠ</t>
  </si>
  <si>
    <t>Dotácia UPSVR na stravu v ŠKJ</t>
  </si>
  <si>
    <t>zmena5</t>
  </si>
  <si>
    <t>Pripomienky po prípravnom zasadnutí OZ boli zapracované 15.8.2019</t>
  </si>
  <si>
    <t>Návrh Rozpočtu obce na rok 2019 po zmenách bol vyvesený na úradnej tabuli obce dňa 15.8.2019</t>
  </si>
  <si>
    <t>Dotácia UPSVR na ŠKJ na pomocnú pracovnú silu</t>
  </si>
  <si>
    <t>Heľpa 1.8.2019</t>
  </si>
  <si>
    <t>V Heľpe 23.8.2019</t>
  </si>
  <si>
    <t>5. úprava Rozpočtu obce Heľpa na rok 2019 bola schválená OZ uz.č. 193/2019  dňa 23.8.2019</t>
  </si>
  <si>
    <t>Schválený Rozpočet obce na rok 2019 bol vyvesený na úradnej tabuli obce dňa 26.8.2019</t>
  </si>
  <si>
    <t>Heľpa 23.8.2019</t>
  </si>
  <si>
    <t>Skutočnosť 7</t>
  </si>
  <si>
    <t>6. úprava rozpočtu 2019</t>
  </si>
  <si>
    <t>Zníž.energet.náročnosti budovy OcÚ</t>
  </si>
  <si>
    <t>Vianočné ver.osvetlenie</t>
  </si>
  <si>
    <t>ŠKJ - škrabka</t>
  </si>
  <si>
    <t>BT ZŠ nenorm.prostr. na asistentov učiteľa</t>
  </si>
  <si>
    <t>Pokuta stav.konanie</t>
  </si>
  <si>
    <t>zmena 1</t>
  </si>
  <si>
    <t>zmena 2</t>
  </si>
  <si>
    <t>zmena 3</t>
  </si>
  <si>
    <t>zmena 4</t>
  </si>
  <si>
    <t>zmena 5</t>
  </si>
  <si>
    <t>zmena 6</t>
  </si>
  <si>
    <t>Dotácia UPSVR na deti v hm.núdzi /strava,šk.potreby/, pomoc.kuchárka</t>
  </si>
  <si>
    <t>Návrh zmeny Rozpočtu obce na rok 2019 bol vyvesený na úradnej tabuli obce dňa 25.9.2019</t>
  </si>
  <si>
    <t>Dobudovanie kanalizácie - stavebný dozor</t>
  </si>
  <si>
    <t>Ref.nákl. na kult.vystúpenie Zrkadlový háj</t>
  </si>
  <si>
    <t>Dot. FPU - knihy MĽK, Od Lucie do Viliji, Festival Mariánskych piesní</t>
  </si>
  <si>
    <t>Dot. FPU - knihy MĽK, Od Lucie do Viliji, Festival Marián.piesní aj spolufin.</t>
  </si>
  <si>
    <t>Detský denný tábor Mydlík, Dotácia  MO Konfed.pol.väzňov, spoloč.aktivity</t>
  </si>
  <si>
    <t xml:space="preserve">Vlastný príjem ZUŠ </t>
  </si>
  <si>
    <t xml:space="preserve">Vlastný príjem ZŠ </t>
  </si>
  <si>
    <t>Akt.čin. - náradie</t>
  </si>
  <si>
    <r>
      <t>ŠKJ - prevádzkové stroje (rúra,</t>
    </r>
    <r>
      <rPr>
        <sz val="10"/>
        <color rgb="FFFF0000"/>
        <rFont val="Arial"/>
        <family val="2"/>
        <charset val="238"/>
      </rPr>
      <t xml:space="preserve"> škrabka)</t>
    </r>
  </si>
  <si>
    <t>Kanalizácia (ul. Hlavná), stav.dozor</t>
  </si>
  <si>
    <t>Plán dočas.dopravného značenia ku kanalizácii</t>
  </si>
  <si>
    <t>Spoločenské, kultúrne aktivity</t>
  </si>
  <si>
    <t>Vystúpenie Zrkadlový háj - prepravné, občerstvenie</t>
  </si>
  <si>
    <t>ZŠ - výmena plyn.kotla v telocvični</t>
  </si>
  <si>
    <t>Príprav.projekt.dokumentácia</t>
  </si>
  <si>
    <t>Plynový kotol do telocvične</t>
  </si>
  <si>
    <t>Rekonštrukcia den.stacionára</t>
  </si>
  <si>
    <t>KT - Zníž.energ.náročnosti budovy OU</t>
  </si>
  <si>
    <t>KT - Zvýš.energ.efektívnosti budovy MŠ</t>
  </si>
  <si>
    <t>KT - Rekonštrukcia Den.stacionára</t>
  </si>
  <si>
    <t>Výmena plyn.kotla v telocvični ZŠ</t>
  </si>
  <si>
    <t>ZŠ - bojler, revízne správy</t>
  </si>
  <si>
    <t>V Heľpe 10.10.2019</t>
  </si>
  <si>
    <t>CD - údržba miestnych komunikácií</t>
  </si>
  <si>
    <t>Pripomienky po prípravnom zasadnutí OZ boli zapracované 4.10.2019</t>
  </si>
  <si>
    <t>Návrh Rozpočtu obce na rok 2019 po zmenách bol vyvesený na úradnej tabuli obce dňa 7.10.2019</t>
  </si>
  <si>
    <t>Schválený Rozpočet obce na rok 2019 bol vyvesený na úradnej tabuli obce dňa 10.10.2019</t>
  </si>
  <si>
    <t>Heľpa 10.10.2019</t>
  </si>
  <si>
    <t>Predĺženie kanalizácie</t>
  </si>
  <si>
    <t>Skutočnosť 9</t>
  </si>
  <si>
    <t>09211,09121</t>
  </si>
  <si>
    <t>Zníž.energ.nároč. OcÚ</t>
  </si>
  <si>
    <t>6. úprava Rozpočtu obce Heľpa na rok 2019 bola schválená OZ uz.č.238/2019  dňa 10.10.2019</t>
  </si>
  <si>
    <t>7. úprava rozpočtu 2019</t>
  </si>
  <si>
    <t>Dobudovanie kanalizácie - dodat.práce asfaltovania</t>
  </si>
  <si>
    <t>zmena 7</t>
  </si>
  <si>
    <t>Predkladá: Peter Hyriak - starosta obce</t>
  </si>
  <si>
    <t>Návrh zmeny Rozpočtu obce na rok 2019 bol vyvesený na úradnej tabuli obce dňa 24.10.2019</t>
  </si>
  <si>
    <t>V Heľpe 4.11.2019</t>
  </si>
  <si>
    <t>Mimoriadny členský príspevok do VSP Horehron</t>
  </si>
  <si>
    <t>OPK - tarif, poistné</t>
  </si>
  <si>
    <t>KUL - prenájom,kult.podujatia</t>
  </si>
  <si>
    <t>RO - služby (grafický návrh bankovky)</t>
  </si>
  <si>
    <t>Spolufin.projektu ... chceme byť zdraví</t>
  </si>
  <si>
    <t>AMF - materiál, údržba</t>
  </si>
  <si>
    <t>MR - zosilovač</t>
  </si>
  <si>
    <t>Spoločenské, kultúrne a športové aktivity</t>
  </si>
  <si>
    <t>GDPR - služby, údržba softvéru</t>
  </si>
  <si>
    <t>OÚ - publikácie</t>
  </si>
  <si>
    <t>Bezpečnosť (Kamer.systém, bezpeč.projekt, GDPR)</t>
  </si>
  <si>
    <t>7. úprava Rozpočtu obce Heľpa na rok 2019 bola schválená OZ uz.č. 252/2019  dňa 4.11.2019</t>
  </si>
  <si>
    <t>6. úprava Rozpočtu obce Heľpa na rok 2019 bola schválená OZ uz.č. 238/2019  dňa 10.10.2019</t>
  </si>
  <si>
    <t>Pripomienky po finančnej komisii OZ boli zapracované 30.10.2019</t>
  </si>
  <si>
    <t>Heľpa 4.11.2019</t>
  </si>
  <si>
    <t xml:space="preserve">BT MVŚR - MŠ výchova a vzdelávanie </t>
  </si>
  <si>
    <t>MŠ - uč.pomôcky</t>
  </si>
  <si>
    <t>Výnos dane pre územnú samosprávu</t>
  </si>
  <si>
    <t>MD za ubytovanie</t>
  </si>
  <si>
    <t>Prenájom pozemkov</t>
  </si>
  <si>
    <t>Prenájom budov</t>
  </si>
  <si>
    <t>Ref.nákl. na energie</t>
  </si>
  <si>
    <t>SpU opatr.služba - príjem za služby</t>
  </si>
  <si>
    <t>8. úprava rozpočtu 2019</t>
  </si>
  <si>
    <t>8.</t>
  </si>
  <si>
    <t>BT MVŚR pre ZŠ Vzdelávacie poukazy</t>
  </si>
  <si>
    <t>BT MVŚR pre ZŠ vzdelávanie SZP</t>
  </si>
  <si>
    <t>VS  odchodné</t>
  </si>
  <si>
    <t>Kult.podujatie Silvester</t>
  </si>
  <si>
    <t>Vstupné podujatia</t>
  </si>
  <si>
    <t>Refund.nákl.kult.podujatí</t>
  </si>
  <si>
    <t>zmena 8</t>
  </si>
  <si>
    <t>Stravné, réžia v ŠKJ</t>
  </si>
  <si>
    <t>09601,3</t>
  </si>
  <si>
    <t>ŠKJ - tarif.plat, interiér.vybavenie</t>
  </si>
  <si>
    <t>Schválený Rozpočet obce na rok 2019 bol vyvesený na úradnej tabuli obce dňa 5.11.2019</t>
  </si>
  <si>
    <t>Správne poplatky</t>
  </si>
  <si>
    <t>Poplatky za služby Domu smútku</t>
  </si>
  <si>
    <t>Kult.aktivity, nahrávanie programu RTVS "Kapura"</t>
  </si>
  <si>
    <t>AČ - materiál</t>
  </si>
  <si>
    <t>Propagačný materiál</t>
  </si>
  <si>
    <t>Heľpa 22.11.2019</t>
  </si>
  <si>
    <t>V Heľpe 22.11.2019</t>
  </si>
  <si>
    <t>MĽK - knihy</t>
  </si>
  <si>
    <t>SOZA - poplatok za koncert</t>
  </si>
  <si>
    <t>Skutočnosť 10</t>
  </si>
  <si>
    <t>8. úprava Rozpočtu obce Heľpa na rok 2019 bola schválená OZ uz.č. 268/2019  dňa 22.11.2019</t>
  </si>
  <si>
    <t>zmena 9</t>
  </si>
  <si>
    <t>Návrh zmeny Rozpočtu obce na rok 2019 bol vyvesený na úradnej tabuli obce dňa 2.12.2019</t>
  </si>
  <si>
    <t>9. úprava rozpočtu 2019</t>
  </si>
  <si>
    <t>Prac.oblasť (Správa prac.záležitostí, BOZP, spolupr.org.ver.správy)</t>
  </si>
  <si>
    <t>Údržba kamerového systému</t>
  </si>
  <si>
    <t>9.</t>
  </si>
  <si>
    <t>MD za užívanie ver.priestranstva</t>
  </si>
  <si>
    <t>BT MVŚR pre ZŠ normatív</t>
  </si>
  <si>
    <t>OÚ interiér.vybavenie z exter.proj.manažment,čerp.SF</t>
  </si>
  <si>
    <t>Proj.dokumentácia</t>
  </si>
  <si>
    <t>Právne služby,</t>
  </si>
  <si>
    <t>Prísp.obcí na spoločný stavebný úrad</t>
  </si>
  <si>
    <t>SpU stavebný - tarif, poistné</t>
  </si>
  <si>
    <t>BT MVŚR pre ZŠ mim.výsledky žiakov</t>
  </si>
  <si>
    <t>V Heľpe 12.12.2019</t>
  </si>
  <si>
    <t>9. úprava Rozpočtu obce Heľpa na rok 2019 bola schválená OZ uz.č. 307/2019  dňa 12.12.2019</t>
  </si>
  <si>
    <t>Pripomienky po finančnej komisii OZ boli zapracované 11.12.2019</t>
  </si>
  <si>
    <t>Schválený Rozpočet obce na rok 2019 bol vyvesený na úradnej tabuli obce dňa 16.12.2019</t>
  </si>
  <si>
    <t>Návrh zmeny Rozpočtu obce na rok 2019 bol vyvesený na úradnej tabuli obce dňa 15.11.2019</t>
  </si>
  <si>
    <t>Pripomienky po finančnej komisii OZ boli zapracované dňa 21.11.2019</t>
  </si>
  <si>
    <t>Schválený Rozpočet obce na rok 2019 bol vyvesený na úradnej tabuli obce dňa 25.11.2019</t>
  </si>
  <si>
    <t>Skutočnosť 12</t>
  </si>
  <si>
    <t>Pozmeňujúce návrhy OZ boli zapracované 12.12.2019</t>
  </si>
  <si>
    <t>Prenájom hrob.miesta</t>
  </si>
  <si>
    <t>Nájom iných objektov</t>
  </si>
  <si>
    <t>Réžia od stravníkov ŠKJ</t>
  </si>
  <si>
    <t>Stravné od stravníkov ŠKJ</t>
  </si>
  <si>
    <t>BT MDVRR na Spu stavebný</t>
  </si>
  <si>
    <t>Dobudovanie kanalizácie - prepoje</t>
  </si>
  <si>
    <t>ŠKJ MŠ - potraviny, energie, mzda, odvody, materiál</t>
  </si>
  <si>
    <t>ŠKJ 1.st.ZŠ - potraviny, energie, mzda, odvody,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</si>
</sst>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_-* #,##0\ &quot;EUR&quot;_-;\-* #,##0\ &quot;EUR&quot;_-;_-* &quot;-&quot;??\ &quot;EUR&quot;_-;_-@_-"/>
    <numFmt numFmtId="165" formatCode="_-* #,##0\ _E_U_R_-;\-* #,##0\ _E_U_R_-;_-* &quot;-&quot;??\ _E_U_R_-;_-@_-"/>
  </numFmts>
  <fonts count="66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10"/>
      <name val="Arial CE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4"/>
      <name val="Bookman Old Style"/>
      <family val="1"/>
      <charset val="238"/>
    </font>
    <font>
      <b/>
      <sz val="12"/>
      <name val="Arial"/>
      <family val="2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1"/>
      <color theme="3" tint="0.59999389629810485"/>
      <name val="Calibri"/>
      <family val="2"/>
      <scheme val="minor"/>
    </font>
    <font>
      <i/>
      <sz val="11"/>
      <color theme="3" tint="0.59999389629810485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0" tint="-0.499984740745262"/>
      <name val="Arial CE"/>
      <charset val="238"/>
    </font>
    <font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4"/>
      <name val="Arial CE"/>
    </font>
    <font>
      <b/>
      <sz val="12"/>
      <name val="Arial CE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CE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 CE"/>
    </font>
    <font>
      <b/>
      <sz val="9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689">
    <xf numFmtId="0" fontId="0" fillId="0" borderId="0" xfId="0"/>
    <xf numFmtId="3" fontId="2" fillId="2" borderId="10" xfId="0" applyNumberFormat="1" applyFont="1" applyFill="1" applyBorder="1" applyAlignment="1">
      <alignment horizontal="right"/>
    </xf>
    <xf numFmtId="0" fontId="3" fillId="0" borderId="11" xfId="0" applyFont="1" applyFill="1" applyBorder="1"/>
    <xf numFmtId="0" fontId="3" fillId="0" borderId="12" xfId="0" applyFont="1" applyFill="1" applyBorder="1"/>
    <xf numFmtId="3" fontId="3" fillId="0" borderId="13" xfId="0" applyNumberFormat="1" applyFont="1" applyFill="1" applyBorder="1"/>
    <xf numFmtId="3" fontId="4" fillId="0" borderId="9" xfId="0" applyNumberFormat="1" applyFont="1" applyBorder="1"/>
    <xf numFmtId="3" fontId="5" fillId="0" borderId="6" xfId="0" applyNumberFormat="1" applyFont="1" applyBorder="1"/>
    <xf numFmtId="3" fontId="5" fillId="0" borderId="18" xfId="0" applyNumberFormat="1" applyFont="1" applyBorder="1"/>
    <xf numFmtId="3" fontId="5" fillId="0" borderId="21" xfId="0" applyNumberFormat="1" applyFont="1" applyBorder="1"/>
    <xf numFmtId="3" fontId="5" fillId="0" borderId="21" xfId="0" applyNumberFormat="1" applyFont="1" applyFill="1" applyBorder="1"/>
    <xf numFmtId="3" fontId="5" fillId="0" borderId="13" xfId="0" applyNumberFormat="1" applyFont="1" applyBorder="1"/>
    <xf numFmtId="3" fontId="4" fillId="0" borderId="10" xfId="0" applyNumberFormat="1" applyFont="1" applyBorder="1"/>
    <xf numFmtId="3" fontId="5" fillId="0" borderId="9" xfId="0" applyNumberFormat="1" applyFont="1" applyBorder="1"/>
    <xf numFmtId="0" fontId="3" fillId="0" borderId="2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right"/>
    </xf>
    <xf numFmtId="0" fontId="2" fillId="2" borderId="14" xfId="0" applyFont="1" applyFill="1" applyBorder="1"/>
    <xf numFmtId="0" fontId="3" fillId="2" borderId="15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3" fontId="6" fillId="0" borderId="21" xfId="0" applyNumberFormat="1" applyFont="1" applyFill="1" applyBorder="1"/>
    <xf numFmtId="0" fontId="3" fillId="0" borderId="16" xfId="0" applyFont="1" applyFill="1" applyBorder="1"/>
    <xf numFmtId="0" fontId="3" fillId="0" borderId="20" xfId="0" applyFont="1" applyBorder="1"/>
    <xf numFmtId="3" fontId="7" fillId="0" borderId="18" xfId="0" applyNumberFormat="1" applyFont="1" applyBorder="1"/>
    <xf numFmtId="0" fontId="6" fillId="0" borderId="16" xfId="0" applyFont="1" applyFill="1" applyBorder="1"/>
    <xf numFmtId="3" fontId="6" fillId="0" borderId="18" xfId="0" applyNumberFormat="1" applyFont="1" applyFill="1" applyBorder="1"/>
    <xf numFmtId="0" fontId="3" fillId="0" borderId="19" xfId="0" applyFont="1" applyFill="1" applyBorder="1"/>
    <xf numFmtId="0" fontId="4" fillId="0" borderId="20" xfId="0" applyFont="1" applyFill="1" applyBorder="1"/>
    <xf numFmtId="0" fontId="8" fillId="2" borderId="14" xfId="0" applyFont="1" applyFill="1" applyBorder="1"/>
    <xf numFmtId="3" fontId="8" fillId="2" borderId="1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3" fillId="0" borderId="0" xfId="0" applyFont="1" applyFill="1" applyBorder="1"/>
    <xf numFmtId="3" fontId="8" fillId="0" borderId="0" xfId="0" applyNumberFormat="1" applyFont="1" applyFill="1" applyBorder="1" applyAlignment="1">
      <alignment horizontal="left"/>
    </xf>
    <xf numFmtId="0" fontId="2" fillId="5" borderId="14" xfId="0" applyFont="1" applyFill="1" applyBorder="1"/>
    <xf numFmtId="0" fontId="2" fillId="5" borderId="15" xfId="0" applyFont="1" applyFill="1" applyBorder="1"/>
    <xf numFmtId="3" fontId="2" fillId="5" borderId="10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0" fontId="3" fillId="0" borderId="2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30" xfId="0" applyFont="1" applyBorder="1"/>
    <xf numFmtId="3" fontId="3" fillId="0" borderId="31" xfId="0" applyNumberFormat="1" applyFont="1" applyBorder="1" applyAlignment="1">
      <alignment horizontal="right"/>
    </xf>
    <xf numFmtId="0" fontId="3" fillId="0" borderId="23" xfId="0" applyFont="1" applyBorder="1"/>
    <xf numFmtId="3" fontId="3" fillId="0" borderId="9" xfId="0" applyNumberFormat="1" applyFont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0" fontId="2" fillId="5" borderId="35" xfId="0" applyFont="1" applyFill="1" applyBorder="1"/>
    <xf numFmtId="3" fontId="2" fillId="5" borderId="32" xfId="0" applyNumberFormat="1" applyFont="1" applyFill="1" applyBorder="1" applyAlignment="1">
      <alignment horizontal="right"/>
    </xf>
    <xf numFmtId="49" fontId="2" fillId="5" borderId="11" xfId="0" applyNumberFormat="1" applyFont="1" applyFill="1" applyBorder="1" applyAlignment="1">
      <alignment horizontal="left"/>
    </xf>
    <xf numFmtId="0" fontId="2" fillId="5" borderId="12" xfId="0" applyFont="1" applyFill="1" applyBorder="1"/>
    <xf numFmtId="3" fontId="2" fillId="5" borderId="13" xfId="0" applyNumberFormat="1" applyFont="1" applyFill="1" applyBorder="1" applyAlignment="1">
      <alignment horizontal="right"/>
    </xf>
    <xf numFmtId="0" fontId="3" fillId="0" borderId="17" xfId="0" applyFont="1" applyFill="1" applyBorder="1"/>
    <xf numFmtId="49" fontId="3" fillId="0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0" fontId="8" fillId="5" borderId="35" xfId="0" applyFont="1" applyFill="1" applyBorder="1"/>
    <xf numFmtId="3" fontId="8" fillId="5" borderId="32" xfId="0" applyNumberFormat="1" applyFont="1" applyFill="1" applyBorder="1" applyAlignment="1">
      <alignment horizontal="right"/>
    </xf>
    <xf numFmtId="0" fontId="8" fillId="5" borderId="14" xfId="0" applyFont="1" applyFill="1" applyBorder="1"/>
    <xf numFmtId="3" fontId="8" fillId="5" borderId="10" xfId="0" applyNumberFormat="1" applyFont="1" applyFill="1" applyBorder="1" applyAlignment="1">
      <alignment horizontal="right"/>
    </xf>
    <xf numFmtId="3" fontId="8" fillId="7" borderId="3" xfId="0" applyNumberFormat="1" applyFont="1" applyFill="1" applyBorder="1" applyAlignment="1"/>
    <xf numFmtId="0" fontId="7" fillId="0" borderId="17" xfId="0" applyFont="1" applyBorder="1"/>
    <xf numFmtId="3" fontId="7" fillId="0" borderId="18" xfId="0" applyNumberFormat="1" applyFont="1" applyFill="1" applyBorder="1" applyAlignment="1"/>
    <xf numFmtId="3" fontId="7" fillId="0" borderId="21" xfId="0" applyNumberFormat="1" applyFont="1" applyFill="1" applyBorder="1" applyAlignment="1"/>
    <xf numFmtId="3" fontId="7" fillId="0" borderId="0" xfId="0" applyNumberFormat="1" applyFont="1" applyBorder="1" applyAlignme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3" fontId="8" fillId="4" borderId="10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10" fillId="0" borderId="24" xfId="0" applyFont="1" applyBorder="1"/>
    <xf numFmtId="3" fontId="3" fillId="0" borderId="6" xfId="0" applyNumberFormat="1" applyFont="1" applyBorder="1"/>
    <xf numFmtId="0" fontId="10" fillId="0" borderId="19" xfId="0" applyFont="1" applyBorder="1"/>
    <xf numFmtId="3" fontId="3" fillId="0" borderId="21" xfId="0" applyNumberFormat="1" applyFont="1" applyBorder="1"/>
    <xf numFmtId="3" fontId="8" fillId="8" borderId="21" xfId="0" applyNumberFormat="1" applyFont="1" applyFill="1" applyBorder="1"/>
    <xf numFmtId="0" fontId="10" fillId="0" borderId="28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3" fontId="3" fillId="0" borderId="21" xfId="0" applyNumberFormat="1" applyFont="1" applyFill="1" applyBorder="1"/>
    <xf numFmtId="3" fontId="8" fillId="8" borderId="39" xfId="0" applyNumberFormat="1" applyFont="1" applyFill="1" applyBorder="1"/>
    <xf numFmtId="0" fontId="12" fillId="2" borderId="2" xfId="0" applyFont="1" applyFill="1" applyBorder="1" applyAlignment="1"/>
    <xf numFmtId="0" fontId="3" fillId="0" borderId="0" xfId="0" applyFont="1" applyAlignment="1">
      <alignment horizontal="left"/>
    </xf>
    <xf numFmtId="3" fontId="5" fillId="0" borderId="10" xfId="0" applyNumberFormat="1" applyFont="1" applyBorder="1"/>
    <xf numFmtId="0" fontId="3" fillId="0" borderId="28" xfId="0" applyFont="1" applyFill="1" applyBorder="1"/>
    <xf numFmtId="3" fontId="7" fillId="0" borderId="39" xfId="0" applyNumberFormat="1" applyFont="1" applyFill="1" applyBorder="1" applyAlignment="1"/>
    <xf numFmtId="3" fontId="7" fillId="0" borderId="13" xfId="0" applyNumberFormat="1" applyFont="1" applyFill="1" applyBorder="1" applyAlignment="1"/>
    <xf numFmtId="49" fontId="7" fillId="0" borderId="43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right"/>
    </xf>
    <xf numFmtId="0" fontId="7" fillId="0" borderId="23" xfId="0" applyFont="1" applyBorder="1"/>
    <xf numFmtId="3" fontId="7" fillId="0" borderId="9" xfId="0" applyNumberFormat="1" applyFont="1" applyFill="1" applyBorder="1" applyAlignment="1"/>
    <xf numFmtId="0" fontId="5" fillId="0" borderId="0" xfId="0" applyFont="1"/>
    <xf numFmtId="0" fontId="5" fillId="0" borderId="14" xfId="0" applyFont="1" applyFill="1" applyBorder="1"/>
    <xf numFmtId="0" fontId="5" fillId="0" borderId="15" xfId="0" applyFont="1" applyBorder="1"/>
    <xf numFmtId="0" fontId="5" fillId="0" borderId="16" xfId="0" applyFont="1" applyFill="1" applyBorder="1"/>
    <xf numFmtId="0" fontId="5" fillId="0" borderId="17" xfId="0" applyFont="1" applyBorder="1"/>
    <xf numFmtId="0" fontId="5" fillId="0" borderId="19" xfId="0" applyFont="1" applyFill="1" applyBorder="1"/>
    <xf numFmtId="0" fontId="5" fillId="0" borderId="20" xfId="0" applyFont="1" applyBorder="1"/>
    <xf numFmtId="0" fontId="5" fillId="0" borderId="22" xfId="0" applyFont="1" applyFill="1" applyBorder="1"/>
    <xf numFmtId="0" fontId="5" fillId="0" borderId="23" xfId="0" applyFont="1" applyBorder="1"/>
    <xf numFmtId="0" fontId="5" fillId="0" borderId="24" xfId="0" applyFont="1" applyFill="1" applyBorder="1"/>
    <xf numFmtId="0" fontId="5" fillId="0" borderId="25" xfId="0" applyFont="1" applyBorder="1"/>
    <xf numFmtId="0" fontId="5" fillId="0" borderId="11" xfId="0" applyFont="1" applyFill="1" applyBorder="1"/>
    <xf numFmtId="0" fontId="5" fillId="0" borderId="12" xfId="0" applyFont="1" applyBorder="1"/>
    <xf numFmtId="3" fontId="5" fillId="0" borderId="0" xfId="0" applyNumberFormat="1" applyFont="1"/>
    <xf numFmtId="0" fontId="5" fillId="0" borderId="11" xfId="0" applyFont="1" applyBorder="1"/>
    <xf numFmtId="0" fontId="5" fillId="0" borderId="26" xfId="0" applyFont="1" applyBorder="1"/>
    <xf numFmtId="0" fontId="5" fillId="0" borderId="20" xfId="0" applyFont="1" applyFill="1" applyBorder="1"/>
    <xf numFmtId="0" fontId="5" fillId="2" borderId="15" xfId="0" applyFont="1" applyFill="1" applyBorder="1"/>
    <xf numFmtId="3" fontId="2" fillId="4" borderId="10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right"/>
    </xf>
    <xf numFmtId="0" fontId="7" fillId="0" borderId="12" xfId="0" applyFont="1" applyBorder="1"/>
    <xf numFmtId="49" fontId="7" fillId="0" borderId="23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/>
    <xf numFmtId="49" fontId="7" fillId="0" borderId="20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5" fillId="0" borderId="19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right"/>
    </xf>
    <xf numFmtId="0" fontId="5" fillId="5" borderId="15" xfId="0" applyFont="1" applyFill="1" applyBorder="1"/>
    <xf numFmtId="49" fontId="5" fillId="0" borderId="24" xfId="0" applyNumberFormat="1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right"/>
    </xf>
    <xf numFmtId="0" fontId="5" fillId="5" borderId="36" xfId="0" applyFont="1" applyFill="1" applyBorder="1"/>
    <xf numFmtId="49" fontId="5" fillId="0" borderId="16" xfId="0" applyNumberFormat="1" applyFont="1" applyFill="1" applyBorder="1" applyAlignment="1">
      <alignment horizontal="right"/>
    </xf>
    <xf numFmtId="49" fontId="7" fillId="0" borderId="42" xfId="0" applyNumberFormat="1" applyFont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30" xfId="0" applyFont="1" applyBorder="1"/>
    <xf numFmtId="49" fontId="7" fillId="0" borderId="38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0" fontId="7" fillId="0" borderId="20" xfId="0" applyFont="1" applyBorder="1"/>
    <xf numFmtId="49" fontId="7" fillId="0" borderId="11" xfId="0" applyNumberFormat="1" applyFont="1" applyBorder="1" applyAlignment="1">
      <alignment horizontal="right"/>
    </xf>
    <xf numFmtId="0" fontId="5" fillId="0" borderId="0" xfId="0" applyFont="1" applyBorder="1"/>
    <xf numFmtId="49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5" fillId="0" borderId="28" xfId="0" applyFont="1" applyBorder="1"/>
    <xf numFmtId="0" fontId="5" fillId="0" borderId="38" xfId="0" applyFont="1" applyBorder="1"/>
    <xf numFmtId="0" fontId="5" fillId="0" borderId="43" xfId="0" applyFont="1" applyFill="1" applyBorder="1"/>
    <xf numFmtId="0" fontId="17" fillId="2" borderId="1" xfId="0" applyFont="1" applyFill="1" applyBorder="1" applyAlignment="1"/>
    <xf numFmtId="3" fontId="8" fillId="2" borderId="10" xfId="0" applyNumberFormat="1" applyFont="1" applyFill="1" applyBorder="1"/>
    <xf numFmtId="0" fontId="5" fillId="0" borderId="0" xfId="0" applyFont="1" applyAlignment="1">
      <alignment horizontal="right"/>
    </xf>
    <xf numFmtId="3" fontId="18" fillId="0" borderId="21" xfId="0" applyNumberFormat="1" applyFont="1" applyBorder="1"/>
    <xf numFmtId="0" fontId="5" fillId="0" borderId="48" xfId="0" applyFont="1" applyFill="1" applyBorder="1"/>
    <xf numFmtId="0" fontId="5" fillId="0" borderId="43" xfId="0" applyFont="1" applyBorder="1"/>
    <xf numFmtId="3" fontId="5" fillId="0" borderId="39" xfId="0" applyNumberFormat="1" applyFont="1" applyBorder="1"/>
    <xf numFmtId="3" fontId="18" fillId="0" borderId="21" xfId="0" applyNumberFormat="1" applyFont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18" fillId="0" borderId="21" xfId="0" applyNumberFormat="1" applyFont="1" applyFill="1" applyBorder="1"/>
    <xf numFmtId="3" fontId="18" fillId="0" borderId="21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3" fillId="0" borderId="27" xfId="0" applyFont="1" applyFill="1" applyBorder="1"/>
    <xf numFmtId="0" fontId="3" fillId="0" borderId="22" xfId="0" applyFont="1" applyFill="1" applyBorder="1"/>
    <xf numFmtId="3" fontId="3" fillId="0" borderId="9" xfId="0" applyNumberFormat="1" applyFont="1" applyBorder="1" applyAlignment="1"/>
    <xf numFmtId="3" fontId="4" fillId="0" borderId="18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/>
    <xf numFmtId="3" fontId="7" fillId="0" borderId="51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52" xfId="0" applyNumberFormat="1" applyFont="1" applyFill="1" applyBorder="1" applyAlignment="1"/>
    <xf numFmtId="3" fontId="7" fillId="0" borderId="53" xfId="0" applyNumberFormat="1" applyFont="1" applyFill="1" applyBorder="1" applyAlignment="1"/>
    <xf numFmtId="3" fontId="7" fillId="0" borderId="54" xfId="0" applyNumberFormat="1" applyFont="1" applyFill="1" applyBorder="1" applyAlignment="1"/>
    <xf numFmtId="49" fontId="7" fillId="0" borderId="28" xfId="0" applyNumberFormat="1" applyFont="1" applyBorder="1" applyAlignment="1">
      <alignment horizontal="right"/>
    </xf>
    <xf numFmtId="49" fontId="7" fillId="0" borderId="51" xfId="0" applyNumberFormat="1" applyFont="1" applyFill="1" applyBorder="1" applyAlignment="1">
      <alignment horizontal="left"/>
    </xf>
    <xf numFmtId="49" fontId="7" fillId="0" borderId="53" xfId="0" applyNumberFormat="1" applyFont="1" applyFill="1" applyBorder="1" applyAlignment="1">
      <alignment horizontal="left"/>
    </xf>
    <xf numFmtId="49" fontId="7" fillId="0" borderId="54" xfId="0" applyNumberFormat="1" applyFont="1" applyFill="1" applyBorder="1" applyAlignment="1">
      <alignment horizontal="left"/>
    </xf>
    <xf numFmtId="0" fontId="7" fillId="0" borderId="26" xfId="0" applyFont="1" applyBorder="1"/>
    <xf numFmtId="0" fontId="7" fillId="0" borderId="53" xfId="0" applyFont="1" applyBorder="1"/>
    <xf numFmtId="3" fontId="7" fillId="0" borderId="60" xfId="0" applyNumberFormat="1" applyFont="1" applyFill="1" applyBorder="1" applyAlignment="1"/>
    <xf numFmtId="3" fontId="7" fillId="0" borderId="49" xfId="0" applyNumberFormat="1" applyFont="1" applyFill="1" applyBorder="1" applyAlignment="1"/>
    <xf numFmtId="3" fontId="7" fillId="0" borderId="47" xfId="0" applyNumberFormat="1" applyFont="1" applyFill="1" applyBorder="1" applyAlignment="1"/>
    <xf numFmtId="3" fontId="7" fillId="0" borderId="61" xfId="0" applyNumberFormat="1" applyFont="1" applyFill="1" applyBorder="1" applyAlignment="1"/>
    <xf numFmtId="3" fontId="7" fillId="0" borderId="41" xfId="0" applyNumberFormat="1" applyFont="1" applyFill="1" applyBorder="1" applyAlignment="1"/>
    <xf numFmtId="3" fontId="7" fillId="0" borderId="62" xfId="0" applyNumberFormat="1" applyFont="1" applyFill="1" applyBorder="1" applyAlignment="1"/>
    <xf numFmtId="3" fontId="7" fillId="9" borderId="55" xfId="0" applyNumberFormat="1" applyFont="1" applyFill="1" applyBorder="1" applyAlignment="1"/>
    <xf numFmtId="3" fontId="7" fillId="9" borderId="59" xfId="0" applyNumberFormat="1" applyFont="1" applyFill="1" applyBorder="1" applyAlignment="1"/>
    <xf numFmtId="3" fontId="7" fillId="9" borderId="56" xfId="0" applyNumberFormat="1" applyFont="1" applyFill="1" applyBorder="1" applyAlignment="1"/>
    <xf numFmtId="3" fontId="7" fillId="9" borderId="63" xfId="0" applyNumberFormat="1" applyFont="1" applyFill="1" applyBorder="1" applyAlignment="1"/>
    <xf numFmtId="3" fontId="7" fillId="9" borderId="58" xfId="0" applyNumberFormat="1" applyFont="1" applyFill="1" applyBorder="1" applyAlignment="1"/>
    <xf numFmtId="3" fontId="21" fillId="9" borderId="55" xfId="0" applyNumberFormat="1" applyFont="1" applyFill="1" applyBorder="1"/>
    <xf numFmtId="0" fontId="22" fillId="0" borderId="37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49" fontId="7" fillId="0" borderId="37" xfId="0" applyNumberFormat="1" applyFont="1" applyFill="1" applyBorder="1" applyAlignment="1">
      <alignment horizontal="right"/>
    </xf>
    <xf numFmtId="0" fontId="7" fillId="0" borderId="25" xfId="0" applyFont="1" applyBorder="1"/>
    <xf numFmtId="3" fontId="7" fillId="0" borderId="6" xfId="0" applyNumberFormat="1" applyFont="1" applyFill="1" applyBorder="1" applyAlignment="1"/>
    <xf numFmtId="49" fontId="7" fillId="0" borderId="24" xfId="0" applyNumberFormat="1" applyFont="1" applyBorder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3" fontId="5" fillId="0" borderId="18" xfId="0" applyNumberFormat="1" applyFont="1" applyFill="1" applyBorder="1"/>
    <xf numFmtId="3" fontId="4" fillId="12" borderId="18" xfId="0" applyNumberFormat="1" applyFont="1" applyFill="1" applyBorder="1" applyAlignment="1">
      <alignment horizontal="right"/>
    </xf>
    <xf numFmtId="3" fontId="15" fillId="12" borderId="21" xfId="0" applyNumberFormat="1" applyFont="1" applyFill="1" applyBorder="1"/>
    <xf numFmtId="3" fontId="5" fillId="0" borderId="13" xfId="0" applyNumberFormat="1" applyFont="1" applyFill="1" applyBorder="1"/>
    <xf numFmtId="3" fontId="4" fillId="0" borderId="10" xfId="0" applyNumberFormat="1" applyFont="1" applyFill="1" applyBorder="1"/>
    <xf numFmtId="3" fontId="4" fillId="12" borderId="6" xfId="0" applyNumberFormat="1" applyFont="1" applyFill="1" applyBorder="1" applyAlignment="1">
      <alignment horizontal="right"/>
    </xf>
    <xf numFmtId="0" fontId="5" fillId="0" borderId="40" xfId="0" applyFont="1" applyBorder="1"/>
    <xf numFmtId="0" fontId="5" fillId="0" borderId="30" xfId="0" applyFont="1" applyFill="1" applyBorder="1"/>
    <xf numFmtId="3" fontId="18" fillId="0" borderId="31" xfId="0" applyNumberFormat="1" applyFont="1" applyFill="1" applyBorder="1" applyAlignment="1">
      <alignment horizontal="right"/>
    </xf>
    <xf numFmtId="0" fontId="5" fillId="0" borderId="42" xfId="0" applyFont="1" applyBorder="1"/>
    <xf numFmtId="0" fontId="5" fillId="0" borderId="23" xfId="0" applyFont="1" applyFill="1" applyBorder="1"/>
    <xf numFmtId="3" fontId="18" fillId="0" borderId="9" xfId="0" applyNumberFormat="1" applyFont="1" applyFill="1" applyBorder="1" applyAlignment="1">
      <alignment horizontal="right"/>
    </xf>
    <xf numFmtId="3" fontId="7" fillId="0" borderId="57" xfId="0" applyNumberFormat="1" applyFont="1" applyFill="1" applyBorder="1" applyAlignment="1"/>
    <xf numFmtId="3" fontId="7" fillId="0" borderId="59" xfId="0" applyNumberFormat="1" applyFont="1" applyFill="1" applyBorder="1" applyAlignment="1"/>
    <xf numFmtId="3" fontId="7" fillId="0" borderId="56" xfId="0" applyNumberFormat="1" applyFont="1" applyFill="1" applyBorder="1" applyAlignment="1"/>
    <xf numFmtId="3" fontId="7" fillId="0" borderId="63" xfId="0" applyNumberFormat="1" applyFont="1" applyFill="1" applyBorder="1" applyAlignment="1"/>
    <xf numFmtId="3" fontId="7" fillId="0" borderId="64" xfId="0" applyNumberFormat="1" applyFont="1" applyFill="1" applyBorder="1" applyAlignment="1"/>
    <xf numFmtId="3" fontId="7" fillId="0" borderId="58" xfId="0" applyNumberFormat="1" applyFont="1" applyFill="1" applyBorder="1" applyAlignment="1"/>
    <xf numFmtId="3" fontId="4" fillId="12" borderId="39" xfId="0" applyNumberFormat="1" applyFont="1" applyFill="1" applyBorder="1" applyAlignment="1">
      <alignment horizontal="right"/>
    </xf>
    <xf numFmtId="3" fontId="8" fillId="12" borderId="10" xfId="0" applyNumberFormat="1" applyFont="1" applyFill="1" applyBorder="1" applyAlignment="1">
      <alignment horizontal="right"/>
    </xf>
    <xf numFmtId="0" fontId="5" fillId="11" borderId="0" xfId="0" applyFont="1" applyFill="1"/>
    <xf numFmtId="0" fontId="23" fillId="0" borderId="0" xfId="0" applyFont="1"/>
    <xf numFmtId="0" fontId="24" fillId="0" borderId="0" xfId="0" applyFont="1"/>
    <xf numFmtId="0" fontId="0" fillId="11" borderId="0" xfId="0" applyFill="1"/>
    <xf numFmtId="0" fontId="27" fillId="0" borderId="0" xfId="0" applyFont="1" applyFill="1" applyBorder="1"/>
    <xf numFmtId="0" fontId="15" fillId="12" borderId="19" xfId="0" applyFont="1" applyFill="1" applyBorder="1"/>
    <xf numFmtId="0" fontId="15" fillId="12" borderId="20" xfId="0" applyFont="1" applyFill="1" applyBorder="1"/>
    <xf numFmtId="0" fontId="4" fillId="12" borderId="16" xfId="0" applyFont="1" applyFill="1" applyBorder="1"/>
    <xf numFmtId="0" fontId="4" fillId="12" borderId="17" xfId="0" applyFont="1" applyFill="1" applyBorder="1"/>
    <xf numFmtId="0" fontId="4" fillId="12" borderId="48" xfId="0" applyFont="1" applyFill="1" applyBorder="1"/>
    <xf numFmtId="0" fontId="4" fillId="12" borderId="43" xfId="0" applyFont="1" applyFill="1" applyBorder="1"/>
    <xf numFmtId="49" fontId="4" fillId="14" borderId="37" xfId="0" applyNumberFormat="1" applyFont="1" applyFill="1" applyBorder="1" applyAlignment="1">
      <alignment horizontal="right"/>
    </xf>
    <xf numFmtId="0" fontId="4" fillId="14" borderId="25" xfId="0" applyFont="1" applyFill="1" applyBorder="1"/>
    <xf numFmtId="3" fontId="4" fillId="14" borderId="6" xfId="0" applyNumberFormat="1" applyFont="1" applyFill="1" applyBorder="1" applyAlignment="1">
      <alignment horizontal="right"/>
    </xf>
    <xf numFmtId="49" fontId="3" fillId="12" borderId="37" xfId="0" applyNumberFormat="1" applyFont="1" applyFill="1" applyBorder="1" applyAlignment="1">
      <alignment horizontal="right"/>
    </xf>
    <xf numFmtId="0" fontId="4" fillId="12" borderId="25" xfId="0" applyFont="1" applyFill="1" applyBorder="1"/>
    <xf numFmtId="3" fontId="24" fillId="10" borderId="55" xfId="0" applyNumberFormat="1" applyFont="1" applyFill="1" applyBorder="1"/>
    <xf numFmtId="3" fontId="24" fillId="10" borderId="59" xfId="0" applyNumberFormat="1" applyFont="1" applyFill="1" applyBorder="1"/>
    <xf numFmtId="3" fontId="24" fillId="10" borderId="56" xfId="0" applyNumberFormat="1" applyFont="1" applyFill="1" applyBorder="1"/>
    <xf numFmtId="3" fontId="24" fillId="10" borderId="57" xfId="0" applyNumberFormat="1" applyFont="1" applyFill="1" applyBorder="1"/>
    <xf numFmtId="3" fontId="25" fillId="10" borderId="55" xfId="0" applyNumberFormat="1" applyFont="1" applyFill="1" applyBorder="1"/>
    <xf numFmtId="3" fontId="26" fillId="0" borderId="0" xfId="0" applyNumberFormat="1" applyFont="1"/>
    <xf numFmtId="3" fontId="30" fillId="0" borderId="0" xfId="0" applyNumberFormat="1" applyFont="1"/>
    <xf numFmtId="0" fontId="29" fillId="0" borderId="0" xfId="0" applyFont="1"/>
    <xf numFmtId="3" fontId="24" fillId="10" borderId="63" xfId="0" applyNumberFormat="1" applyFont="1" applyFill="1" applyBorder="1"/>
    <xf numFmtId="0" fontId="30" fillId="0" borderId="0" xfId="0" applyFont="1" applyAlignment="1">
      <alignment horizontal="right"/>
    </xf>
    <xf numFmtId="3" fontId="7" fillId="0" borderId="18" xfId="0" applyNumberFormat="1" applyFont="1" applyFill="1" applyBorder="1"/>
    <xf numFmtId="49" fontId="4" fillId="14" borderId="28" xfId="0" applyNumberFormat="1" applyFont="1" applyFill="1" applyBorder="1" applyAlignment="1">
      <alignment horizontal="right"/>
    </xf>
    <xf numFmtId="0" fontId="4" fillId="14" borderId="20" xfId="0" applyFont="1" applyFill="1" applyBorder="1"/>
    <xf numFmtId="3" fontId="4" fillId="14" borderId="21" xfId="0" applyNumberFormat="1" applyFont="1" applyFill="1" applyBorder="1" applyAlignment="1">
      <alignment horizontal="right"/>
    </xf>
    <xf numFmtId="49" fontId="3" fillId="12" borderId="27" xfId="0" applyNumberFormat="1" applyFont="1" applyFill="1" applyBorder="1" applyAlignment="1">
      <alignment horizontal="right"/>
    </xf>
    <xf numFmtId="0" fontId="4" fillId="12" borderId="29" xfId="0" applyFont="1" applyFill="1" applyBorder="1"/>
    <xf numFmtId="0" fontId="4" fillId="12" borderId="30" xfId="0" applyFont="1" applyFill="1" applyBorder="1"/>
    <xf numFmtId="3" fontId="4" fillId="12" borderId="31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3" fontId="5" fillId="0" borderId="39" xfId="0" applyNumberFormat="1" applyFont="1" applyFill="1" applyBorder="1"/>
    <xf numFmtId="0" fontId="9" fillId="7" borderId="55" xfId="0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 wrapText="1"/>
    </xf>
    <xf numFmtId="3" fontId="9" fillId="7" borderId="3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55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28" fillId="10" borderId="5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/>
    </xf>
    <xf numFmtId="49" fontId="7" fillId="0" borderId="65" xfId="0" applyNumberFormat="1" applyFont="1" applyFill="1" applyBorder="1" applyAlignment="1">
      <alignment horizontal="right"/>
    </xf>
    <xf numFmtId="49" fontId="7" fillId="0" borderId="57" xfId="0" applyNumberFormat="1" applyFont="1" applyFill="1" applyBorder="1" applyAlignment="1">
      <alignment horizontal="right"/>
    </xf>
    <xf numFmtId="49" fontId="7" fillId="0" borderId="59" xfId="0" applyNumberFormat="1" applyFont="1" applyFill="1" applyBorder="1" applyAlignment="1">
      <alignment horizontal="right"/>
    </xf>
    <xf numFmtId="49" fontId="7" fillId="0" borderId="56" xfId="0" applyNumberFormat="1" applyFont="1" applyFill="1" applyBorder="1" applyAlignment="1">
      <alignment horizontal="right"/>
    </xf>
    <xf numFmtId="49" fontId="7" fillId="0" borderId="64" xfId="0" applyNumberFormat="1" applyFont="1" applyFill="1" applyBorder="1" applyAlignment="1">
      <alignment horizontal="right"/>
    </xf>
    <xf numFmtId="49" fontId="7" fillId="0" borderId="56" xfId="0" applyNumberFormat="1" applyFont="1" applyBorder="1" applyAlignment="1">
      <alignment horizontal="right"/>
    </xf>
    <xf numFmtId="49" fontId="7" fillId="0" borderId="57" xfId="0" applyNumberFormat="1" applyFont="1" applyBorder="1" applyAlignment="1">
      <alignment horizontal="right"/>
    </xf>
    <xf numFmtId="49" fontId="7" fillId="0" borderId="59" xfId="0" applyNumberFormat="1" applyFont="1" applyBorder="1" applyAlignment="1">
      <alignment horizontal="right"/>
    </xf>
    <xf numFmtId="49" fontId="7" fillId="0" borderId="58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49" fontId="7" fillId="0" borderId="63" xfId="0" applyNumberFormat="1" applyFont="1" applyBorder="1" applyAlignment="1">
      <alignment horizontal="right"/>
    </xf>
    <xf numFmtId="3" fontId="21" fillId="15" borderId="3" xfId="0" applyNumberFormat="1" applyFont="1" applyFill="1" applyBorder="1"/>
    <xf numFmtId="0" fontId="7" fillId="0" borderId="6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9" xfId="0" applyFont="1" applyBorder="1"/>
    <xf numFmtId="49" fontId="7" fillId="0" borderId="56" xfId="0" applyNumberFormat="1" applyFont="1" applyFill="1" applyBorder="1" applyAlignment="1">
      <alignment horizontal="left"/>
    </xf>
    <xf numFmtId="0" fontId="7" fillId="0" borderId="64" xfId="0" applyFont="1" applyBorder="1"/>
    <xf numFmtId="49" fontId="7" fillId="0" borderId="57" xfId="0" applyNumberFormat="1" applyFont="1" applyFill="1" applyBorder="1" applyAlignment="1">
      <alignment horizontal="left"/>
    </xf>
    <xf numFmtId="49" fontId="7" fillId="0" borderId="59" xfId="0" applyNumberFormat="1" applyFont="1" applyFill="1" applyBorder="1" applyAlignment="1">
      <alignment horizontal="left"/>
    </xf>
    <xf numFmtId="49" fontId="7" fillId="0" borderId="58" xfId="0" applyNumberFormat="1" applyFont="1" applyFill="1" applyBorder="1" applyAlignment="1">
      <alignment horizontal="left"/>
    </xf>
    <xf numFmtId="0" fontId="7" fillId="0" borderId="63" xfId="0" applyFont="1" applyBorder="1"/>
    <xf numFmtId="3" fontId="9" fillId="7" borderId="55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/>
    <xf numFmtId="3" fontId="3" fillId="0" borderId="60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2" fillId="5" borderId="55" xfId="0" applyNumberFormat="1" applyFont="1" applyFill="1" applyBorder="1" applyAlignment="1">
      <alignment horizontal="right"/>
    </xf>
    <xf numFmtId="3" fontId="4" fillId="0" borderId="59" xfId="0" applyNumberFormat="1" applyFont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2" fillId="5" borderId="66" xfId="0" applyNumberFormat="1" applyFont="1" applyFill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3" fontId="2" fillId="5" borderId="63" xfId="0" applyNumberFormat="1" applyFont="1" applyFill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/>
    <xf numFmtId="3" fontId="3" fillId="0" borderId="21" xfId="0" applyNumberFormat="1" applyFont="1" applyBorder="1" applyAlignment="1"/>
    <xf numFmtId="3" fontId="4" fillId="0" borderId="21" xfId="0" applyNumberFormat="1" applyFont="1" applyBorder="1" applyAlignment="1"/>
    <xf numFmtId="3" fontId="8" fillId="7" borderId="10" xfId="0" applyNumberFormat="1" applyFont="1" applyFill="1" applyBorder="1" applyAlignment="1"/>
    <xf numFmtId="3" fontId="8" fillId="7" borderId="55" xfId="0" applyNumberFormat="1" applyFont="1" applyFill="1" applyBorder="1" applyAlignment="1"/>
    <xf numFmtId="3" fontId="3" fillId="0" borderId="57" xfId="0" applyNumberFormat="1" applyFont="1" applyBorder="1" applyAlignment="1"/>
    <xf numFmtId="3" fontId="3" fillId="0" borderId="59" xfId="0" applyNumberFormat="1" applyFont="1" applyBorder="1" applyAlignment="1"/>
    <xf numFmtId="3" fontId="3" fillId="0" borderId="56" xfId="0" applyNumberFormat="1" applyFont="1" applyBorder="1" applyAlignment="1"/>
    <xf numFmtId="3" fontId="4" fillId="0" borderId="56" xfId="0" applyNumberFormat="1" applyFont="1" applyBorder="1" applyAlignment="1"/>
    <xf numFmtId="3" fontId="3" fillId="0" borderId="59" xfId="0" applyNumberFormat="1" applyFont="1" applyFill="1" applyBorder="1" applyAlignment="1"/>
    <xf numFmtId="3" fontId="3" fillId="0" borderId="57" xfId="0" applyNumberFormat="1" applyFont="1" applyFill="1" applyBorder="1" applyAlignment="1"/>
    <xf numFmtId="3" fontId="3" fillId="0" borderId="56" xfId="0" applyNumberFormat="1" applyFont="1" applyFill="1" applyBorder="1" applyAlignment="1"/>
    <xf numFmtId="3" fontId="27" fillId="0" borderId="0" xfId="0" applyNumberFormat="1" applyFont="1" applyFill="1" applyBorder="1" applyAlignment="1"/>
    <xf numFmtId="3" fontId="4" fillId="0" borderId="9" xfId="0" applyNumberFormat="1" applyFont="1" applyFill="1" applyBorder="1"/>
    <xf numFmtId="49" fontId="7" fillId="0" borderId="28" xfId="0" applyNumberFormat="1" applyFont="1" applyFill="1" applyBorder="1" applyAlignment="1">
      <alignment horizontal="right"/>
    </xf>
    <xf numFmtId="0" fontId="31" fillId="0" borderId="11" xfId="0" applyFont="1" applyBorder="1"/>
    <xf numFmtId="49" fontId="7" fillId="0" borderId="63" xfId="0" applyNumberFormat="1" applyFont="1" applyFill="1" applyBorder="1" applyAlignment="1">
      <alignment horizontal="right"/>
    </xf>
    <xf numFmtId="3" fontId="30" fillId="0" borderId="0" xfId="0" applyNumberFormat="1" applyFont="1" applyFill="1"/>
    <xf numFmtId="0" fontId="0" fillId="0" borderId="0" xfId="0" applyFill="1"/>
    <xf numFmtId="3" fontId="32" fillId="0" borderId="0" xfId="0" applyNumberFormat="1" applyFont="1"/>
    <xf numFmtId="164" fontId="0" fillId="0" borderId="0" xfId="0" applyNumberFormat="1"/>
    <xf numFmtId="49" fontId="7" fillId="0" borderId="50" xfId="0" applyNumberFormat="1" applyFont="1" applyFill="1" applyBorder="1" applyAlignment="1">
      <alignment horizontal="left"/>
    </xf>
    <xf numFmtId="49" fontId="7" fillId="0" borderId="52" xfId="0" applyNumberFormat="1" applyFont="1" applyFill="1" applyBorder="1" applyAlignment="1">
      <alignment horizontal="left"/>
    </xf>
    <xf numFmtId="3" fontId="7" fillId="13" borderId="64" xfId="0" applyNumberFormat="1" applyFont="1" applyFill="1" applyBorder="1" applyAlignment="1"/>
    <xf numFmtId="3" fontId="33" fillId="10" borderId="55" xfId="0" applyNumberFormat="1" applyFont="1" applyFill="1" applyBorder="1" applyAlignment="1">
      <alignment horizontal="center" vertical="center"/>
    </xf>
    <xf numFmtId="3" fontId="34" fillId="10" borderId="59" xfId="0" applyNumberFormat="1" applyFont="1" applyFill="1" applyBorder="1"/>
    <xf numFmtId="3" fontId="34" fillId="10" borderId="56" xfId="0" applyNumberFormat="1" applyFont="1" applyFill="1" applyBorder="1"/>
    <xf numFmtId="3" fontId="34" fillId="10" borderId="57" xfId="0" applyNumberFormat="1" applyFont="1" applyFill="1" applyBorder="1"/>
    <xf numFmtId="3" fontId="34" fillId="10" borderId="63" xfId="0" applyNumberFormat="1" applyFont="1" applyFill="1" applyBorder="1"/>
    <xf numFmtId="3" fontId="35" fillId="10" borderId="3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7" fillId="0" borderId="22" xfId="0" applyNumberFormat="1" applyFont="1" applyBorder="1" applyAlignment="1">
      <alignment horizontal="right"/>
    </xf>
    <xf numFmtId="49" fontId="7" fillId="0" borderId="7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0" fontId="4" fillId="12" borderId="19" xfId="0" applyFont="1" applyFill="1" applyBorder="1"/>
    <xf numFmtId="3" fontId="4" fillId="12" borderId="21" xfId="0" applyNumberFormat="1" applyFont="1" applyFill="1" applyBorder="1" applyAlignment="1">
      <alignment horizontal="right"/>
    </xf>
    <xf numFmtId="49" fontId="4" fillId="14" borderId="27" xfId="0" applyNumberFormat="1" applyFont="1" applyFill="1" applyBorder="1" applyAlignment="1">
      <alignment horizontal="right"/>
    </xf>
    <xf numFmtId="0" fontId="4" fillId="14" borderId="17" xfId="0" applyFont="1" applyFill="1" applyBorder="1"/>
    <xf numFmtId="3" fontId="4" fillId="14" borderId="18" xfId="0" applyNumberFormat="1" applyFont="1" applyFill="1" applyBorder="1" applyAlignment="1">
      <alignment horizontal="right"/>
    </xf>
    <xf numFmtId="49" fontId="4" fillId="14" borderId="42" xfId="0" applyNumberFormat="1" applyFont="1" applyFill="1" applyBorder="1" applyAlignment="1">
      <alignment horizontal="right"/>
    </xf>
    <xf numFmtId="0" fontId="4" fillId="14" borderId="23" xfId="0" applyFont="1" applyFill="1" applyBorder="1"/>
    <xf numFmtId="3" fontId="4" fillId="14" borderId="9" xfId="0" applyNumberFormat="1" applyFont="1" applyFill="1" applyBorder="1" applyAlignment="1">
      <alignment horizontal="right"/>
    </xf>
    <xf numFmtId="3" fontId="14" fillId="12" borderId="32" xfId="0" applyNumberFormat="1" applyFont="1" applyFill="1" applyBorder="1" applyAlignment="1">
      <alignment horizontal="right"/>
    </xf>
    <xf numFmtId="3" fontId="2" fillId="6" borderId="10" xfId="0" applyNumberFormat="1" applyFont="1" applyFill="1" applyBorder="1" applyAlignment="1">
      <alignment horizontal="right"/>
    </xf>
    <xf numFmtId="3" fontId="14" fillId="12" borderId="10" xfId="0" applyNumberFormat="1" applyFont="1" applyFill="1" applyBorder="1" applyAlignment="1">
      <alignment horizontal="right"/>
    </xf>
    <xf numFmtId="0" fontId="38" fillId="5" borderId="14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68" xfId="0" applyFont="1" applyFill="1" applyBorder="1" applyAlignment="1">
      <alignment horizontal="center" vertical="center"/>
    </xf>
    <xf numFmtId="49" fontId="38" fillId="5" borderId="15" xfId="0" applyNumberFormat="1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4" fontId="39" fillId="0" borderId="25" xfId="0" applyNumberFormat="1" applyFont="1" applyBorder="1" applyAlignment="1">
      <alignment horizontal="center"/>
    </xf>
    <xf numFmtId="3" fontId="39" fillId="0" borderId="25" xfId="0" applyNumberFormat="1" applyFont="1" applyBorder="1"/>
    <xf numFmtId="3" fontId="39" fillId="0" borderId="6" xfId="0" applyNumberFormat="1" applyFont="1" applyBorder="1"/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14" fontId="39" fillId="0" borderId="20" xfId="0" applyNumberFormat="1" applyFont="1" applyBorder="1" applyAlignment="1">
      <alignment horizontal="center"/>
    </xf>
    <xf numFmtId="3" fontId="39" fillId="0" borderId="20" xfId="0" applyNumberFormat="1" applyFont="1" applyBorder="1"/>
    <xf numFmtId="3" fontId="39" fillId="0" borderId="21" xfId="0" applyNumberFormat="1" applyFont="1" applyBorder="1"/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4" fontId="39" fillId="0" borderId="23" xfId="0" applyNumberFormat="1" applyFont="1" applyBorder="1" applyAlignment="1">
      <alignment horizontal="center"/>
    </xf>
    <xf numFmtId="3" fontId="39" fillId="0" borderId="23" xfId="0" applyNumberFormat="1" applyFont="1" applyBorder="1"/>
    <xf numFmtId="3" fontId="39" fillId="0" borderId="9" xfId="0" applyNumberFormat="1" applyFont="1" applyBorder="1"/>
    <xf numFmtId="0" fontId="38" fillId="0" borderId="0" xfId="0" applyFont="1"/>
    <xf numFmtId="0" fontId="39" fillId="0" borderId="0" xfId="0" applyFont="1"/>
    <xf numFmtId="0" fontId="7" fillId="0" borderId="0" xfId="0" applyFont="1"/>
    <xf numFmtId="0" fontId="42" fillId="5" borderId="35" xfId="0" applyFont="1" applyFill="1" applyBorder="1" applyAlignment="1">
      <alignment horizontal="center"/>
    </xf>
    <xf numFmtId="0" fontId="42" fillId="5" borderId="36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3" fontId="42" fillId="10" borderId="10" xfId="0" applyNumberFormat="1" applyFont="1" applyFill="1" applyBorder="1" applyAlignment="1">
      <alignment horizontal="right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left"/>
    </xf>
    <xf numFmtId="3" fontId="4" fillId="10" borderId="18" xfId="0" applyNumberFormat="1" applyFont="1" applyFill="1" applyBorder="1" applyAlignment="1">
      <alignment horizontal="right"/>
    </xf>
    <xf numFmtId="0" fontId="4" fillId="10" borderId="19" xfId="0" applyFont="1" applyFill="1" applyBorder="1" applyAlignment="1">
      <alignment horizontal="center"/>
    </xf>
    <xf numFmtId="3" fontId="4" fillId="10" borderId="21" xfId="0" applyNumberFormat="1" applyFont="1" applyFill="1" applyBorder="1" applyAlignment="1">
      <alignment horizontal="right"/>
    </xf>
    <xf numFmtId="0" fontId="43" fillId="10" borderId="27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left"/>
    </xf>
    <xf numFmtId="3" fontId="7" fillId="10" borderId="18" xfId="0" applyNumberFormat="1" applyFont="1" applyFill="1" applyBorder="1" applyAlignment="1">
      <alignment horizontal="right"/>
    </xf>
    <xf numFmtId="3" fontId="42" fillId="8" borderId="10" xfId="0" applyNumberFormat="1" applyFont="1" applyFill="1" applyBorder="1" applyAlignment="1"/>
    <xf numFmtId="0" fontId="6" fillId="16" borderId="37" xfId="0" applyFont="1" applyFill="1" applyBorder="1" applyAlignment="1">
      <alignment horizontal="center"/>
    </xf>
    <xf numFmtId="0" fontId="6" fillId="16" borderId="25" xfId="0" applyFont="1" applyFill="1" applyBorder="1" applyAlignment="1">
      <alignment horizontal="left"/>
    </xf>
    <xf numFmtId="3" fontId="6" fillId="16" borderId="6" xfId="0" applyNumberFormat="1" applyFont="1" applyFill="1" applyBorder="1" applyAlignment="1">
      <alignment horizontal="right"/>
    </xf>
    <xf numFmtId="0" fontId="6" fillId="16" borderId="27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left"/>
    </xf>
    <xf numFmtId="3" fontId="6" fillId="16" borderId="18" xfId="0" applyNumberFormat="1" applyFont="1" applyFill="1" applyBorder="1" applyAlignment="1">
      <alignment horizontal="right"/>
    </xf>
    <xf numFmtId="3" fontId="42" fillId="4" borderId="10" xfId="0" applyNumberFormat="1" applyFont="1" applyFill="1" applyBorder="1" applyAlignment="1"/>
    <xf numFmtId="0" fontId="0" fillId="4" borderId="37" xfId="0" applyFill="1" applyBorder="1" applyAlignment="1">
      <alignment horizontal="center"/>
    </xf>
    <xf numFmtId="0" fontId="0" fillId="4" borderId="25" xfId="0" applyFill="1" applyBorder="1"/>
    <xf numFmtId="3" fontId="0" fillId="4" borderId="6" xfId="0" applyNumberFormat="1" applyFill="1" applyBorder="1"/>
    <xf numFmtId="0" fontId="0" fillId="4" borderId="27" xfId="0" applyFill="1" applyBorder="1" applyAlignment="1">
      <alignment horizontal="center"/>
    </xf>
    <xf numFmtId="0" fontId="0" fillId="4" borderId="17" xfId="0" applyFill="1" applyBorder="1"/>
    <xf numFmtId="3" fontId="0" fillId="17" borderId="18" xfId="0" applyNumberFormat="1" applyFill="1" applyBorder="1"/>
    <xf numFmtId="0" fontId="0" fillId="4" borderId="42" xfId="0" applyFill="1" applyBorder="1" applyAlignment="1">
      <alignment horizontal="center"/>
    </xf>
    <xf numFmtId="0" fontId="0" fillId="4" borderId="23" xfId="0" applyFill="1" applyBorder="1"/>
    <xf numFmtId="3" fontId="0" fillId="4" borderId="9" xfId="0" applyNumberFormat="1" applyFill="1" applyBorder="1"/>
    <xf numFmtId="3" fontId="14" fillId="5" borderId="10" xfId="0" applyNumberFormat="1" applyFont="1" applyFill="1" applyBorder="1"/>
    <xf numFmtId="0" fontId="0" fillId="0" borderId="24" xfId="0" applyBorder="1"/>
    <xf numFmtId="0" fontId="0" fillId="0" borderId="25" xfId="0" applyFill="1" applyBorder="1"/>
    <xf numFmtId="3" fontId="0" fillId="0" borderId="6" xfId="0" applyNumberFormat="1" applyBorder="1"/>
    <xf numFmtId="0" fontId="0" fillId="0" borderId="29" xfId="0" applyBorder="1"/>
    <xf numFmtId="0" fontId="0" fillId="0" borderId="30" xfId="0" applyFill="1" applyBorder="1"/>
    <xf numFmtId="3" fontId="0" fillId="0" borderId="31" xfId="0" applyNumberFormat="1" applyBorder="1"/>
    <xf numFmtId="3" fontId="20" fillId="5" borderId="10" xfId="0" applyNumberFormat="1" applyFont="1" applyFill="1" applyBorder="1"/>
    <xf numFmtId="0" fontId="0" fillId="0" borderId="0" xfId="0" applyFill="1" applyBorder="1"/>
    <xf numFmtId="3" fontId="0" fillId="0" borderId="0" xfId="0" applyNumberFormat="1"/>
    <xf numFmtId="0" fontId="42" fillId="5" borderId="24" xfId="0" applyFont="1" applyFill="1" applyBorder="1" applyAlignment="1">
      <alignment horizontal="center" wrapText="1"/>
    </xf>
    <xf numFmtId="0" fontId="42" fillId="5" borderId="25" xfId="0" applyFont="1" applyFill="1" applyBorder="1" applyAlignment="1">
      <alignment horizontal="center"/>
    </xf>
    <xf numFmtId="3" fontId="42" fillId="5" borderId="6" xfId="0" applyNumberFormat="1" applyFont="1" applyFill="1" applyBorder="1" applyAlignment="1">
      <alignment horizontal="center"/>
    </xf>
    <xf numFmtId="49" fontId="4" fillId="10" borderId="27" xfId="0" applyNumberFormat="1" applyFont="1" applyFill="1" applyBorder="1" applyAlignment="1">
      <alignment horizontal="center"/>
    </xf>
    <xf numFmtId="49" fontId="4" fillId="10" borderId="17" xfId="0" applyNumberFormat="1" applyFont="1" applyFill="1" applyBorder="1" applyAlignment="1">
      <alignment horizontal="left"/>
    </xf>
    <xf numFmtId="49" fontId="6" fillId="10" borderId="7" xfId="0" applyNumberFormat="1" applyFont="1" applyFill="1" applyBorder="1" applyAlignment="1">
      <alignment horizontal="center"/>
    </xf>
    <xf numFmtId="49" fontId="6" fillId="10" borderId="8" xfId="0" applyNumberFormat="1" applyFont="1" applyFill="1" applyBorder="1" applyAlignment="1">
      <alignment horizontal="center"/>
    </xf>
    <xf numFmtId="49" fontId="6" fillId="10" borderId="61" xfId="0" applyNumberFormat="1" applyFont="1" applyFill="1" applyBorder="1" applyAlignment="1">
      <alignment horizontal="center"/>
    </xf>
    <xf numFmtId="49" fontId="6" fillId="8" borderId="19" xfId="0" applyNumberFormat="1" applyFont="1" applyFill="1" applyBorder="1" applyAlignment="1">
      <alignment horizontal="center"/>
    </xf>
    <xf numFmtId="0" fontId="6" fillId="8" borderId="20" xfId="0" applyFont="1" applyFill="1" applyBorder="1" applyAlignment="1">
      <alignment horizontal="left"/>
    </xf>
    <xf numFmtId="3" fontId="6" fillId="8" borderId="21" xfId="0" applyNumberFormat="1" applyFont="1" applyFill="1" applyBorder="1" applyAlignment="1">
      <alignment horizontal="right"/>
    </xf>
    <xf numFmtId="49" fontId="7" fillId="4" borderId="27" xfId="0" applyNumberFormat="1" applyFont="1" applyFill="1" applyBorder="1" applyAlignment="1">
      <alignment horizontal="center"/>
    </xf>
    <xf numFmtId="0" fontId="7" fillId="4" borderId="17" xfId="0" applyFont="1" applyFill="1" applyBorder="1"/>
    <xf numFmtId="3" fontId="0" fillId="4" borderId="18" xfId="0" applyNumberFormat="1" applyFill="1" applyBorder="1"/>
    <xf numFmtId="49" fontId="0" fillId="0" borderId="16" xfId="0" applyNumberFormat="1" applyFill="1" applyBorder="1"/>
    <xf numFmtId="0" fontId="7" fillId="0" borderId="17" xfId="0" applyFont="1" applyFill="1" applyBorder="1"/>
    <xf numFmtId="3" fontId="0" fillId="0" borderId="18" xfId="0" applyNumberFormat="1" applyFill="1" applyBorder="1"/>
    <xf numFmtId="49" fontId="0" fillId="0" borderId="0" xfId="0" applyNumberFormat="1" applyAlignment="1">
      <alignment horizontal="right"/>
    </xf>
    <xf numFmtId="3" fontId="3" fillId="11" borderId="13" xfId="0" applyNumberFormat="1" applyFont="1" applyFill="1" applyBorder="1"/>
    <xf numFmtId="0" fontId="4" fillId="10" borderId="27" xfId="0" applyFont="1" applyFill="1" applyBorder="1" applyAlignment="1">
      <alignment horizontal="center"/>
    </xf>
    <xf numFmtId="3" fontId="3" fillId="11" borderId="13" xfId="0" applyNumberFormat="1" applyFont="1" applyFill="1" applyBorder="1" applyAlignment="1">
      <alignment horizontal="right"/>
    </xf>
    <xf numFmtId="0" fontId="4" fillId="10" borderId="20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5" fillId="11" borderId="21" xfId="0" applyNumberFormat="1" applyFont="1" applyFill="1" applyBorder="1"/>
    <xf numFmtId="3" fontId="18" fillId="11" borderId="21" xfId="0" applyNumberFormat="1" applyFont="1" applyFill="1" applyBorder="1" applyAlignment="1">
      <alignment horizontal="right"/>
    </xf>
    <xf numFmtId="3" fontId="6" fillId="11" borderId="21" xfId="0" applyNumberFormat="1" applyFont="1" applyFill="1" applyBorder="1"/>
    <xf numFmtId="3" fontId="6" fillId="11" borderId="18" xfId="0" applyNumberFormat="1" applyFont="1" applyFill="1" applyBorder="1"/>
    <xf numFmtId="3" fontId="5" fillId="11" borderId="18" xfId="0" applyNumberFormat="1" applyFont="1" applyFill="1" applyBorder="1"/>
    <xf numFmtId="3" fontId="18" fillId="11" borderId="21" xfId="0" applyNumberFormat="1" applyFont="1" applyFill="1" applyBorder="1"/>
    <xf numFmtId="3" fontId="4" fillId="11" borderId="21" xfId="0" applyNumberFormat="1" applyFont="1" applyFill="1" applyBorder="1" applyAlignment="1">
      <alignment horizontal="right"/>
    </xf>
    <xf numFmtId="9" fontId="5" fillId="0" borderId="0" xfId="1" applyFont="1"/>
    <xf numFmtId="0" fontId="3" fillId="0" borderId="53" xfId="0" applyFont="1" applyBorder="1"/>
    <xf numFmtId="0" fontId="3" fillId="0" borderId="52" xfId="0" applyFont="1" applyBorder="1"/>
    <xf numFmtId="0" fontId="3" fillId="0" borderId="50" xfId="0" applyFont="1" applyBorder="1"/>
    <xf numFmtId="0" fontId="5" fillId="5" borderId="68" xfId="0" applyFont="1" applyFill="1" applyBorder="1"/>
    <xf numFmtId="0" fontId="3" fillId="0" borderId="51" xfId="0" applyFont="1" applyBorder="1"/>
    <xf numFmtId="0" fontId="5" fillId="5" borderId="69" xfId="0" applyFont="1" applyFill="1" applyBorder="1"/>
    <xf numFmtId="0" fontId="3" fillId="0" borderId="70" xfId="0" applyFont="1" applyBorder="1"/>
    <xf numFmtId="0" fontId="3" fillId="0" borderId="26" xfId="0" applyFont="1" applyBorder="1"/>
    <xf numFmtId="0" fontId="2" fillId="5" borderId="26" xfId="0" applyFont="1" applyFill="1" applyBorder="1"/>
    <xf numFmtId="3" fontId="4" fillId="11" borderId="32" xfId="0" applyNumberFormat="1" applyFont="1" applyFill="1" applyBorder="1" applyAlignment="1">
      <alignment horizontal="right"/>
    </xf>
    <xf numFmtId="3" fontId="3" fillId="11" borderId="21" xfId="0" applyNumberFormat="1" applyFont="1" applyFill="1" applyBorder="1" applyAlignment="1">
      <alignment horizontal="right"/>
    </xf>
    <xf numFmtId="3" fontId="3" fillId="11" borderId="6" xfId="0" applyNumberFormat="1" applyFont="1" applyFill="1" applyBorder="1" applyAlignment="1">
      <alignment horizontal="right"/>
    </xf>
    <xf numFmtId="3" fontId="3" fillId="11" borderId="56" xfId="0" applyNumberFormat="1" applyFont="1" applyFill="1" applyBorder="1" applyAlignment="1">
      <alignment horizontal="right"/>
    </xf>
    <xf numFmtId="3" fontId="3" fillId="11" borderId="57" xfId="0" applyNumberFormat="1" applyFont="1" applyFill="1" applyBorder="1" applyAlignment="1">
      <alignment horizontal="right"/>
    </xf>
    <xf numFmtId="3" fontId="3" fillId="11" borderId="9" xfId="0" applyNumberFormat="1" applyFont="1" applyFill="1" applyBorder="1" applyAlignment="1">
      <alignment horizontal="right"/>
    </xf>
    <xf numFmtId="3" fontId="3" fillId="11" borderId="18" xfId="0" applyNumberFormat="1" applyFont="1" applyFill="1" applyBorder="1" applyAlignment="1">
      <alignment horizontal="right"/>
    </xf>
    <xf numFmtId="3" fontId="4" fillId="11" borderId="59" xfId="0" applyNumberFormat="1" applyFont="1" applyFill="1" applyBorder="1" applyAlignment="1">
      <alignment horizontal="right"/>
    </xf>
    <xf numFmtId="3" fontId="7" fillId="11" borderId="57" xfId="0" applyNumberFormat="1" applyFont="1" applyFill="1" applyBorder="1" applyAlignment="1"/>
    <xf numFmtId="3" fontId="3" fillId="11" borderId="56" xfId="0" applyNumberFormat="1" applyFont="1" applyFill="1" applyBorder="1" applyAlignment="1"/>
    <xf numFmtId="3" fontId="7" fillId="11" borderId="65" xfId="0" applyNumberFormat="1" applyFont="1" applyFill="1" applyBorder="1" applyAlignment="1"/>
    <xf numFmtId="3" fontId="3" fillId="11" borderId="59" xfId="0" applyNumberFormat="1" applyFont="1" applyFill="1" applyBorder="1" applyAlignment="1"/>
    <xf numFmtId="3" fontId="7" fillId="11" borderId="56" xfId="0" applyNumberFormat="1" applyFont="1" applyFill="1" applyBorder="1" applyAlignment="1"/>
    <xf numFmtId="3" fontId="7" fillId="11" borderId="63" xfId="0" applyNumberFormat="1" applyFont="1" applyFill="1" applyBorder="1" applyAlignment="1"/>
    <xf numFmtId="0" fontId="6" fillId="16" borderId="20" xfId="0" applyFont="1" applyFill="1" applyBorder="1" applyAlignment="1">
      <alignment horizontal="left"/>
    </xf>
    <xf numFmtId="0" fontId="6" fillId="8" borderId="17" xfId="0" applyFont="1" applyFill="1" applyBorder="1" applyAlignment="1">
      <alignment horizontal="left"/>
    </xf>
    <xf numFmtId="3" fontId="4" fillId="11" borderId="18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3" fontId="7" fillId="18" borderId="56" xfId="0" applyNumberFormat="1" applyFont="1" applyFill="1" applyBorder="1" applyAlignment="1"/>
    <xf numFmtId="3" fontId="7" fillId="18" borderId="59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7" fillId="11" borderId="64" xfId="0" applyNumberFormat="1" applyFont="1" applyFill="1" applyBorder="1" applyAlignment="1"/>
    <xf numFmtId="3" fontId="3" fillId="0" borderId="6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3" fontId="7" fillId="11" borderId="59" xfId="0" applyNumberFormat="1" applyFont="1" applyFill="1" applyBorder="1" applyAlignment="1"/>
    <xf numFmtId="3" fontId="5" fillId="11" borderId="6" xfId="0" applyNumberFormat="1" applyFont="1" applyFill="1" applyBorder="1"/>
    <xf numFmtId="49" fontId="3" fillId="0" borderId="27" xfId="0" applyNumberFormat="1" applyFont="1" applyFill="1" applyBorder="1" applyAlignment="1">
      <alignment horizontal="right"/>
    </xf>
    <xf numFmtId="3" fontId="4" fillId="11" borderId="6" xfId="0" applyNumberFormat="1" applyFont="1" applyFill="1" applyBorder="1" applyAlignment="1">
      <alignment horizontal="right"/>
    </xf>
    <xf numFmtId="0" fontId="53" fillId="0" borderId="0" xfId="0" applyFont="1"/>
    <xf numFmtId="0" fontId="54" fillId="7" borderId="55" xfId="0" applyFont="1" applyFill="1" applyBorder="1" applyAlignment="1">
      <alignment horizontal="center" vertical="center"/>
    </xf>
    <xf numFmtId="3" fontId="54" fillId="7" borderId="55" xfId="0" applyNumberFormat="1" applyFont="1" applyFill="1" applyBorder="1" applyAlignment="1">
      <alignment horizontal="center" vertical="center" wrapText="1"/>
    </xf>
    <xf numFmtId="3" fontId="54" fillId="7" borderId="55" xfId="0" applyNumberFormat="1" applyFont="1" applyFill="1" applyBorder="1" applyAlignment="1">
      <alignment horizontal="center" vertical="center"/>
    </xf>
    <xf numFmtId="3" fontId="55" fillId="10" borderId="55" xfId="0" applyNumberFormat="1" applyFont="1" applyFill="1" applyBorder="1" applyAlignment="1">
      <alignment horizontal="center" vertical="center"/>
    </xf>
    <xf numFmtId="3" fontId="56" fillId="10" borderId="59" xfId="0" applyNumberFormat="1" applyFont="1" applyFill="1" applyBorder="1"/>
    <xf numFmtId="3" fontId="57" fillId="0" borderId="0" xfId="0" applyNumberFormat="1" applyFont="1"/>
    <xf numFmtId="3" fontId="56" fillId="10" borderId="56" xfId="0" applyNumberFormat="1" applyFont="1" applyFill="1" applyBorder="1"/>
    <xf numFmtId="3" fontId="56" fillId="10" borderId="57" xfId="0" applyNumberFormat="1" applyFont="1" applyFill="1" applyBorder="1"/>
    <xf numFmtId="3" fontId="56" fillId="10" borderId="63" xfId="0" applyNumberFormat="1" applyFont="1" applyFill="1" applyBorder="1"/>
    <xf numFmtId="0" fontId="51" fillId="0" borderId="0" xfId="0" applyFont="1" applyFill="1" applyBorder="1"/>
    <xf numFmtId="3" fontId="59" fillId="15" borderId="3" xfId="0" applyNumberFormat="1" applyFont="1" applyFill="1" applyBorder="1"/>
    <xf numFmtId="3" fontId="56" fillId="10" borderId="3" xfId="0" applyNumberFormat="1" applyFont="1" applyFill="1" applyBorder="1"/>
    <xf numFmtId="3" fontId="60" fillId="0" borderId="0" xfId="0" applyNumberFormat="1" applyFont="1"/>
    <xf numFmtId="3" fontId="53" fillId="0" borderId="0" xfId="0" applyNumberFormat="1" applyFont="1"/>
    <xf numFmtId="0" fontId="53" fillId="11" borderId="0" xfId="0" applyFont="1" applyFill="1"/>
    <xf numFmtId="0" fontId="58" fillId="0" borderId="19" xfId="0" applyFont="1" applyBorder="1"/>
    <xf numFmtId="43" fontId="58" fillId="0" borderId="21" xfId="2" applyNumberFormat="1" applyFont="1" applyBorder="1"/>
    <xf numFmtId="165" fontId="51" fillId="0" borderId="21" xfId="2" applyNumberFormat="1" applyFont="1" applyBorder="1"/>
    <xf numFmtId="0" fontId="58" fillId="0" borderId="19" xfId="0" applyFont="1" applyBorder="1" applyAlignment="1">
      <alignment horizontal="left"/>
    </xf>
    <xf numFmtId="43" fontId="51" fillId="0" borderId="21" xfId="2" applyNumberFormat="1" applyFont="1" applyBorder="1"/>
    <xf numFmtId="0" fontId="58" fillId="0" borderId="16" xfId="0" applyFont="1" applyBorder="1"/>
    <xf numFmtId="43" fontId="58" fillId="0" borderId="18" xfId="2" applyNumberFormat="1" applyFont="1" applyBorder="1"/>
    <xf numFmtId="0" fontId="51" fillId="0" borderId="14" xfId="0" applyFont="1" applyBorder="1"/>
    <xf numFmtId="0" fontId="51" fillId="0" borderId="15" xfId="0" applyFont="1" applyBorder="1"/>
    <xf numFmtId="0" fontId="51" fillId="0" borderId="10" xfId="0" applyFont="1" applyBorder="1"/>
    <xf numFmtId="0" fontId="51" fillId="20" borderId="14" xfId="0" applyFont="1" applyFill="1" applyBorder="1"/>
    <xf numFmtId="0" fontId="51" fillId="20" borderId="10" xfId="0" applyFont="1" applyFill="1" applyBorder="1"/>
    <xf numFmtId="43" fontId="58" fillId="19" borderId="17" xfId="0" applyNumberFormat="1" applyFont="1" applyFill="1" applyBorder="1" applyAlignment="1">
      <alignment horizontal="right"/>
    </xf>
    <xf numFmtId="43" fontId="58" fillId="0" borderId="20" xfId="0" applyNumberFormat="1" applyFont="1" applyBorder="1" applyAlignment="1">
      <alignment horizontal="right"/>
    </xf>
    <xf numFmtId="43" fontId="51" fillId="20" borderId="15" xfId="0" applyNumberFormat="1" applyFont="1" applyFill="1" applyBorder="1" applyAlignment="1">
      <alignment horizontal="right"/>
    </xf>
    <xf numFmtId="3" fontId="56" fillId="10" borderId="65" xfId="0" applyNumberFormat="1" applyFont="1" applyFill="1" applyBorder="1"/>
    <xf numFmtId="3" fontId="3" fillId="11" borderId="57" xfId="0" applyNumberFormat="1" applyFont="1" applyFill="1" applyBorder="1" applyAlignment="1"/>
    <xf numFmtId="0" fontId="3" fillId="0" borderId="38" xfId="0" applyFont="1" applyFill="1" applyBorder="1"/>
    <xf numFmtId="0" fontId="3" fillId="0" borderId="43" xfId="0" applyFont="1" applyBorder="1"/>
    <xf numFmtId="3" fontId="3" fillId="0" borderId="58" xfId="0" applyNumberFormat="1" applyFont="1" applyBorder="1" applyAlignment="1"/>
    <xf numFmtId="3" fontId="3" fillId="11" borderId="58" xfId="0" applyNumberFormat="1" applyFont="1" applyFill="1" applyBorder="1" applyAlignment="1"/>
    <xf numFmtId="43" fontId="61" fillId="0" borderId="20" xfId="0" applyNumberFormat="1" applyFont="1" applyBorder="1" applyAlignment="1">
      <alignment horizontal="right"/>
    </xf>
    <xf numFmtId="0" fontId="51" fillId="14" borderId="19" xfId="0" applyFont="1" applyFill="1" applyBorder="1"/>
    <xf numFmtId="43" fontId="62" fillId="14" borderId="20" xfId="0" applyNumberFormat="1" applyFont="1" applyFill="1" applyBorder="1" applyAlignment="1">
      <alignment horizontal="right"/>
    </xf>
    <xf numFmtId="43" fontId="51" fillId="14" borderId="21" xfId="2" applyNumberFormat="1" applyFont="1" applyFill="1" applyBorder="1"/>
    <xf numFmtId="0" fontId="51" fillId="14" borderId="29" xfId="0" applyFont="1" applyFill="1" applyBorder="1" applyAlignment="1">
      <alignment horizontal="left"/>
    </xf>
    <xf numFmtId="43" fontId="51" fillId="14" borderId="30" xfId="0" applyNumberFormat="1" applyFont="1" applyFill="1" applyBorder="1" applyAlignment="1">
      <alignment horizontal="right"/>
    </xf>
    <xf numFmtId="43" fontId="51" fillId="14" borderId="31" xfId="2" applyNumberFormat="1" applyFont="1" applyFill="1" applyBorder="1"/>
    <xf numFmtId="43" fontId="53" fillId="0" borderId="0" xfId="0" applyNumberFormat="1" applyFont="1"/>
    <xf numFmtId="0" fontId="63" fillId="0" borderId="19" xfId="0" applyFont="1" applyBorder="1"/>
    <xf numFmtId="43" fontId="63" fillId="0" borderId="20" xfId="0" applyNumberFormat="1" applyFont="1" applyBorder="1" applyAlignment="1">
      <alignment horizontal="right"/>
    </xf>
    <xf numFmtId="3" fontId="7" fillId="11" borderId="58" xfId="0" applyNumberFormat="1" applyFont="1" applyFill="1" applyBorder="1" applyAlignment="1"/>
    <xf numFmtId="3" fontId="5" fillId="11" borderId="13" xfId="0" applyNumberFormat="1" applyFont="1" applyFill="1" applyBorder="1"/>
    <xf numFmtId="0" fontId="39" fillId="0" borderId="1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8" borderId="25" xfId="0" applyFont="1" applyFill="1" applyBorder="1" applyAlignment="1">
      <alignment horizontal="left"/>
    </xf>
    <xf numFmtId="3" fontId="3" fillId="11" borderId="39" xfId="0" applyNumberFormat="1" applyFont="1" applyFill="1" applyBorder="1" applyAlignment="1">
      <alignment horizontal="right"/>
    </xf>
    <xf numFmtId="0" fontId="64" fillId="0" borderId="19" xfId="0" applyFont="1" applyBorder="1" applyAlignment="1">
      <alignment horizontal="left"/>
    </xf>
    <xf numFmtId="43" fontId="64" fillId="0" borderId="2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5" fillId="11" borderId="39" xfId="0" applyNumberFormat="1" applyFont="1" applyFill="1" applyBorder="1"/>
    <xf numFmtId="3" fontId="4" fillId="11" borderId="31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/>
    <xf numFmtId="0" fontId="42" fillId="0" borderId="0" xfId="0" applyFont="1" applyAlignment="1">
      <alignment horizontal="center"/>
    </xf>
    <xf numFmtId="3" fontId="15" fillId="11" borderId="2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16" borderId="24" xfId="0" applyFont="1" applyFill="1" applyBorder="1" applyAlignment="1">
      <alignment horizontal="center"/>
    </xf>
    <xf numFmtId="0" fontId="6" fillId="16" borderId="19" xfId="0" applyFont="1" applyFill="1" applyBorder="1" applyAlignment="1">
      <alignment horizontal="center"/>
    </xf>
    <xf numFmtId="3" fontId="6" fillId="16" borderId="21" xfId="0" applyNumberFormat="1" applyFont="1" applyFill="1" applyBorder="1" applyAlignment="1">
      <alignment horizontal="right"/>
    </xf>
    <xf numFmtId="49" fontId="0" fillId="0" borderId="11" xfId="0" applyNumberFormat="1" applyFill="1" applyBorder="1"/>
    <xf numFmtId="0" fontId="7" fillId="0" borderId="12" xfId="0" applyFont="1" applyFill="1" applyBorder="1"/>
    <xf numFmtId="3" fontId="0" fillId="0" borderId="13" xfId="0" applyNumberFormat="1" applyFill="1" applyBorder="1"/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20" fillId="0" borderId="0" xfId="0" applyNumberFormat="1" applyFont="1" applyFill="1" applyBorder="1"/>
    <xf numFmtId="3" fontId="42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3" fillId="11" borderId="64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3" fontId="61" fillId="11" borderId="20" xfId="0" applyNumberFormat="1" applyFont="1" applyFill="1" applyBorder="1" applyAlignment="1">
      <alignment horizontal="right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14" fontId="39" fillId="0" borderId="30" xfId="0" applyNumberFormat="1" applyFont="1" applyBorder="1" applyAlignment="1">
      <alignment horizontal="center"/>
    </xf>
    <xf numFmtId="3" fontId="39" fillId="0" borderId="30" xfId="0" applyNumberFormat="1" applyFont="1" applyBorder="1"/>
    <xf numFmtId="3" fontId="39" fillId="0" borderId="31" xfId="0" applyNumberFormat="1" applyFont="1" applyBorder="1"/>
    <xf numFmtId="43" fontId="61" fillId="0" borderId="20" xfId="0" applyNumberFormat="1" applyFont="1" applyFill="1" applyBorder="1" applyAlignment="1">
      <alignment horizontal="right"/>
    </xf>
    <xf numFmtId="43" fontId="63" fillId="11" borderId="2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4" fillId="11" borderId="10" xfId="0" applyNumberFormat="1" applyFont="1" applyFill="1" applyBorder="1"/>
    <xf numFmtId="0" fontId="42" fillId="0" borderId="0" xfId="0" applyFont="1" applyAlignment="1">
      <alignment horizontal="center"/>
    </xf>
    <xf numFmtId="0" fontId="39" fillId="0" borderId="23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14" fillId="11" borderId="10" xfId="0" applyNumberFormat="1" applyFont="1" applyFill="1" applyBorder="1" applyAlignment="1">
      <alignment horizontal="right"/>
    </xf>
    <xf numFmtId="3" fontId="4" fillId="11" borderId="39" xfId="0" applyNumberFormat="1" applyFont="1" applyFill="1" applyBorder="1" applyAlignment="1">
      <alignment horizontal="right"/>
    </xf>
    <xf numFmtId="3" fontId="8" fillId="11" borderId="10" xfId="0" applyNumberFormat="1" applyFont="1" applyFill="1" applyBorder="1" applyAlignment="1">
      <alignment horizontal="right"/>
    </xf>
    <xf numFmtId="3" fontId="4" fillId="11" borderId="9" xfId="0" applyNumberFormat="1" applyFont="1" applyFill="1" applyBorder="1" applyAlignment="1">
      <alignment horizontal="right"/>
    </xf>
    <xf numFmtId="0" fontId="4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10" borderId="1" xfId="0" applyFont="1" applyFill="1" applyBorder="1" applyAlignment="1">
      <alignment horizontal="center"/>
    </xf>
    <xf numFmtId="0" fontId="42" fillId="10" borderId="34" xfId="0" applyFont="1" applyFill="1" applyBorder="1" applyAlignment="1">
      <alignment horizontal="center"/>
    </xf>
    <xf numFmtId="0" fontId="42" fillId="8" borderId="1" xfId="0" applyFont="1" applyFill="1" applyBorder="1" applyAlignment="1">
      <alignment horizontal="center"/>
    </xf>
    <xf numFmtId="0" fontId="42" fillId="8" borderId="34" xfId="0" applyFont="1" applyFill="1" applyBorder="1" applyAlignment="1">
      <alignment horizontal="center"/>
    </xf>
    <xf numFmtId="0" fontId="42" fillId="4" borderId="1" xfId="0" applyFont="1" applyFill="1" applyBorder="1" applyAlignment="1">
      <alignment horizontal="center"/>
    </xf>
    <xf numFmtId="0" fontId="42" fillId="4" borderId="34" xfId="0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61" xfId="0" applyFont="1" applyFill="1" applyBorder="1" applyAlignment="1">
      <alignment horizontal="center"/>
    </xf>
    <xf numFmtId="0" fontId="42" fillId="8" borderId="2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6" fillId="16" borderId="61" xfId="0" applyFont="1" applyFill="1" applyBorder="1" applyAlignment="1">
      <alignment horizontal="center"/>
    </xf>
    <xf numFmtId="0" fontId="42" fillId="4" borderId="2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0" fontId="11" fillId="8" borderId="44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8" borderId="4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16" fillId="8" borderId="7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3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5" fillId="0" borderId="34" xfId="0" applyFont="1" applyBorder="1" applyAlignment="1"/>
    <xf numFmtId="0" fontId="2" fillId="4" borderId="1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49" fontId="14" fillId="12" borderId="4" xfId="0" applyNumberFormat="1" applyFont="1" applyFill="1" applyBorder="1" applyAlignment="1">
      <alignment horizontal="center"/>
    </xf>
    <xf numFmtId="49" fontId="14" fillId="12" borderId="67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2" fillId="6" borderId="34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7" fillId="0" borderId="40" xfId="0" applyFont="1" applyBorder="1" applyAlignment="1">
      <alignment wrapText="1"/>
    </xf>
    <xf numFmtId="0" fontId="48" fillId="0" borderId="40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5" fillId="0" borderId="40" xfId="0" applyFont="1" applyBorder="1" applyAlignment="1">
      <alignment wrapText="1"/>
    </xf>
    <xf numFmtId="0" fontId="46" fillId="0" borderId="40" xfId="0" applyFont="1" applyBorder="1" applyAlignment="1">
      <alignment wrapText="1"/>
    </xf>
    <xf numFmtId="0" fontId="14" fillId="12" borderId="1" xfId="0" applyFont="1" applyFill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9" fontId="20" fillId="15" borderId="1" xfId="0" applyNumberFormat="1" applyFont="1" applyFill="1" applyBorder="1" applyAlignment="1">
      <alignment horizontal="center"/>
    </xf>
    <xf numFmtId="49" fontId="20" fillId="15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1" fillId="20" borderId="1" xfId="0" applyFont="1" applyFill="1" applyBorder="1" applyAlignment="1">
      <alignment horizontal="center"/>
    </xf>
    <xf numFmtId="0" fontId="51" fillId="20" borderId="2" xfId="0" applyFont="1" applyFill="1" applyBorder="1" applyAlignment="1">
      <alignment horizontal="center"/>
    </xf>
    <xf numFmtId="0" fontId="51" fillId="20" borderId="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</cellXfs>
  <cellStyles count="3">
    <cellStyle name="Čiarka" xfId="2" builtinId="3"/>
    <cellStyle name="Normálne" xfId="0" builtinId="0"/>
    <cellStyle name="Percentá" xfId="1" builtinId="5"/>
  </cellStyles>
  <dxfs count="0"/>
  <tableStyles count="0" defaultTableStyle="TableStyleMedium2" defaultPivotStyle="PivotStyleMedium9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8" zoomScaleNormal="98" workbookViewId="0">
      <selection sqref="A1:F1"/>
    </sheetView>
  </sheetViews>
  <sheetFormatPr defaultRowHeight="15" x14ac:dyDescent="0.25"/>
  <cols>
    <col min="1" max="1" width="4.85546875" customWidth="1"/>
    <col min="2" max="2" width="5.28515625" customWidth="1"/>
    <col min="4" max="4" width="22.28515625" customWidth="1"/>
  </cols>
  <sheetData>
    <row r="1" spans="1:6" ht="18" x14ac:dyDescent="0.25">
      <c r="A1" s="610" t="s">
        <v>279</v>
      </c>
      <c r="B1" s="610"/>
      <c r="C1" s="610"/>
      <c r="D1" s="610"/>
      <c r="E1" s="610"/>
      <c r="F1" s="610"/>
    </row>
    <row r="4" spans="1:6" ht="15.75" x14ac:dyDescent="0.25">
      <c r="A4" s="611" t="s">
        <v>280</v>
      </c>
      <c r="B4" s="611"/>
      <c r="C4" s="611"/>
      <c r="D4" s="611"/>
      <c r="E4" s="611"/>
      <c r="F4" s="611"/>
    </row>
    <row r="5" spans="1:6" ht="15.75" x14ac:dyDescent="0.25">
      <c r="A5" s="611" t="s">
        <v>301</v>
      </c>
      <c r="B5" s="611"/>
      <c r="C5" s="611"/>
      <c r="D5" s="611"/>
      <c r="E5" s="611"/>
      <c r="F5" s="611"/>
    </row>
    <row r="6" spans="1:6" ht="15.75" thickBot="1" x14ac:dyDescent="0.3"/>
    <row r="7" spans="1:6" ht="39" thickBot="1" x14ac:dyDescent="0.3">
      <c r="A7" s="370" t="s">
        <v>281</v>
      </c>
      <c r="B7" s="371" t="s">
        <v>282</v>
      </c>
      <c r="C7" s="371" t="s">
        <v>283</v>
      </c>
      <c r="D7" s="372" t="s">
        <v>284</v>
      </c>
      <c r="E7" s="373" t="s">
        <v>285</v>
      </c>
      <c r="F7" s="374" t="s">
        <v>286</v>
      </c>
    </row>
    <row r="8" spans="1:6" x14ac:dyDescent="0.25">
      <c r="A8" s="375" t="s">
        <v>287</v>
      </c>
      <c r="B8" s="376">
        <v>78</v>
      </c>
      <c r="C8" s="377">
        <v>43538</v>
      </c>
      <c r="D8" s="376" t="s">
        <v>421</v>
      </c>
      <c r="E8" s="378">
        <v>58068</v>
      </c>
      <c r="F8" s="379">
        <v>58068</v>
      </c>
    </row>
    <row r="9" spans="1:6" x14ac:dyDescent="0.25">
      <c r="A9" s="380" t="s">
        <v>288</v>
      </c>
      <c r="B9" s="381">
        <v>123</v>
      </c>
      <c r="C9" s="382">
        <v>43595</v>
      </c>
      <c r="D9" s="386" t="s">
        <v>405</v>
      </c>
      <c r="E9" s="383">
        <v>6945</v>
      </c>
      <c r="F9" s="384">
        <v>6945</v>
      </c>
    </row>
    <row r="10" spans="1:6" x14ac:dyDescent="0.25">
      <c r="A10" s="385" t="s">
        <v>289</v>
      </c>
      <c r="B10" s="381">
        <v>164</v>
      </c>
      <c r="C10" s="382">
        <v>43630</v>
      </c>
      <c r="D10" s="556" t="s">
        <v>421</v>
      </c>
      <c r="E10" s="383">
        <v>76845</v>
      </c>
      <c r="F10" s="384">
        <v>76845</v>
      </c>
    </row>
    <row r="11" spans="1:6" x14ac:dyDescent="0.25">
      <c r="A11" s="385" t="s">
        <v>290</v>
      </c>
      <c r="B11" s="386">
        <v>172</v>
      </c>
      <c r="C11" s="382">
        <v>43678</v>
      </c>
      <c r="D11" s="386" t="s">
        <v>405</v>
      </c>
      <c r="E11" s="383">
        <v>-289</v>
      </c>
      <c r="F11" s="384">
        <v>-289</v>
      </c>
    </row>
    <row r="12" spans="1:6" x14ac:dyDescent="0.25">
      <c r="A12" s="380" t="s">
        <v>291</v>
      </c>
      <c r="B12" s="381">
        <v>193</v>
      </c>
      <c r="C12" s="382">
        <v>43700</v>
      </c>
      <c r="D12" s="386" t="s">
        <v>405</v>
      </c>
      <c r="E12" s="383">
        <v>13753</v>
      </c>
      <c r="F12" s="384">
        <v>13753</v>
      </c>
    </row>
    <row r="13" spans="1:6" x14ac:dyDescent="0.25">
      <c r="A13" s="385" t="s">
        <v>292</v>
      </c>
      <c r="B13" s="386">
        <v>238</v>
      </c>
      <c r="C13" s="382">
        <v>43748</v>
      </c>
      <c r="D13" s="386" t="s">
        <v>405</v>
      </c>
      <c r="E13" s="383">
        <v>-1424</v>
      </c>
      <c r="F13" s="384">
        <v>-1424</v>
      </c>
    </row>
    <row r="14" spans="1:6" x14ac:dyDescent="0.25">
      <c r="A14" s="385" t="s">
        <v>293</v>
      </c>
      <c r="B14" s="381">
        <v>252</v>
      </c>
      <c r="C14" s="382">
        <v>43773</v>
      </c>
      <c r="D14" s="386" t="s">
        <v>405</v>
      </c>
      <c r="E14" s="383">
        <v>310</v>
      </c>
      <c r="F14" s="384">
        <v>310</v>
      </c>
    </row>
    <row r="15" spans="1:6" x14ac:dyDescent="0.25">
      <c r="A15" s="592" t="s">
        <v>633</v>
      </c>
      <c r="B15" s="593">
        <v>268</v>
      </c>
      <c r="C15" s="594">
        <v>43791</v>
      </c>
      <c r="D15" s="386" t="s">
        <v>405</v>
      </c>
      <c r="E15" s="595">
        <v>-1391</v>
      </c>
      <c r="F15" s="596">
        <v>-1391</v>
      </c>
    </row>
    <row r="16" spans="1:6" ht="16.5" customHeight="1" thickBot="1" x14ac:dyDescent="0.3">
      <c r="A16" s="387" t="s">
        <v>661</v>
      </c>
      <c r="B16" s="388">
        <v>307</v>
      </c>
      <c r="C16" s="389">
        <v>43811</v>
      </c>
      <c r="D16" s="603" t="s">
        <v>405</v>
      </c>
      <c r="E16" s="390">
        <v>4035</v>
      </c>
      <c r="F16" s="391">
        <v>4035</v>
      </c>
    </row>
    <row r="17" spans="1:6" ht="29.25" customHeight="1" x14ac:dyDescent="0.25"/>
    <row r="18" spans="1:6" x14ac:dyDescent="0.25">
      <c r="A18" s="392" t="s">
        <v>294</v>
      </c>
      <c r="B18" s="393"/>
      <c r="C18" s="392" t="s">
        <v>295</v>
      </c>
      <c r="D18" s="393"/>
      <c r="E18" s="393"/>
      <c r="F18" s="393"/>
    </row>
    <row r="19" spans="1:6" ht="30" customHeight="1" x14ac:dyDescent="0.25">
      <c r="A19" s="609" t="s">
        <v>296</v>
      </c>
      <c r="B19" s="609"/>
      <c r="C19" s="609"/>
      <c r="D19" s="609"/>
      <c r="E19" s="609"/>
      <c r="F19" s="609"/>
    </row>
    <row r="20" spans="1:6" x14ac:dyDescent="0.25">
      <c r="A20" s="609" t="s">
        <v>297</v>
      </c>
      <c r="B20" s="609"/>
      <c r="C20" s="609"/>
      <c r="D20" s="609"/>
      <c r="E20" s="609"/>
      <c r="F20" s="609"/>
    </row>
    <row r="21" spans="1:6" x14ac:dyDescent="0.25">
      <c r="A21" s="609" t="s">
        <v>298</v>
      </c>
      <c r="B21" s="609"/>
      <c r="C21" s="609"/>
      <c r="D21" s="609"/>
      <c r="E21" s="609"/>
      <c r="F21" s="609"/>
    </row>
    <row r="22" spans="1:6" x14ac:dyDescent="0.25">
      <c r="A22" s="609" t="s">
        <v>299</v>
      </c>
      <c r="B22" s="609"/>
      <c r="C22" s="609"/>
      <c r="D22" s="609"/>
      <c r="E22" s="609"/>
      <c r="F22" s="609"/>
    </row>
    <row r="24" spans="1:6" x14ac:dyDescent="0.25">
      <c r="A24" s="394" t="s">
        <v>670</v>
      </c>
    </row>
    <row r="25" spans="1:6" x14ac:dyDescent="0.25">
      <c r="A25" t="s">
        <v>155</v>
      </c>
    </row>
    <row r="27" spans="1:6" x14ac:dyDescent="0.25">
      <c r="A27" t="s">
        <v>300</v>
      </c>
    </row>
  </sheetData>
  <mergeCells count="7">
    <mergeCell ref="A22:F22"/>
    <mergeCell ref="A1:F1"/>
    <mergeCell ref="A4:F4"/>
    <mergeCell ref="A5:F5"/>
    <mergeCell ref="A19:F19"/>
    <mergeCell ref="A20:F20"/>
    <mergeCell ref="A21:F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27"/>
  <sheetViews>
    <sheetView zoomScale="98" zoomScaleNormal="98" workbookViewId="0">
      <selection sqref="A1:F1"/>
    </sheetView>
  </sheetViews>
  <sheetFormatPr defaultRowHeight="15" x14ac:dyDescent="0.25"/>
  <cols>
    <col min="1" max="1" width="6" style="110" customWidth="1"/>
    <col min="2" max="2" width="68.42578125" style="110" customWidth="1"/>
    <col min="3" max="6" width="12.5703125" style="110" customWidth="1"/>
    <col min="7" max="7" width="7.85546875" style="110" customWidth="1"/>
    <col min="8" max="8" width="9.140625" style="110"/>
    <col min="9" max="9" width="11.7109375" style="110" customWidth="1"/>
    <col min="10" max="11" width="9.140625" style="110"/>
    <col min="12" max="12" width="11" style="110" customWidth="1"/>
    <col min="13" max="16384" width="9.140625" style="110"/>
  </cols>
  <sheetData>
    <row r="1" spans="1:7" ht="18.75" thickBot="1" x14ac:dyDescent="0.3">
      <c r="A1" s="674" t="s">
        <v>0</v>
      </c>
      <c r="B1" s="675"/>
      <c r="C1" s="675"/>
      <c r="D1" s="675"/>
      <c r="E1" s="675"/>
      <c r="F1" s="675"/>
    </row>
    <row r="2" spans="1:7" ht="18.75" customHeight="1" x14ac:dyDescent="0.25">
      <c r="A2" s="644" t="s">
        <v>1</v>
      </c>
      <c r="B2" s="645"/>
      <c r="C2" s="638" t="s">
        <v>323</v>
      </c>
      <c r="D2" s="638" t="s">
        <v>322</v>
      </c>
      <c r="E2" s="638" t="s">
        <v>408</v>
      </c>
      <c r="F2" s="638" t="s">
        <v>397</v>
      </c>
      <c r="G2" s="662" t="s">
        <v>352</v>
      </c>
    </row>
    <row r="3" spans="1:7" ht="15.75" thickBot="1" x14ac:dyDescent="0.3">
      <c r="A3" s="646"/>
      <c r="B3" s="647"/>
      <c r="C3" s="639"/>
      <c r="D3" s="639"/>
      <c r="E3" s="639"/>
      <c r="F3" s="639"/>
      <c r="G3" s="663"/>
    </row>
    <row r="4" spans="1:7" ht="15.75" thickBot="1" x14ac:dyDescent="0.3">
      <c r="A4" s="664" t="s">
        <v>2</v>
      </c>
      <c r="B4" s="665"/>
      <c r="C4" s="1">
        <f t="shared" ref="C4:F4" si="0">SUM(C5:C11)</f>
        <v>1151580</v>
      </c>
      <c r="D4" s="1">
        <f t="shared" si="0"/>
        <v>1173580</v>
      </c>
      <c r="E4" s="1">
        <f t="shared" ref="E4" si="1">SUM(E5:E11)</f>
        <v>1174080</v>
      </c>
      <c r="F4" s="1">
        <f t="shared" si="0"/>
        <v>341308</v>
      </c>
      <c r="G4" s="466">
        <f>F4/E4</f>
        <v>0.2907025074952303</v>
      </c>
    </row>
    <row r="5" spans="1:7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v>319195</v>
      </c>
      <c r="G5" s="466">
        <f t="shared" ref="G5:G68" si="2">F5/E5</f>
        <v>0.28782236248872861</v>
      </c>
    </row>
    <row r="6" spans="1:7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10862</v>
      </c>
      <c r="G6" s="466">
        <f t="shared" si="2"/>
        <v>0.31320645905420991</v>
      </c>
    </row>
    <row r="7" spans="1:7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597</v>
      </c>
      <c r="G7" s="466">
        <f t="shared" si="2"/>
        <v>0.59699999999999998</v>
      </c>
    </row>
    <row r="8" spans="1:7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>400+500</f>
        <v>900</v>
      </c>
      <c r="F8" s="8">
        <v>359</v>
      </c>
      <c r="G8" s="466">
        <f t="shared" si="2"/>
        <v>0.3988888888888889</v>
      </c>
    </row>
    <row r="9" spans="1:7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306</v>
      </c>
      <c r="G9" s="466">
        <f t="shared" si="2"/>
        <v>0.20399999999999999</v>
      </c>
    </row>
    <row r="10" spans="1:7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8">
        <v>170</v>
      </c>
      <c r="G10" s="466">
        <f t="shared" si="2"/>
        <v>4.2500000000000003E-2</v>
      </c>
    </row>
    <row r="11" spans="1:7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9819</v>
      </c>
      <c r="G11" s="466">
        <f t="shared" si="2"/>
        <v>0.42691304347826087</v>
      </c>
    </row>
    <row r="12" spans="1:7" ht="15.75" thickBot="1" x14ac:dyDescent="0.3">
      <c r="A12" s="664" t="s">
        <v>10</v>
      </c>
      <c r="B12" s="665"/>
      <c r="C12" s="1">
        <f t="shared" ref="C12:F12" si="3">SUM(C13:C33)</f>
        <v>218240</v>
      </c>
      <c r="D12" s="1">
        <f t="shared" si="3"/>
        <v>217115</v>
      </c>
      <c r="E12" s="1">
        <f t="shared" ref="E12" si="4">SUM(E13:E33)</f>
        <v>217115</v>
      </c>
      <c r="F12" s="1">
        <f t="shared" si="3"/>
        <v>46302</v>
      </c>
      <c r="G12" s="466">
        <f t="shared" si="2"/>
        <v>0.21326025378255764</v>
      </c>
    </row>
    <row r="13" spans="1:7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>1967+140</f>
        <v>2107</v>
      </c>
      <c r="F13" s="270">
        <v>424</v>
      </c>
      <c r="G13" s="466">
        <f t="shared" si="2"/>
        <v>0.20123398196487899</v>
      </c>
    </row>
    <row r="14" spans="1:7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1500</v>
      </c>
      <c r="G14" s="466">
        <f t="shared" si="2"/>
        <v>0.20547945205479451</v>
      </c>
    </row>
    <row r="15" spans="1:7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>3910-140</f>
        <v>3770</v>
      </c>
      <c r="F15" s="170">
        <v>1224</v>
      </c>
      <c r="G15" s="466">
        <f t="shared" si="2"/>
        <v>0.32466843501326259</v>
      </c>
    </row>
    <row r="16" spans="1:7" x14ac:dyDescent="0.25">
      <c r="A16" s="115">
        <v>212</v>
      </c>
      <c r="B16" s="116" t="s">
        <v>14</v>
      </c>
      <c r="C16" s="9">
        <v>18763</v>
      </c>
      <c r="D16" s="459">
        <f>18763+500+375</f>
        <v>19638</v>
      </c>
      <c r="E16" s="9">
        <f>18763+500+375</f>
        <v>19638</v>
      </c>
      <c r="F16" s="9">
        <v>3252</v>
      </c>
      <c r="G16" s="466">
        <f t="shared" si="2"/>
        <v>0.1655973113351665</v>
      </c>
    </row>
    <row r="17" spans="1:18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219">
        <v>0</v>
      </c>
      <c r="G17" s="466">
        <f t="shared" si="2"/>
        <v>0</v>
      </c>
      <c r="H17" s="123">
        <f>SUM(C13:C17)</f>
        <v>32340</v>
      </c>
      <c r="I17" s="123">
        <f>SUM(D13:D17)</f>
        <v>33215</v>
      </c>
      <c r="J17" s="123">
        <f t="shared" ref="J17" si="5">SUM(F13:F17)</f>
        <v>6400</v>
      </c>
      <c r="K17" s="123"/>
      <c r="L17" s="123"/>
      <c r="M17" s="123"/>
      <c r="N17" s="123"/>
      <c r="O17" s="123"/>
    </row>
    <row r="18" spans="1:18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1766</v>
      </c>
      <c r="G18" s="466">
        <f t="shared" si="2"/>
        <v>0.35320000000000001</v>
      </c>
    </row>
    <row r="19" spans="1:18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466">
        <v>0</v>
      </c>
    </row>
    <row r="20" spans="1:18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48</v>
      </c>
      <c r="G20" s="466">
        <f t="shared" si="2"/>
        <v>5.3333333333333337E-2</v>
      </c>
    </row>
    <row r="21" spans="1:18" x14ac:dyDescent="0.25">
      <c r="A21" s="115">
        <v>223</v>
      </c>
      <c r="B21" s="116" t="s">
        <v>19</v>
      </c>
      <c r="C21" s="9">
        <v>20000</v>
      </c>
      <c r="D21" s="459">
        <f>20000-2000</f>
        <v>18000</v>
      </c>
      <c r="E21" s="9">
        <f>20000-2000</f>
        <v>18000</v>
      </c>
      <c r="F21" s="9">
        <v>3574</v>
      </c>
      <c r="G21" s="466">
        <f t="shared" si="2"/>
        <v>0.19855555555555557</v>
      </c>
    </row>
    <row r="22" spans="1:18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0</v>
      </c>
      <c r="G22" s="466">
        <f t="shared" si="2"/>
        <v>0</v>
      </c>
    </row>
    <row r="23" spans="1:18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9">
        <v>523</v>
      </c>
      <c r="G23" s="466">
        <f t="shared" si="2"/>
        <v>1.5848484848484848E-2</v>
      </c>
    </row>
    <row r="24" spans="1:18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0</v>
      </c>
      <c r="G24" s="466">
        <f t="shared" si="2"/>
        <v>0</v>
      </c>
    </row>
    <row r="25" spans="1:18" x14ac:dyDescent="0.25">
      <c r="A25" s="115">
        <v>223</v>
      </c>
      <c r="B25" s="116" t="s">
        <v>175</v>
      </c>
      <c r="C25" s="9">
        <v>0</v>
      </c>
      <c r="D25" s="9">
        <v>0</v>
      </c>
      <c r="E25" s="9">
        <v>0</v>
      </c>
      <c r="F25" s="9">
        <v>0</v>
      </c>
      <c r="G25" s="466">
        <v>0</v>
      </c>
    </row>
    <row r="26" spans="1:18" x14ac:dyDescent="0.25">
      <c r="A26" s="115">
        <v>223</v>
      </c>
      <c r="B26" s="116" t="s">
        <v>21</v>
      </c>
      <c r="C26" s="9">
        <v>700</v>
      </c>
      <c r="D26" s="9">
        <v>700</v>
      </c>
      <c r="E26" s="9">
        <v>700</v>
      </c>
      <c r="F26" s="9">
        <v>159</v>
      </c>
      <c r="G26" s="466">
        <f t="shared" si="2"/>
        <v>0.22714285714285715</v>
      </c>
    </row>
    <row r="27" spans="1:18" x14ac:dyDescent="0.25">
      <c r="A27" s="115">
        <v>223</v>
      </c>
      <c r="B27" s="116" t="s">
        <v>22</v>
      </c>
      <c r="C27" s="9">
        <f t="shared" ref="C27:E27" si="6">31000+2000</f>
        <v>33000</v>
      </c>
      <c r="D27" s="9">
        <f t="shared" si="6"/>
        <v>33000</v>
      </c>
      <c r="E27" s="9">
        <f t="shared" si="6"/>
        <v>33000</v>
      </c>
      <c r="F27" s="9">
        <v>13105</v>
      </c>
      <c r="G27" s="466">
        <f t="shared" si="2"/>
        <v>0.3971212121212121</v>
      </c>
    </row>
    <row r="28" spans="1:18" x14ac:dyDescent="0.25">
      <c r="A28" s="115">
        <v>223</v>
      </c>
      <c r="B28" s="116" t="s">
        <v>23</v>
      </c>
      <c r="C28" s="9">
        <v>21460</v>
      </c>
      <c r="D28" s="9">
        <v>21460</v>
      </c>
      <c r="E28" s="9">
        <v>21460</v>
      </c>
      <c r="F28" s="9">
        <v>4465</v>
      </c>
      <c r="G28" s="466">
        <f t="shared" si="2"/>
        <v>0.20806150978564772</v>
      </c>
    </row>
    <row r="29" spans="1:18" x14ac:dyDescent="0.25">
      <c r="A29" s="115">
        <v>223</v>
      </c>
      <c r="B29" s="116" t="s">
        <v>24</v>
      </c>
      <c r="C29" s="9">
        <v>18000</v>
      </c>
      <c r="D29" s="9">
        <v>18000</v>
      </c>
      <c r="E29" s="9">
        <v>18000</v>
      </c>
      <c r="F29" s="9">
        <v>4820</v>
      </c>
      <c r="G29" s="466">
        <f t="shared" si="2"/>
        <v>0.26777777777777778</v>
      </c>
    </row>
    <row r="30" spans="1:18" x14ac:dyDescent="0.25">
      <c r="A30" s="115">
        <v>223</v>
      </c>
      <c r="B30" s="116" t="s">
        <v>222</v>
      </c>
      <c r="C30" s="9">
        <v>240</v>
      </c>
      <c r="D30" s="9">
        <v>240</v>
      </c>
      <c r="E30" s="9">
        <v>240</v>
      </c>
      <c r="F30" s="9">
        <v>10</v>
      </c>
      <c r="G30" s="466">
        <f t="shared" si="2"/>
        <v>4.1666666666666664E-2</v>
      </c>
    </row>
    <row r="31" spans="1:18" x14ac:dyDescent="0.25">
      <c r="A31" s="115">
        <v>223</v>
      </c>
      <c r="B31" s="116" t="s">
        <v>25</v>
      </c>
      <c r="C31" s="9">
        <v>2000</v>
      </c>
      <c r="D31" s="9">
        <v>2000</v>
      </c>
      <c r="E31" s="9">
        <v>2000</v>
      </c>
      <c r="F31" s="9">
        <v>510</v>
      </c>
      <c r="G31" s="466">
        <f t="shared" si="2"/>
        <v>0.255</v>
      </c>
    </row>
    <row r="32" spans="1:18" x14ac:dyDescent="0.25">
      <c r="A32" s="164">
        <v>223</v>
      </c>
      <c r="B32" s="165" t="s">
        <v>187</v>
      </c>
      <c r="C32" s="271">
        <v>50000</v>
      </c>
      <c r="D32" s="271">
        <v>50000</v>
      </c>
      <c r="E32" s="271">
        <v>50000</v>
      </c>
      <c r="F32" s="271">
        <v>10922</v>
      </c>
      <c r="G32" s="466">
        <f t="shared" si="2"/>
        <v>0.21844</v>
      </c>
      <c r="H32" s="123">
        <f>SUM(C20:C33)</f>
        <v>180900</v>
      </c>
      <c r="I32" s="123">
        <f>SUM(D20:D33)</f>
        <v>178900</v>
      </c>
      <c r="J32" s="123">
        <f t="shared" ref="J32" si="7">SUM(F20:F33)</f>
        <v>38136</v>
      </c>
      <c r="K32" s="123"/>
      <c r="L32" s="123"/>
      <c r="M32" s="123"/>
      <c r="N32" s="123"/>
      <c r="O32" s="123"/>
      <c r="P32" s="123"/>
      <c r="Q32" s="123"/>
      <c r="R32" s="123"/>
    </row>
    <row r="33" spans="1:15" ht="15.75" thickBot="1" x14ac:dyDescent="0.3">
      <c r="A33" s="117">
        <v>223</v>
      </c>
      <c r="B33" s="118" t="s">
        <v>26</v>
      </c>
      <c r="C33" s="12">
        <v>100</v>
      </c>
      <c r="D33" s="12">
        <v>100</v>
      </c>
      <c r="E33" s="12">
        <v>100</v>
      </c>
      <c r="F33" s="12">
        <v>0</v>
      </c>
      <c r="G33" s="466">
        <f t="shared" si="2"/>
        <v>0</v>
      </c>
      <c r="H33" s="123">
        <f>SUM(C18:C33)</f>
        <v>185900</v>
      </c>
      <c r="I33" s="123">
        <f>SUM(D18:D33)</f>
        <v>183900</v>
      </c>
      <c r="J33" s="123">
        <f t="shared" ref="J33" si="8">SUM(F18:F33)</f>
        <v>39902</v>
      </c>
      <c r="K33" s="123"/>
      <c r="L33" s="123"/>
      <c r="M33" s="123"/>
      <c r="N33" s="123"/>
      <c r="O33" s="123"/>
    </row>
    <row r="34" spans="1:15" ht="15.75" thickBot="1" x14ac:dyDescent="0.3">
      <c r="A34" s="496" t="s">
        <v>27</v>
      </c>
      <c r="B34" s="497"/>
      <c r="C34" s="1">
        <f t="shared" ref="C34:F34" si="9">SUM(C35)</f>
        <v>400</v>
      </c>
      <c r="D34" s="1">
        <f t="shared" si="9"/>
        <v>400</v>
      </c>
      <c r="E34" s="1">
        <f t="shared" si="9"/>
        <v>400</v>
      </c>
      <c r="F34" s="1">
        <f t="shared" si="9"/>
        <v>110</v>
      </c>
      <c r="G34" s="466">
        <f t="shared" si="2"/>
        <v>0.27500000000000002</v>
      </c>
      <c r="H34" s="123"/>
      <c r="I34" s="123"/>
      <c r="J34" s="123"/>
      <c r="K34" s="123"/>
      <c r="L34" s="123"/>
      <c r="M34" s="123"/>
      <c r="N34" s="123"/>
      <c r="O34" s="123"/>
    </row>
    <row r="35" spans="1:15" ht="15.75" thickBot="1" x14ac:dyDescent="0.3">
      <c r="A35" s="124">
        <v>240</v>
      </c>
      <c r="B35" s="125" t="s">
        <v>28</v>
      </c>
      <c r="C35" s="10">
        <v>400</v>
      </c>
      <c r="D35" s="10">
        <v>400</v>
      </c>
      <c r="E35" s="10">
        <v>400</v>
      </c>
      <c r="F35" s="10">
        <v>110</v>
      </c>
      <c r="G35" s="466">
        <f t="shared" si="2"/>
        <v>0.27500000000000002</v>
      </c>
    </row>
    <row r="36" spans="1:15" ht="15.75" thickBot="1" x14ac:dyDescent="0.3">
      <c r="A36" s="496" t="s">
        <v>29</v>
      </c>
      <c r="B36" s="497"/>
      <c r="C36" s="1">
        <f t="shared" ref="C36:F36" si="10">SUM(C37:C43)</f>
        <v>28250</v>
      </c>
      <c r="D36" s="1">
        <f t="shared" si="10"/>
        <v>31212</v>
      </c>
      <c r="E36" s="1">
        <f t="shared" ref="E36" si="11">SUM(E37:E43)</f>
        <v>31212</v>
      </c>
      <c r="F36" s="1">
        <f t="shared" si="10"/>
        <v>6037</v>
      </c>
      <c r="G36" s="466">
        <f t="shared" si="2"/>
        <v>0.19341919774445726</v>
      </c>
    </row>
    <row r="37" spans="1:15" x14ac:dyDescent="0.25">
      <c r="A37" s="13">
        <v>292</v>
      </c>
      <c r="B37" s="14" t="s">
        <v>30</v>
      </c>
      <c r="C37" s="15">
        <v>0</v>
      </c>
      <c r="D37" s="15">
        <v>0</v>
      </c>
      <c r="E37" s="15">
        <v>0</v>
      </c>
      <c r="F37" s="15">
        <v>0</v>
      </c>
      <c r="G37" s="466">
        <v>0</v>
      </c>
    </row>
    <row r="38" spans="1:15" x14ac:dyDescent="0.25">
      <c r="A38" s="13">
        <v>292</v>
      </c>
      <c r="B38" s="14" t="s">
        <v>31</v>
      </c>
      <c r="C38" s="15">
        <v>400</v>
      </c>
      <c r="D38" s="15">
        <v>400</v>
      </c>
      <c r="E38" s="15">
        <v>400</v>
      </c>
      <c r="F38" s="15">
        <v>105</v>
      </c>
      <c r="G38" s="466">
        <f t="shared" si="2"/>
        <v>0.26250000000000001</v>
      </c>
    </row>
    <row r="39" spans="1:15" x14ac:dyDescent="0.25">
      <c r="A39" s="16">
        <v>292</v>
      </c>
      <c r="B39" s="17" t="s">
        <v>176</v>
      </c>
      <c r="C39" s="168">
        <v>0</v>
      </c>
      <c r="D39" s="465">
        <v>2950</v>
      </c>
      <c r="E39" s="168">
        <v>2950</v>
      </c>
      <c r="F39" s="168">
        <v>2949</v>
      </c>
      <c r="G39" s="466">
        <f t="shared" si="2"/>
        <v>0.99966101694915255</v>
      </c>
    </row>
    <row r="40" spans="1:15" x14ac:dyDescent="0.25">
      <c r="A40" s="16">
        <v>292</v>
      </c>
      <c r="B40" s="17" t="s">
        <v>177</v>
      </c>
      <c r="C40" s="18">
        <v>10000</v>
      </c>
      <c r="D40" s="18">
        <v>10000</v>
      </c>
      <c r="E40" s="18">
        <v>10000</v>
      </c>
      <c r="F40" s="18">
        <v>145</v>
      </c>
      <c r="G40" s="466">
        <f t="shared" si="2"/>
        <v>1.4500000000000001E-2</v>
      </c>
    </row>
    <row r="41" spans="1:15" x14ac:dyDescent="0.25">
      <c r="A41" s="16">
        <v>292</v>
      </c>
      <c r="B41" s="116" t="s">
        <v>32</v>
      </c>
      <c r="C41" s="171">
        <v>240</v>
      </c>
      <c r="D41" s="460">
        <f>240+12</f>
        <v>252</v>
      </c>
      <c r="E41" s="171">
        <f>240+12</f>
        <v>252</v>
      </c>
      <c r="F41" s="171">
        <v>0</v>
      </c>
      <c r="G41" s="466">
        <f t="shared" si="2"/>
        <v>0</v>
      </c>
    </row>
    <row r="42" spans="1:15" x14ac:dyDescent="0.25">
      <c r="A42" s="16">
        <v>292</v>
      </c>
      <c r="B42" s="17" t="s">
        <v>33</v>
      </c>
      <c r="C42" s="18">
        <f>17710-240</f>
        <v>17470</v>
      </c>
      <c r="D42" s="18">
        <f>17710+12-D41</f>
        <v>17470</v>
      </c>
      <c r="E42" s="18">
        <f>17710+12-E41</f>
        <v>17470</v>
      </c>
      <c r="F42" s="18">
        <v>2698</v>
      </c>
      <c r="G42" s="466">
        <f t="shared" si="2"/>
        <v>0.15443617630223239</v>
      </c>
    </row>
    <row r="43" spans="1:15" ht="15.75" thickBot="1" x14ac:dyDescent="0.3">
      <c r="A43" s="16">
        <v>292</v>
      </c>
      <c r="B43" s="17" t="s">
        <v>235</v>
      </c>
      <c r="C43" s="18">
        <v>140</v>
      </c>
      <c r="D43" s="18">
        <v>140</v>
      </c>
      <c r="E43" s="18">
        <v>140</v>
      </c>
      <c r="F43" s="18">
        <v>140</v>
      </c>
      <c r="G43" s="466">
        <f t="shared" si="2"/>
        <v>1</v>
      </c>
    </row>
    <row r="44" spans="1:15" ht="15.75" thickBot="1" x14ac:dyDescent="0.3">
      <c r="A44" s="19" t="s">
        <v>34</v>
      </c>
      <c r="B44" s="20"/>
      <c r="C44" s="1">
        <f>SUM(C45:C69)</f>
        <v>694110</v>
      </c>
      <c r="D44" s="1">
        <f>SUM(D45:D69)</f>
        <v>713823</v>
      </c>
      <c r="E44" s="1">
        <f>SUM(E45:E69)</f>
        <v>720268</v>
      </c>
      <c r="F44" s="1">
        <f>SUM(F45:F69)</f>
        <v>157877</v>
      </c>
      <c r="G44" s="466">
        <f t="shared" si="2"/>
        <v>0.21919202296922813</v>
      </c>
    </row>
    <row r="45" spans="1:15" x14ac:dyDescent="0.25">
      <c r="A45" s="21">
        <v>311</v>
      </c>
      <c r="B45" s="22" t="s">
        <v>178</v>
      </c>
      <c r="C45" s="23">
        <v>0</v>
      </c>
      <c r="D45" s="23">
        <v>0</v>
      </c>
      <c r="E45" s="23">
        <v>0</v>
      </c>
      <c r="F45" s="23">
        <v>0</v>
      </c>
      <c r="G45" s="466">
        <v>0</v>
      </c>
    </row>
    <row r="46" spans="1:15" x14ac:dyDescent="0.25">
      <c r="A46" s="21">
        <v>311</v>
      </c>
      <c r="B46" s="22" t="s">
        <v>212</v>
      </c>
      <c r="C46" s="23">
        <v>0</v>
      </c>
      <c r="D46" s="461">
        <v>460</v>
      </c>
      <c r="E46" s="23">
        <v>460</v>
      </c>
      <c r="F46" s="23">
        <v>0</v>
      </c>
      <c r="G46" s="466">
        <f t="shared" si="2"/>
        <v>0</v>
      </c>
    </row>
    <row r="47" spans="1:15" x14ac:dyDescent="0.25">
      <c r="A47" s="21">
        <v>312</v>
      </c>
      <c r="B47" s="22" t="s">
        <v>236</v>
      </c>
      <c r="C47" s="23">
        <v>8220</v>
      </c>
      <c r="D47" s="23">
        <v>8220</v>
      </c>
      <c r="E47" s="23">
        <v>8220</v>
      </c>
      <c r="F47" s="23">
        <v>1298</v>
      </c>
      <c r="G47" s="466">
        <f t="shared" si="2"/>
        <v>0.15790754257907544</v>
      </c>
    </row>
    <row r="48" spans="1:15" x14ac:dyDescent="0.25">
      <c r="A48" s="21">
        <v>312</v>
      </c>
      <c r="B48" s="22" t="s">
        <v>35</v>
      </c>
      <c r="C48" s="23">
        <v>4000</v>
      </c>
      <c r="D48" s="461">
        <f>4000+2100</f>
        <v>6100</v>
      </c>
      <c r="E48" s="461">
        <f>4000+2100+145</f>
        <v>6245</v>
      </c>
      <c r="F48" s="23">
        <v>4071</v>
      </c>
      <c r="G48" s="466">
        <f t="shared" si="2"/>
        <v>0.65188150520416333</v>
      </c>
    </row>
    <row r="49" spans="1:7" x14ac:dyDescent="0.25">
      <c r="A49" s="24">
        <v>312</v>
      </c>
      <c r="B49" s="116" t="s">
        <v>36</v>
      </c>
      <c r="C49" s="7">
        <v>7200</v>
      </c>
      <c r="D49" s="7">
        <v>7200</v>
      </c>
      <c r="E49" s="7">
        <v>7200</v>
      </c>
      <c r="F49" s="7">
        <v>5840</v>
      </c>
      <c r="G49" s="466">
        <f t="shared" si="2"/>
        <v>0.81111111111111112</v>
      </c>
    </row>
    <row r="50" spans="1:7" x14ac:dyDescent="0.25">
      <c r="A50" s="24">
        <v>312</v>
      </c>
      <c r="B50" s="116" t="s">
        <v>37</v>
      </c>
      <c r="C50" s="7">
        <v>1000</v>
      </c>
      <c r="D50" s="7">
        <v>1000</v>
      </c>
      <c r="E50" s="7">
        <v>1000</v>
      </c>
      <c r="F50" s="7">
        <v>101</v>
      </c>
      <c r="G50" s="466">
        <f t="shared" si="2"/>
        <v>0.10100000000000001</v>
      </c>
    </row>
    <row r="51" spans="1:7" x14ac:dyDescent="0.25">
      <c r="A51" s="24">
        <v>312</v>
      </c>
      <c r="B51" s="25" t="s">
        <v>166</v>
      </c>
      <c r="C51" s="26">
        <v>14440</v>
      </c>
      <c r="D51" s="26">
        <v>14440</v>
      </c>
      <c r="E51" s="26">
        <v>14440</v>
      </c>
      <c r="F51" s="26">
        <v>474</v>
      </c>
      <c r="G51" s="466">
        <f t="shared" si="2"/>
        <v>3.2825484764542938E-2</v>
      </c>
    </row>
    <row r="52" spans="1:7" x14ac:dyDescent="0.25">
      <c r="A52" s="24">
        <v>312</v>
      </c>
      <c r="B52" s="25" t="s">
        <v>238</v>
      </c>
      <c r="C52" s="26">
        <v>3800</v>
      </c>
      <c r="D52" s="26">
        <v>3800</v>
      </c>
      <c r="E52" s="26">
        <v>3800</v>
      </c>
      <c r="F52" s="26">
        <v>0</v>
      </c>
      <c r="G52" s="466">
        <f t="shared" si="2"/>
        <v>0</v>
      </c>
    </row>
    <row r="53" spans="1:7" x14ac:dyDescent="0.25">
      <c r="A53" s="24">
        <v>312</v>
      </c>
      <c r="B53" s="25" t="s">
        <v>237</v>
      </c>
      <c r="C53" s="26">
        <v>950</v>
      </c>
      <c r="D53" s="26">
        <v>950</v>
      </c>
      <c r="E53" s="26">
        <v>950</v>
      </c>
      <c r="F53" s="26">
        <v>0</v>
      </c>
      <c r="G53" s="466">
        <f t="shared" si="2"/>
        <v>0</v>
      </c>
    </row>
    <row r="54" spans="1:7" x14ac:dyDescent="0.25">
      <c r="A54" s="21">
        <v>312</v>
      </c>
      <c r="B54" s="22" t="s">
        <v>349</v>
      </c>
      <c r="C54" s="23">
        <v>0</v>
      </c>
      <c r="D54" s="461">
        <v>30</v>
      </c>
      <c r="E54" s="23">
        <v>30</v>
      </c>
      <c r="F54" s="23">
        <v>30</v>
      </c>
      <c r="G54" s="466">
        <f t="shared" si="2"/>
        <v>1</v>
      </c>
    </row>
    <row r="55" spans="1:7" x14ac:dyDescent="0.25">
      <c r="A55" s="21">
        <v>312</v>
      </c>
      <c r="B55" s="22" t="s">
        <v>402</v>
      </c>
      <c r="C55" s="23">
        <v>0</v>
      </c>
      <c r="D55" s="23">
        <v>0</v>
      </c>
      <c r="E55" s="461">
        <v>300</v>
      </c>
      <c r="F55" s="23">
        <v>30</v>
      </c>
      <c r="G55" s="466">
        <f t="shared" si="2"/>
        <v>0.1</v>
      </c>
    </row>
    <row r="56" spans="1:7" x14ac:dyDescent="0.25">
      <c r="A56" s="24">
        <v>312</v>
      </c>
      <c r="B56" s="25" t="s">
        <v>38</v>
      </c>
      <c r="C56" s="7">
        <v>18300</v>
      </c>
      <c r="D56" s="7">
        <v>18300</v>
      </c>
      <c r="E56" s="7">
        <v>18300</v>
      </c>
      <c r="F56" s="7">
        <v>4460</v>
      </c>
      <c r="G56" s="466">
        <f t="shared" si="2"/>
        <v>0.24371584699453552</v>
      </c>
    </row>
    <row r="57" spans="1:7" x14ac:dyDescent="0.25">
      <c r="A57" s="24">
        <v>312</v>
      </c>
      <c r="B57" s="25" t="s">
        <v>39</v>
      </c>
      <c r="C57" s="7">
        <v>8700</v>
      </c>
      <c r="D57" s="7">
        <v>8700</v>
      </c>
      <c r="E57" s="7">
        <v>8700</v>
      </c>
      <c r="F57" s="7">
        <v>2175</v>
      </c>
      <c r="G57" s="466">
        <f t="shared" si="2"/>
        <v>0.25</v>
      </c>
    </row>
    <row r="58" spans="1:7" x14ac:dyDescent="0.25">
      <c r="A58" s="24">
        <v>312</v>
      </c>
      <c r="B58" s="25" t="s">
        <v>40</v>
      </c>
      <c r="C58" s="7">
        <v>7900</v>
      </c>
      <c r="D58" s="7">
        <v>7900</v>
      </c>
      <c r="E58" s="7">
        <v>7900</v>
      </c>
      <c r="F58" s="7">
        <v>1100</v>
      </c>
      <c r="G58" s="466">
        <f t="shared" si="2"/>
        <v>0.13924050632911392</v>
      </c>
    </row>
    <row r="59" spans="1:7" x14ac:dyDescent="0.25">
      <c r="A59" s="24">
        <v>312</v>
      </c>
      <c r="B59" s="25" t="s">
        <v>179</v>
      </c>
      <c r="C59" s="7">
        <v>0</v>
      </c>
      <c r="D59" s="7">
        <v>0</v>
      </c>
      <c r="E59" s="7">
        <v>0</v>
      </c>
      <c r="F59" s="7">
        <v>0</v>
      </c>
      <c r="G59" s="466">
        <v>0</v>
      </c>
    </row>
    <row r="60" spans="1:7" x14ac:dyDescent="0.25">
      <c r="A60" s="24">
        <v>312</v>
      </c>
      <c r="B60" s="25" t="s">
        <v>213</v>
      </c>
      <c r="C60" s="7">
        <v>0</v>
      </c>
      <c r="D60" s="7">
        <v>0</v>
      </c>
      <c r="E60" s="7">
        <v>0</v>
      </c>
      <c r="F60" s="7">
        <v>0</v>
      </c>
      <c r="G60" s="466">
        <v>0</v>
      </c>
    </row>
    <row r="61" spans="1:7" x14ac:dyDescent="0.25">
      <c r="A61" s="24">
        <v>312</v>
      </c>
      <c r="B61" s="25" t="s">
        <v>41</v>
      </c>
      <c r="C61" s="7">
        <v>3000</v>
      </c>
      <c r="D61" s="7">
        <v>3000</v>
      </c>
      <c r="E61" s="7">
        <v>3000</v>
      </c>
      <c r="F61" s="7">
        <v>0</v>
      </c>
      <c r="G61" s="466">
        <f t="shared" si="2"/>
        <v>0</v>
      </c>
    </row>
    <row r="62" spans="1:7" x14ac:dyDescent="0.25">
      <c r="A62" s="27">
        <v>312</v>
      </c>
      <c r="B62" s="22" t="s">
        <v>180</v>
      </c>
      <c r="C62" s="28">
        <v>0</v>
      </c>
      <c r="D62" s="462">
        <v>4000</v>
      </c>
      <c r="E62" s="28">
        <v>4000</v>
      </c>
      <c r="F62" s="28">
        <v>0</v>
      </c>
      <c r="G62" s="466">
        <f t="shared" si="2"/>
        <v>0</v>
      </c>
    </row>
    <row r="63" spans="1:7" x14ac:dyDescent="0.25">
      <c r="A63" s="27">
        <v>312</v>
      </c>
      <c r="B63" s="22" t="s">
        <v>443</v>
      </c>
      <c r="C63" s="28">
        <v>0</v>
      </c>
      <c r="D63" s="28">
        <v>0</v>
      </c>
      <c r="E63" s="462">
        <v>6000</v>
      </c>
      <c r="F63" s="28">
        <v>0</v>
      </c>
      <c r="G63" s="466">
        <v>0</v>
      </c>
    </row>
    <row r="64" spans="1:7" x14ac:dyDescent="0.25">
      <c r="A64" s="29">
        <v>312</v>
      </c>
      <c r="B64" s="116" t="s">
        <v>42</v>
      </c>
      <c r="C64" s="170">
        <v>4430</v>
      </c>
      <c r="D64" s="464">
        <f>4430-130</f>
        <v>4300</v>
      </c>
      <c r="E64" s="170">
        <f>4430-130</f>
        <v>4300</v>
      </c>
      <c r="F64" s="170">
        <v>4132</v>
      </c>
      <c r="G64" s="466">
        <f t="shared" si="2"/>
        <v>0.96093023255813959</v>
      </c>
    </row>
    <row r="65" spans="1:10" x14ac:dyDescent="0.25">
      <c r="A65" s="29">
        <v>312</v>
      </c>
      <c r="B65" s="126" t="s">
        <v>43</v>
      </c>
      <c r="C65" s="9">
        <v>3700</v>
      </c>
      <c r="D65" s="459">
        <f>3700-200</f>
        <v>3500</v>
      </c>
      <c r="E65" s="9">
        <f>3700-200</f>
        <v>3500</v>
      </c>
      <c r="F65" s="9">
        <v>0</v>
      </c>
      <c r="G65" s="466">
        <f t="shared" si="2"/>
        <v>0</v>
      </c>
    </row>
    <row r="66" spans="1:10" x14ac:dyDescent="0.25">
      <c r="A66" s="29">
        <v>312</v>
      </c>
      <c r="B66" s="30" t="s">
        <v>44</v>
      </c>
      <c r="C66" s="170">
        <v>3000</v>
      </c>
      <c r="D66" s="464">
        <f>3000-470</f>
        <v>2530</v>
      </c>
      <c r="E66" s="170">
        <f>3000-470</f>
        <v>2530</v>
      </c>
      <c r="F66" s="170">
        <v>1685</v>
      </c>
      <c r="G66" s="466">
        <f t="shared" si="2"/>
        <v>0.66600790513833996</v>
      </c>
    </row>
    <row r="67" spans="1:10" ht="15.75" customHeight="1" x14ac:dyDescent="0.25">
      <c r="A67" s="24">
        <v>312</v>
      </c>
      <c r="B67" s="25" t="s">
        <v>181</v>
      </c>
      <c r="C67" s="216">
        <v>102200</v>
      </c>
      <c r="D67" s="216">
        <v>102200</v>
      </c>
      <c r="E67" s="216">
        <v>102200</v>
      </c>
      <c r="F67" s="216">
        <v>0</v>
      </c>
      <c r="G67" s="466">
        <f t="shared" si="2"/>
        <v>0</v>
      </c>
    </row>
    <row r="68" spans="1:10" x14ac:dyDescent="0.25">
      <c r="A68" s="24">
        <v>312</v>
      </c>
      <c r="B68" s="25" t="s">
        <v>239</v>
      </c>
      <c r="C68" s="216">
        <v>31000</v>
      </c>
      <c r="D68" s="463">
        <f>31000+104</f>
        <v>31104</v>
      </c>
      <c r="E68" s="216">
        <f>31000+104</f>
        <v>31104</v>
      </c>
      <c r="F68" s="216">
        <v>7776</v>
      </c>
      <c r="G68" s="466">
        <f t="shared" si="2"/>
        <v>0.25</v>
      </c>
    </row>
    <row r="69" spans="1:10" ht="16.5" thickBot="1" x14ac:dyDescent="0.3">
      <c r="A69" s="241">
        <v>312</v>
      </c>
      <c r="B69" s="242" t="s">
        <v>270</v>
      </c>
      <c r="C69" s="218">
        <f>440000+32270</f>
        <v>472270</v>
      </c>
      <c r="D69" s="218">
        <f>440000+32270+13819</f>
        <v>486089</v>
      </c>
      <c r="E69" s="218">
        <f>440000+32270+13819</f>
        <v>486089</v>
      </c>
      <c r="F69" s="218">
        <v>124705</v>
      </c>
      <c r="G69" s="466">
        <f t="shared" ref="G69:G77" si="12">F69/E69</f>
        <v>0.25654766925398437</v>
      </c>
      <c r="H69" s="123"/>
    </row>
    <row r="70" spans="1:10" ht="16.5" thickBot="1" x14ac:dyDescent="0.3">
      <c r="A70" s="31" t="s">
        <v>45</v>
      </c>
      <c r="B70" s="127"/>
      <c r="C70" s="32">
        <f>SUM(C4+C12+C34+C36+C44)</f>
        <v>2092580</v>
      </c>
      <c r="D70" s="32">
        <f>SUM(D4+D12+D34+D36+D44)</f>
        <v>2136130</v>
      </c>
      <c r="E70" s="32">
        <f>SUM(E4+E12+E34+E36+E44)</f>
        <v>2143075</v>
      </c>
      <c r="F70" s="32">
        <f>SUM(F4+F12+F34+F36+F44)</f>
        <v>551634</v>
      </c>
      <c r="G70" s="466">
        <f t="shared" si="12"/>
        <v>0.25740303069187964</v>
      </c>
      <c r="H70" s="123">
        <f>D70-C70</f>
        <v>43550</v>
      </c>
      <c r="I70" s="123">
        <f>E70-D70</f>
        <v>6945</v>
      </c>
      <c r="J70" s="123"/>
    </row>
    <row r="71" spans="1:10" x14ac:dyDescent="0.25">
      <c r="A71" s="243" t="s">
        <v>46</v>
      </c>
      <c r="B71" s="244" t="s">
        <v>269</v>
      </c>
      <c r="C71" s="217">
        <v>3000</v>
      </c>
      <c r="D71" s="217">
        <v>3000</v>
      </c>
      <c r="E71" s="217">
        <v>3000</v>
      </c>
      <c r="F71" s="217">
        <f>292+1275</f>
        <v>1567</v>
      </c>
      <c r="G71" s="466">
        <f t="shared" si="12"/>
        <v>0.52233333333333332</v>
      </c>
      <c r="H71" s="123"/>
      <c r="I71" s="123"/>
      <c r="J71" s="123"/>
    </row>
    <row r="72" spans="1:10" ht="15.75" customHeight="1" x14ac:dyDescent="0.25">
      <c r="A72" s="359" t="s">
        <v>46</v>
      </c>
      <c r="B72" s="244" t="s">
        <v>263</v>
      </c>
      <c r="C72" s="360">
        <v>1320</v>
      </c>
      <c r="D72" s="360">
        <v>1320</v>
      </c>
      <c r="E72" s="360">
        <v>1320</v>
      </c>
      <c r="F72" s="360">
        <v>0</v>
      </c>
      <c r="G72" s="466">
        <f t="shared" si="12"/>
        <v>0</v>
      </c>
      <c r="H72" s="123"/>
      <c r="I72" s="123"/>
      <c r="J72" s="123"/>
    </row>
    <row r="73" spans="1:10" ht="15.75" customHeight="1" thickBot="1" x14ac:dyDescent="0.3">
      <c r="A73" s="245" t="s">
        <v>46</v>
      </c>
      <c r="B73" s="246" t="s">
        <v>229</v>
      </c>
      <c r="C73" s="234">
        <v>54240</v>
      </c>
      <c r="D73" s="234">
        <v>54240</v>
      </c>
      <c r="E73" s="234">
        <v>54240</v>
      </c>
      <c r="F73" s="234">
        <v>0</v>
      </c>
      <c r="G73" s="466">
        <f t="shared" si="12"/>
        <v>0</v>
      </c>
      <c r="H73" s="123"/>
      <c r="I73" s="123"/>
      <c r="J73" s="123"/>
    </row>
    <row r="74" spans="1:10" ht="15.75" thickBot="1" x14ac:dyDescent="0.3">
      <c r="A74" s="668" t="s">
        <v>277</v>
      </c>
      <c r="B74" s="669"/>
      <c r="C74" s="369">
        <f t="shared" ref="C74:F74" si="13">SUM(C71:C73)</f>
        <v>58560</v>
      </c>
      <c r="D74" s="369">
        <f t="shared" si="13"/>
        <v>58560</v>
      </c>
      <c r="E74" s="369">
        <f t="shared" ref="E74" si="14">SUM(E71:E73)</f>
        <v>58560</v>
      </c>
      <c r="F74" s="369">
        <f t="shared" si="13"/>
        <v>1567</v>
      </c>
      <c r="G74" s="466">
        <f t="shared" si="12"/>
        <v>2.6758879781420764E-2</v>
      </c>
      <c r="H74" s="123">
        <f t="shared" ref="H74:I77" si="15">D74-C74</f>
        <v>0</v>
      </c>
      <c r="I74" s="123">
        <f t="shared" si="15"/>
        <v>0</v>
      </c>
      <c r="J74" s="123"/>
    </row>
    <row r="75" spans="1:10" ht="14.25" customHeight="1" thickBot="1" x14ac:dyDescent="0.3">
      <c r="A75" s="267" t="s">
        <v>46</v>
      </c>
      <c r="B75" s="268" t="s">
        <v>278</v>
      </c>
      <c r="C75" s="269">
        <v>9770</v>
      </c>
      <c r="D75" s="269">
        <v>9770</v>
      </c>
      <c r="E75" s="269">
        <v>9770</v>
      </c>
      <c r="F75" s="269">
        <v>3665</v>
      </c>
      <c r="G75" s="466">
        <f t="shared" si="12"/>
        <v>0.37512794268167859</v>
      </c>
      <c r="H75" s="123">
        <f t="shared" si="15"/>
        <v>0</v>
      </c>
      <c r="I75" s="123">
        <f t="shared" si="15"/>
        <v>0</v>
      </c>
      <c r="J75" s="123"/>
    </row>
    <row r="76" spans="1:10" ht="17.25" customHeight="1" thickBot="1" x14ac:dyDescent="0.3">
      <c r="A76" s="670" t="s">
        <v>182</v>
      </c>
      <c r="B76" s="671"/>
      <c r="C76" s="235">
        <f t="shared" ref="C76:F76" si="16">C74+C75</f>
        <v>68330</v>
      </c>
      <c r="D76" s="235">
        <f t="shared" si="16"/>
        <v>68330</v>
      </c>
      <c r="E76" s="235">
        <f t="shared" ref="E76" si="17">E74+E75</f>
        <v>68330</v>
      </c>
      <c r="F76" s="235">
        <f t="shared" si="16"/>
        <v>5232</v>
      </c>
      <c r="G76" s="466">
        <f t="shared" si="12"/>
        <v>7.656958876042734E-2</v>
      </c>
      <c r="H76" s="123">
        <f t="shared" si="15"/>
        <v>0</v>
      </c>
      <c r="I76" s="123">
        <f t="shared" si="15"/>
        <v>0</v>
      </c>
      <c r="J76" s="123"/>
    </row>
    <row r="77" spans="1:10" ht="27" customHeight="1" thickBot="1" x14ac:dyDescent="0.3">
      <c r="A77" s="31" t="s">
        <v>47</v>
      </c>
      <c r="B77" s="20"/>
      <c r="C77" s="32">
        <f t="shared" ref="C77:F77" si="18">C70+C76</f>
        <v>2160910</v>
      </c>
      <c r="D77" s="32">
        <f t="shared" si="18"/>
        <v>2204460</v>
      </c>
      <c r="E77" s="32">
        <f t="shared" ref="E77" si="19">E70+E76</f>
        <v>2211405</v>
      </c>
      <c r="F77" s="32">
        <f t="shared" si="18"/>
        <v>556866</v>
      </c>
      <c r="G77" s="466">
        <f t="shared" si="12"/>
        <v>0.25181547477734745</v>
      </c>
      <c r="H77" s="123">
        <f t="shared" si="15"/>
        <v>43550</v>
      </c>
      <c r="I77" s="123">
        <f t="shared" si="15"/>
        <v>6945</v>
      </c>
    </row>
    <row r="78" spans="1:10" ht="24.75" customHeight="1" x14ac:dyDescent="0.25">
      <c r="C78" s="214"/>
      <c r="D78" s="214"/>
      <c r="E78" s="214"/>
      <c r="F78" s="214"/>
      <c r="G78" s="35"/>
    </row>
    <row r="79" spans="1:10" ht="16.5" customHeight="1" x14ac:dyDescent="0.25">
      <c r="A79" s="33"/>
      <c r="B79" s="34"/>
      <c r="C79" s="35"/>
      <c r="D79" s="35"/>
      <c r="E79" s="35"/>
      <c r="F79" s="35"/>
    </row>
    <row r="80" spans="1:10" ht="15" customHeight="1" thickBot="1" x14ac:dyDescent="0.3">
      <c r="A80" s="672" t="s">
        <v>48</v>
      </c>
      <c r="B80" s="673"/>
      <c r="C80" s="673"/>
      <c r="D80" s="673"/>
      <c r="E80" s="673"/>
      <c r="F80" s="673"/>
    </row>
    <row r="81" spans="1:7" ht="15" customHeight="1" x14ac:dyDescent="0.25">
      <c r="A81" s="644" t="s">
        <v>1</v>
      </c>
      <c r="B81" s="645"/>
      <c r="C81" s="638" t="s">
        <v>323</v>
      </c>
      <c r="D81" s="638" t="s">
        <v>322</v>
      </c>
      <c r="E81" s="638" t="s">
        <v>408</v>
      </c>
      <c r="F81" s="638" t="s">
        <v>397</v>
      </c>
      <c r="G81" s="666" t="s">
        <v>354</v>
      </c>
    </row>
    <row r="82" spans="1:7" ht="15.75" thickBot="1" x14ac:dyDescent="0.3">
      <c r="A82" s="646"/>
      <c r="B82" s="647"/>
      <c r="C82" s="639"/>
      <c r="D82" s="639"/>
      <c r="E82" s="639"/>
      <c r="F82" s="639"/>
      <c r="G82" s="667"/>
    </row>
    <row r="83" spans="1:7" ht="15.75" thickBot="1" x14ac:dyDescent="0.3">
      <c r="A83" s="36" t="s">
        <v>49</v>
      </c>
      <c r="B83" s="37"/>
      <c r="C83" s="38">
        <f t="shared" ref="C83:F83" si="20">SUM(C84:C88)</f>
        <v>269300</v>
      </c>
      <c r="D83" s="38">
        <f t="shared" si="20"/>
        <v>272000</v>
      </c>
      <c r="E83" s="38">
        <f t="shared" ref="E83" si="21">SUM(E84:E88)</f>
        <v>270845</v>
      </c>
      <c r="F83" s="38">
        <f t="shared" si="20"/>
        <v>50365.31</v>
      </c>
      <c r="G83" s="466">
        <f>F83/E83</f>
        <v>0.18595621111705957</v>
      </c>
    </row>
    <row r="84" spans="1:7" x14ac:dyDescent="0.25">
      <c r="A84" s="135" t="s">
        <v>50</v>
      </c>
      <c r="B84" s="39" t="s">
        <v>51</v>
      </c>
      <c r="C84" s="169">
        <v>121700</v>
      </c>
      <c r="D84" s="492">
        <f>121700+300</f>
        <v>122000</v>
      </c>
      <c r="E84" s="169">
        <f>121700+300</f>
        <v>122000</v>
      </c>
      <c r="F84" s="169">
        <v>22086</v>
      </c>
      <c r="G84" s="466">
        <f t="shared" ref="G84:G147" si="22">F84/E84</f>
        <v>0.18103278688524591</v>
      </c>
    </row>
    <row r="85" spans="1:7" x14ac:dyDescent="0.25">
      <c r="A85" s="136" t="s">
        <v>52</v>
      </c>
      <c r="B85" s="25" t="s">
        <v>173</v>
      </c>
      <c r="C85" s="168">
        <v>86600</v>
      </c>
      <c r="D85" s="465">
        <f>86600+300</f>
        <v>86900</v>
      </c>
      <c r="E85" s="465">
        <f>86600+300-1300</f>
        <v>85600</v>
      </c>
      <c r="F85" s="168">
        <v>15527.31</v>
      </c>
      <c r="G85" s="466">
        <f t="shared" si="22"/>
        <v>0.18139380841121494</v>
      </c>
    </row>
    <row r="86" spans="1:7" x14ac:dyDescent="0.25">
      <c r="A86" s="136" t="s">
        <v>53</v>
      </c>
      <c r="B86" s="25" t="s">
        <v>172</v>
      </c>
      <c r="C86" s="168">
        <v>4000</v>
      </c>
      <c r="D86" s="168">
        <v>4000</v>
      </c>
      <c r="E86" s="168">
        <f>4000</f>
        <v>4000</v>
      </c>
      <c r="F86" s="168">
        <v>479</v>
      </c>
      <c r="G86" s="466">
        <f t="shared" si="22"/>
        <v>0.11975</v>
      </c>
    </row>
    <row r="87" spans="1:7" x14ac:dyDescent="0.25">
      <c r="A87" s="137" t="s">
        <v>54</v>
      </c>
      <c r="B87" s="25" t="s">
        <v>356</v>
      </c>
      <c r="C87" s="168">
        <v>53000</v>
      </c>
      <c r="D87" s="168">
        <f>53000</f>
        <v>53000</v>
      </c>
      <c r="E87" s="168">
        <f>53000</f>
        <v>53000</v>
      </c>
      <c r="F87" s="168">
        <v>8897</v>
      </c>
      <c r="G87" s="466">
        <f t="shared" si="22"/>
        <v>0.16786792452830188</v>
      </c>
    </row>
    <row r="88" spans="1:7" ht="15.75" thickBot="1" x14ac:dyDescent="0.3">
      <c r="A88" s="138" t="s">
        <v>56</v>
      </c>
      <c r="B88" s="3" t="s">
        <v>57</v>
      </c>
      <c r="C88" s="42">
        <v>4000</v>
      </c>
      <c r="D88" s="454">
        <f>4000+2100</f>
        <v>6100</v>
      </c>
      <c r="E88" s="454">
        <f>4000+2100+145</f>
        <v>6245</v>
      </c>
      <c r="F88" s="42">
        <v>3376</v>
      </c>
      <c r="G88" s="466">
        <f t="shared" si="22"/>
        <v>0.54059247397918331</v>
      </c>
    </row>
    <row r="89" spans="1:7" ht="15.75" thickBot="1" x14ac:dyDescent="0.3">
      <c r="A89" s="43" t="s">
        <v>58</v>
      </c>
      <c r="B89" s="44"/>
      <c r="C89" s="38">
        <f t="shared" ref="C89:F89" si="23">SUM(C90)</f>
        <v>1660</v>
      </c>
      <c r="D89" s="38">
        <f t="shared" si="23"/>
        <v>1672</v>
      </c>
      <c r="E89" s="38">
        <f t="shared" si="23"/>
        <v>1672</v>
      </c>
      <c r="F89" s="38">
        <f t="shared" si="23"/>
        <v>0</v>
      </c>
      <c r="G89" s="466">
        <f t="shared" si="22"/>
        <v>0</v>
      </c>
    </row>
    <row r="90" spans="1:7" ht="15.75" thickBot="1" x14ac:dyDescent="0.3">
      <c r="A90" s="139" t="s">
        <v>59</v>
      </c>
      <c r="B90" s="34" t="s">
        <v>60</v>
      </c>
      <c r="C90" s="180">
        <v>1660</v>
      </c>
      <c r="D90" s="476">
        <f>1660+12</f>
        <v>1672</v>
      </c>
      <c r="E90" s="180">
        <f>1660+12</f>
        <v>1672</v>
      </c>
      <c r="F90" s="180">
        <v>0</v>
      </c>
      <c r="G90" s="466">
        <f t="shared" si="22"/>
        <v>0</v>
      </c>
    </row>
    <row r="91" spans="1:7" ht="15.75" thickBot="1" x14ac:dyDescent="0.3">
      <c r="A91" s="43" t="s">
        <v>61</v>
      </c>
      <c r="B91" s="44"/>
      <c r="C91" s="38">
        <f t="shared" ref="C91:F91" si="24">SUM(C92:C93)</f>
        <v>14900</v>
      </c>
      <c r="D91" s="38">
        <f t="shared" si="24"/>
        <v>14900</v>
      </c>
      <c r="E91" s="38">
        <f t="shared" ref="E91" si="25">SUM(E92:E93)</f>
        <v>16200</v>
      </c>
      <c r="F91" s="38">
        <f t="shared" si="24"/>
        <v>622</v>
      </c>
      <c r="G91" s="466">
        <f t="shared" si="22"/>
        <v>3.8395061728395061E-2</v>
      </c>
    </row>
    <row r="92" spans="1:7" x14ac:dyDescent="0.25">
      <c r="A92" s="45" t="s">
        <v>62</v>
      </c>
      <c r="B92" s="46" t="s">
        <v>63</v>
      </c>
      <c r="C92" s="47">
        <v>13600</v>
      </c>
      <c r="D92" s="47">
        <v>13600</v>
      </c>
      <c r="E92" s="478">
        <f>13600+1300</f>
        <v>14900</v>
      </c>
      <c r="F92" s="47">
        <v>370</v>
      </c>
      <c r="G92" s="466">
        <f t="shared" si="22"/>
        <v>2.4832214765100672E-2</v>
      </c>
    </row>
    <row r="93" spans="1:7" ht="15.75" thickBot="1" x14ac:dyDescent="0.3">
      <c r="A93" s="48" t="s">
        <v>64</v>
      </c>
      <c r="B93" s="49" t="s">
        <v>65</v>
      </c>
      <c r="C93" s="50">
        <v>1300</v>
      </c>
      <c r="D93" s="50">
        <v>1300</v>
      </c>
      <c r="E93" s="50">
        <v>1300</v>
      </c>
      <c r="F93" s="50">
        <v>252</v>
      </c>
      <c r="G93" s="466">
        <f t="shared" si="22"/>
        <v>0.19384615384615383</v>
      </c>
    </row>
    <row r="94" spans="1:7" ht="15.75" thickBot="1" x14ac:dyDescent="0.3">
      <c r="A94" s="36" t="s">
        <v>66</v>
      </c>
      <c r="B94" s="140"/>
      <c r="C94" s="38">
        <f t="shared" ref="C94:F94" si="26">SUM(C95:C98)</f>
        <v>66150</v>
      </c>
      <c r="D94" s="38">
        <f t="shared" si="26"/>
        <v>81870</v>
      </c>
      <c r="E94" s="38">
        <f t="shared" ref="E94" si="27">SUM(E95:E98)</f>
        <v>79870</v>
      </c>
      <c r="F94" s="38">
        <f t="shared" si="26"/>
        <v>15505</v>
      </c>
      <c r="G94" s="466">
        <f t="shared" si="22"/>
        <v>0.19412795793163892</v>
      </c>
    </row>
    <row r="95" spans="1:7" x14ac:dyDescent="0.25">
      <c r="A95" s="51" t="s">
        <v>67</v>
      </c>
      <c r="B95" s="14" t="s">
        <v>68</v>
      </c>
      <c r="C95" s="15">
        <v>20200</v>
      </c>
      <c r="D95" s="15">
        <v>20200</v>
      </c>
      <c r="E95" s="15">
        <v>20200</v>
      </c>
      <c r="F95" s="15">
        <v>2689</v>
      </c>
      <c r="G95" s="466">
        <f t="shared" si="22"/>
        <v>0.13311881188118813</v>
      </c>
    </row>
    <row r="96" spans="1:7" x14ac:dyDescent="0.25">
      <c r="A96" s="137" t="s">
        <v>69</v>
      </c>
      <c r="B96" s="25" t="s">
        <v>70</v>
      </c>
      <c r="C96" s="41">
        <v>20800</v>
      </c>
      <c r="D96" s="477">
        <f>20800+17000-1500</f>
        <v>36300</v>
      </c>
      <c r="E96" s="477">
        <f>20800+17000-1500-2000</f>
        <v>34300</v>
      </c>
      <c r="F96" s="18">
        <v>5646</v>
      </c>
      <c r="G96" s="466">
        <f t="shared" si="22"/>
        <v>0.16460641399416909</v>
      </c>
    </row>
    <row r="97" spans="1:7" x14ac:dyDescent="0.25">
      <c r="A97" s="137" t="s">
        <v>71</v>
      </c>
      <c r="B97" s="25" t="s">
        <v>72</v>
      </c>
      <c r="C97" s="18">
        <v>25000</v>
      </c>
      <c r="D97" s="18">
        <v>25000</v>
      </c>
      <c r="E97" s="18">
        <v>25000</v>
      </c>
      <c r="F97" s="18">
        <v>7170</v>
      </c>
      <c r="G97" s="466">
        <f t="shared" si="22"/>
        <v>0.2868</v>
      </c>
    </row>
    <row r="98" spans="1:7" ht="15.75" thickBot="1" x14ac:dyDescent="0.3">
      <c r="A98" s="137" t="s">
        <v>73</v>
      </c>
      <c r="B98" s="25" t="s">
        <v>74</v>
      </c>
      <c r="C98" s="18">
        <v>150</v>
      </c>
      <c r="D98" s="477">
        <f>150+220</f>
        <v>370</v>
      </c>
      <c r="E98" s="18">
        <f>150+220</f>
        <v>370</v>
      </c>
      <c r="F98" s="18">
        <v>0</v>
      </c>
      <c r="G98" s="466">
        <f t="shared" si="22"/>
        <v>0</v>
      </c>
    </row>
    <row r="99" spans="1:7" ht="15.75" thickBot="1" x14ac:dyDescent="0.3">
      <c r="A99" s="652" t="s">
        <v>75</v>
      </c>
      <c r="B99" s="653"/>
      <c r="C99" s="38">
        <f t="shared" ref="C99:F99" si="28">SUM(C100:C103)</f>
        <v>112450</v>
      </c>
      <c r="D99" s="38">
        <f t="shared" si="28"/>
        <v>108600</v>
      </c>
      <c r="E99" s="38">
        <f t="shared" ref="E99" si="29">SUM(E100:E103)</f>
        <v>108600</v>
      </c>
      <c r="F99" s="38">
        <f t="shared" si="28"/>
        <v>20352</v>
      </c>
      <c r="G99" s="466">
        <f t="shared" si="22"/>
        <v>0.18740331491712708</v>
      </c>
    </row>
    <row r="100" spans="1:7" x14ac:dyDescent="0.25">
      <c r="A100" s="141" t="s">
        <v>76</v>
      </c>
      <c r="B100" s="52" t="s">
        <v>260</v>
      </c>
      <c r="C100" s="53">
        <v>66000</v>
      </c>
      <c r="D100" s="478">
        <f>66000+150</f>
        <v>66150</v>
      </c>
      <c r="E100" s="47">
        <f>66000+150</f>
        <v>66150</v>
      </c>
      <c r="F100" s="53">
        <v>14124</v>
      </c>
      <c r="G100" s="466">
        <f t="shared" si="22"/>
        <v>0.21351473922902495</v>
      </c>
    </row>
    <row r="101" spans="1:7" x14ac:dyDescent="0.25">
      <c r="A101" s="137" t="s">
        <v>77</v>
      </c>
      <c r="B101" s="467" t="s">
        <v>78</v>
      </c>
      <c r="C101" s="41">
        <v>36800</v>
      </c>
      <c r="D101" s="479">
        <f>36800-4000</f>
        <v>32800</v>
      </c>
      <c r="E101" s="320">
        <f>36800-4000</f>
        <v>32800</v>
      </c>
      <c r="F101" s="41">
        <v>6045</v>
      </c>
      <c r="G101" s="466">
        <f t="shared" si="22"/>
        <v>0.18429878048780488</v>
      </c>
    </row>
    <row r="102" spans="1:7" x14ac:dyDescent="0.25">
      <c r="A102" s="139" t="s">
        <v>79</v>
      </c>
      <c r="B102" s="468" t="s">
        <v>80</v>
      </c>
      <c r="C102" s="55">
        <v>1450</v>
      </c>
      <c r="D102" s="308">
        <v>1450</v>
      </c>
      <c r="E102" s="499">
        <v>1450</v>
      </c>
      <c r="F102" s="306">
        <v>20</v>
      </c>
      <c r="G102" s="466">
        <f t="shared" si="22"/>
        <v>1.3793103448275862E-2</v>
      </c>
    </row>
    <row r="103" spans="1:7" ht="15.75" thickBot="1" x14ac:dyDescent="0.3">
      <c r="A103" s="142" t="s">
        <v>81</v>
      </c>
      <c r="B103" s="469" t="s">
        <v>170</v>
      </c>
      <c r="C103" s="57">
        <v>8200</v>
      </c>
      <c r="D103" s="309">
        <v>8200</v>
      </c>
      <c r="E103" s="309">
        <v>8200</v>
      </c>
      <c r="F103" s="309">
        <v>163</v>
      </c>
      <c r="G103" s="466">
        <f t="shared" si="22"/>
        <v>1.9878048780487805E-2</v>
      </c>
    </row>
    <row r="104" spans="1:7" ht="15.75" thickBot="1" x14ac:dyDescent="0.3">
      <c r="A104" s="36" t="s">
        <v>82</v>
      </c>
      <c r="B104" s="470"/>
      <c r="C104" s="38">
        <f>SUM(C105:C107)</f>
        <v>167335</v>
      </c>
      <c r="D104" s="310">
        <f>SUM(D105:D107)</f>
        <v>165110</v>
      </c>
      <c r="E104" s="310">
        <f>SUM(E105:E107)</f>
        <v>165110</v>
      </c>
      <c r="F104" s="310">
        <f>SUM(F105:F107)</f>
        <v>27352</v>
      </c>
      <c r="G104" s="466">
        <f t="shared" si="22"/>
        <v>0.16565925746472049</v>
      </c>
    </row>
    <row r="105" spans="1:7" x14ac:dyDescent="0.25">
      <c r="A105" s="51" t="s">
        <v>83</v>
      </c>
      <c r="B105" s="471" t="s">
        <v>84</v>
      </c>
      <c r="C105" s="178">
        <v>128035</v>
      </c>
      <c r="D105" s="483">
        <f>128035-2000</f>
        <v>126035</v>
      </c>
      <c r="E105" s="319">
        <f>128035-2000</f>
        <v>126035</v>
      </c>
      <c r="F105" s="319">
        <v>19485</v>
      </c>
      <c r="G105" s="466">
        <f t="shared" si="22"/>
        <v>0.15459991272265641</v>
      </c>
    </row>
    <row r="106" spans="1:7" x14ac:dyDescent="0.25">
      <c r="A106" s="58" t="s">
        <v>85</v>
      </c>
      <c r="B106" s="467" t="s">
        <v>86</v>
      </c>
      <c r="C106" s="41">
        <v>20800</v>
      </c>
      <c r="D106" s="479">
        <f>20800-3000</f>
        <v>17800</v>
      </c>
      <c r="E106" s="320">
        <f>20800-3000</f>
        <v>17800</v>
      </c>
      <c r="F106" s="320">
        <v>2972</v>
      </c>
      <c r="G106" s="466">
        <f t="shared" si="22"/>
        <v>0.16696629213483147</v>
      </c>
    </row>
    <row r="107" spans="1:7" ht="15.75" thickBot="1" x14ac:dyDescent="0.3">
      <c r="A107" s="59" t="s">
        <v>87</v>
      </c>
      <c r="B107" s="469" t="s">
        <v>88</v>
      </c>
      <c r="C107" s="181">
        <v>18500</v>
      </c>
      <c r="D107" s="480">
        <f>18500+2400+375</f>
        <v>21275</v>
      </c>
      <c r="E107" s="312">
        <f>18500+2400+375</f>
        <v>21275</v>
      </c>
      <c r="F107" s="312">
        <v>4895</v>
      </c>
      <c r="G107" s="466">
        <f t="shared" si="22"/>
        <v>0.23008225616921268</v>
      </c>
    </row>
    <row r="108" spans="1:7" ht="15.75" thickBot="1" x14ac:dyDescent="0.3">
      <c r="A108" s="60" t="s">
        <v>89</v>
      </c>
      <c r="B108" s="472"/>
      <c r="C108" s="61">
        <f t="shared" ref="C108:F108" si="30">SUM(C109:C112)</f>
        <v>700</v>
      </c>
      <c r="D108" s="313">
        <f t="shared" si="30"/>
        <v>1000</v>
      </c>
      <c r="E108" s="313">
        <f t="shared" ref="E108" si="31">SUM(E109:E112)</f>
        <v>1000</v>
      </c>
      <c r="F108" s="313">
        <f t="shared" si="30"/>
        <v>641</v>
      </c>
      <c r="G108" s="466">
        <f t="shared" si="22"/>
        <v>0.64100000000000001</v>
      </c>
    </row>
    <row r="109" spans="1:7" x14ac:dyDescent="0.25">
      <c r="A109" s="45" t="s">
        <v>90</v>
      </c>
      <c r="B109" s="473" t="s">
        <v>91</v>
      </c>
      <c r="C109" s="53">
        <v>50</v>
      </c>
      <c r="D109" s="53">
        <v>50</v>
      </c>
      <c r="E109" s="53">
        <v>50</v>
      </c>
      <c r="F109" s="314">
        <v>15</v>
      </c>
      <c r="G109" s="466">
        <f t="shared" si="22"/>
        <v>0.3</v>
      </c>
    </row>
    <row r="110" spans="1:7" x14ac:dyDescent="0.25">
      <c r="A110" s="58" t="s">
        <v>92</v>
      </c>
      <c r="B110" s="467" t="s">
        <v>93</v>
      </c>
      <c r="C110" s="179">
        <v>50</v>
      </c>
      <c r="D110" s="179">
        <v>50</v>
      </c>
      <c r="E110" s="179">
        <v>50</v>
      </c>
      <c r="F110" s="321">
        <v>5</v>
      </c>
      <c r="G110" s="466">
        <f t="shared" si="22"/>
        <v>0.1</v>
      </c>
    </row>
    <row r="111" spans="1:7" ht="15.75" thickBot="1" x14ac:dyDescent="0.3">
      <c r="A111" s="59" t="s">
        <v>94</v>
      </c>
      <c r="B111" s="469" t="s">
        <v>358</v>
      </c>
      <c r="C111" s="57">
        <v>300</v>
      </c>
      <c r="D111" s="481">
        <f>300+300</f>
        <v>600</v>
      </c>
      <c r="E111" s="181">
        <f>300+300</f>
        <v>600</v>
      </c>
      <c r="F111" s="309">
        <v>321</v>
      </c>
      <c r="G111" s="466">
        <f t="shared" si="22"/>
        <v>0.53500000000000003</v>
      </c>
    </row>
    <row r="112" spans="1:7" ht="15.75" thickBot="1" x14ac:dyDescent="0.3">
      <c r="A112" s="279" t="s">
        <v>242</v>
      </c>
      <c r="B112" s="474" t="s">
        <v>261</v>
      </c>
      <c r="C112" s="42">
        <v>300</v>
      </c>
      <c r="D112" s="42">
        <v>300</v>
      </c>
      <c r="E112" s="42">
        <v>300</v>
      </c>
      <c r="F112" s="316">
        <v>300</v>
      </c>
      <c r="G112" s="466">
        <f t="shared" si="22"/>
        <v>1</v>
      </c>
    </row>
    <row r="113" spans="1:7" ht="15.75" thickBot="1" x14ac:dyDescent="0.3">
      <c r="A113" s="62" t="s">
        <v>96</v>
      </c>
      <c r="B113" s="475"/>
      <c r="C113" s="64">
        <f t="shared" ref="C113:F113" si="32">SUM(C114:C118)</f>
        <v>132750</v>
      </c>
      <c r="D113" s="317">
        <f t="shared" si="32"/>
        <v>147184</v>
      </c>
      <c r="E113" s="317">
        <f t="shared" ref="E113" si="33">SUM(E114:E118)</f>
        <v>153184</v>
      </c>
      <c r="F113" s="317">
        <f t="shared" si="32"/>
        <v>16804</v>
      </c>
      <c r="G113" s="466">
        <f t="shared" si="22"/>
        <v>0.10969814079799457</v>
      </c>
    </row>
    <row r="114" spans="1:7" x14ac:dyDescent="0.25">
      <c r="A114" s="141" t="s">
        <v>97</v>
      </c>
      <c r="B114" s="52" t="s">
        <v>359</v>
      </c>
      <c r="C114" s="47">
        <v>20700</v>
      </c>
      <c r="D114" s="478">
        <f>20700+500+904</f>
        <v>22104</v>
      </c>
      <c r="E114" s="47">
        <f>20700+500+904</f>
        <v>22104</v>
      </c>
      <c r="F114" s="322">
        <v>4958</v>
      </c>
      <c r="G114" s="466">
        <f t="shared" si="22"/>
        <v>0.22430329352153455</v>
      </c>
    </row>
    <row r="115" spans="1:7" x14ac:dyDescent="0.25">
      <c r="A115" s="144" t="s">
        <v>99</v>
      </c>
      <c r="B115" s="65" t="s">
        <v>198</v>
      </c>
      <c r="C115" s="15">
        <v>81800</v>
      </c>
      <c r="D115" s="482">
        <f>81800+2400+4600</f>
        <v>88800</v>
      </c>
      <c r="E115" s="15">
        <f>81800+2400+4600</f>
        <v>88800</v>
      </c>
      <c r="F115" s="323">
        <v>8509</v>
      </c>
      <c r="G115" s="466">
        <f t="shared" si="22"/>
        <v>9.5822072072072079E-2</v>
      </c>
    </row>
    <row r="116" spans="1:7" x14ac:dyDescent="0.25">
      <c r="A116" s="144" t="s">
        <v>100</v>
      </c>
      <c r="B116" s="39" t="s">
        <v>101</v>
      </c>
      <c r="C116" s="15">
        <v>3950</v>
      </c>
      <c r="D116" s="15">
        <v>3950</v>
      </c>
      <c r="E116" s="15">
        <v>3950</v>
      </c>
      <c r="F116" s="15">
        <v>1009</v>
      </c>
      <c r="G116" s="466">
        <f t="shared" si="22"/>
        <v>0.25544303797468354</v>
      </c>
    </row>
    <row r="117" spans="1:7" x14ac:dyDescent="0.25">
      <c r="A117" s="144" t="s">
        <v>102</v>
      </c>
      <c r="B117" s="39" t="s">
        <v>103</v>
      </c>
      <c r="C117" s="15">
        <v>16300</v>
      </c>
      <c r="D117" s="482">
        <f>16300+30</f>
        <v>16330</v>
      </c>
      <c r="E117" s="15">
        <f>16300+30</f>
        <v>16330</v>
      </c>
      <c r="F117" s="15">
        <v>813</v>
      </c>
      <c r="G117" s="466">
        <f t="shared" si="22"/>
        <v>4.9785670545009188E-2</v>
      </c>
    </row>
    <row r="118" spans="1:7" ht="15.75" thickBot="1" x14ac:dyDescent="0.3">
      <c r="A118" s="142" t="s">
        <v>104</v>
      </c>
      <c r="B118" s="56" t="s">
        <v>361</v>
      </c>
      <c r="C118" s="181">
        <v>10000</v>
      </c>
      <c r="D118" s="481">
        <f>10000+6000</f>
        <v>16000</v>
      </c>
      <c r="E118" s="481">
        <f>10000+6000+6000</f>
        <v>22000</v>
      </c>
      <c r="F118" s="181">
        <v>1515</v>
      </c>
      <c r="G118" s="466">
        <f t="shared" si="22"/>
        <v>6.8863636363636363E-2</v>
      </c>
    </row>
    <row r="119" spans="1:7" ht="15.75" thickBot="1" x14ac:dyDescent="0.3">
      <c r="A119" s="43" t="s">
        <v>105</v>
      </c>
      <c r="B119" s="44"/>
      <c r="C119" s="38">
        <f>SUM(C120:C128)</f>
        <v>309800</v>
      </c>
      <c r="D119" s="38">
        <f>SUM(D120:D128)</f>
        <v>309800</v>
      </c>
      <c r="E119" s="38">
        <f>SUM(E120:E128)</f>
        <v>311800</v>
      </c>
      <c r="F119" s="38">
        <f>SUM(F120:F128)</f>
        <v>63589</v>
      </c>
      <c r="G119" s="466">
        <f t="shared" si="22"/>
        <v>0.20394162924951892</v>
      </c>
    </row>
    <row r="120" spans="1:7" x14ac:dyDescent="0.25">
      <c r="A120" s="66" t="s">
        <v>106</v>
      </c>
      <c r="B120" s="67" t="s">
        <v>107</v>
      </c>
      <c r="C120" s="86">
        <v>149400</v>
      </c>
      <c r="D120" s="86">
        <f>149400</f>
        <v>149400</v>
      </c>
      <c r="E120" s="86">
        <f>149400</f>
        <v>149400</v>
      </c>
      <c r="F120" s="86">
        <v>34696</v>
      </c>
      <c r="G120" s="466">
        <f t="shared" si="22"/>
        <v>0.23223560910307897</v>
      </c>
    </row>
    <row r="121" spans="1:7" x14ac:dyDescent="0.25">
      <c r="A121" s="505" t="s">
        <v>444</v>
      </c>
      <c r="B121" s="14" t="s">
        <v>446</v>
      </c>
      <c r="C121" s="169">
        <v>0</v>
      </c>
      <c r="D121" s="169">
        <v>0</v>
      </c>
      <c r="E121" s="492">
        <v>1000</v>
      </c>
      <c r="F121" s="169">
        <v>0</v>
      </c>
      <c r="G121" s="466"/>
    </row>
    <row r="122" spans="1:7" x14ac:dyDescent="0.25">
      <c r="A122" s="505" t="s">
        <v>445</v>
      </c>
      <c r="B122" s="14" t="s">
        <v>447</v>
      </c>
      <c r="C122" s="169">
        <v>0</v>
      </c>
      <c r="D122" s="169">
        <v>0</v>
      </c>
      <c r="E122" s="492">
        <v>1000</v>
      </c>
      <c r="F122" s="169">
        <v>0</v>
      </c>
      <c r="G122" s="466"/>
    </row>
    <row r="123" spans="1:7" x14ac:dyDescent="0.25">
      <c r="A123" s="68" t="s">
        <v>108</v>
      </c>
      <c r="B123" s="17" t="s">
        <v>196</v>
      </c>
      <c r="C123" s="168">
        <v>3000</v>
      </c>
      <c r="D123" s="168">
        <v>3000</v>
      </c>
      <c r="E123" s="168">
        <v>3000</v>
      </c>
      <c r="F123" s="168">
        <v>729</v>
      </c>
      <c r="G123" s="466">
        <f t="shared" si="22"/>
        <v>0.24299999999999999</v>
      </c>
    </row>
    <row r="124" spans="1:7" x14ac:dyDescent="0.25">
      <c r="A124" s="68" t="s">
        <v>109</v>
      </c>
      <c r="B124" s="17" t="s">
        <v>110</v>
      </c>
      <c r="C124" s="168">
        <v>27800</v>
      </c>
      <c r="D124" s="168">
        <v>27800</v>
      </c>
      <c r="E124" s="168">
        <f>27800-300+300</f>
        <v>27800</v>
      </c>
      <c r="F124" s="168">
        <v>5185</v>
      </c>
      <c r="G124" s="466">
        <f t="shared" si="22"/>
        <v>0.18651079136690649</v>
      </c>
    </row>
    <row r="125" spans="1:7" x14ac:dyDescent="0.25">
      <c r="A125" s="68" t="s">
        <v>111</v>
      </c>
      <c r="B125" s="17" t="s">
        <v>112</v>
      </c>
      <c r="C125" s="18">
        <v>41200</v>
      </c>
      <c r="D125" s="18">
        <v>41200</v>
      </c>
      <c r="E125" s="18">
        <f>41200-400+400</f>
        <v>41200</v>
      </c>
      <c r="F125" s="18">
        <v>7778</v>
      </c>
      <c r="G125" s="466">
        <f t="shared" si="22"/>
        <v>0.18878640776699029</v>
      </c>
    </row>
    <row r="126" spans="1:7" x14ac:dyDescent="0.25">
      <c r="A126" s="68" t="s">
        <v>113</v>
      </c>
      <c r="B126" s="17" t="s">
        <v>114</v>
      </c>
      <c r="C126" s="18">
        <v>41200</v>
      </c>
      <c r="D126" s="18">
        <v>41200</v>
      </c>
      <c r="E126" s="18">
        <f>41200-400+400</f>
        <v>41200</v>
      </c>
      <c r="F126" s="18">
        <v>7778</v>
      </c>
      <c r="G126" s="466">
        <f t="shared" si="22"/>
        <v>0.18878640776699029</v>
      </c>
    </row>
    <row r="127" spans="1:7" x14ac:dyDescent="0.25">
      <c r="A127" s="69" t="s">
        <v>115</v>
      </c>
      <c r="B127" s="17" t="s">
        <v>362</v>
      </c>
      <c r="C127" s="70">
        <v>43900</v>
      </c>
      <c r="D127" s="70">
        <v>43900</v>
      </c>
      <c r="E127" s="70">
        <f>43900+1100-1100</f>
        <v>43900</v>
      </c>
      <c r="F127" s="70">
        <v>7373</v>
      </c>
      <c r="G127" s="466">
        <f t="shared" si="22"/>
        <v>0.16794988610478359</v>
      </c>
    </row>
    <row r="128" spans="1:7" ht="15.75" thickBot="1" x14ac:dyDescent="0.3">
      <c r="A128" s="68" t="s">
        <v>117</v>
      </c>
      <c r="B128" s="17" t="s">
        <v>118</v>
      </c>
      <c r="C128" s="70">
        <v>3300</v>
      </c>
      <c r="D128" s="70">
        <v>3300</v>
      </c>
      <c r="E128" s="70">
        <v>3300</v>
      </c>
      <c r="F128" s="70">
        <v>50</v>
      </c>
      <c r="G128" s="466">
        <f t="shared" si="22"/>
        <v>1.5151515151515152E-2</v>
      </c>
    </row>
    <row r="129" spans="1:12" ht="15.75" thickBot="1" x14ac:dyDescent="0.3">
      <c r="A129" s="36" t="s">
        <v>119</v>
      </c>
      <c r="B129" s="37"/>
      <c r="C129" s="38">
        <f t="shared" ref="C129:F129" si="34">SUM(C130:C134)</f>
        <v>307100</v>
      </c>
      <c r="D129" s="38">
        <f t="shared" si="34"/>
        <v>309680</v>
      </c>
      <c r="E129" s="38">
        <f t="shared" ref="E129" si="35">SUM(E130:E134)</f>
        <v>310480</v>
      </c>
      <c r="F129" s="38">
        <f t="shared" si="34"/>
        <v>44198</v>
      </c>
      <c r="G129" s="466">
        <f t="shared" si="22"/>
        <v>0.1423537748003092</v>
      </c>
    </row>
    <row r="130" spans="1:12" x14ac:dyDescent="0.25">
      <c r="A130" s="144" t="s">
        <v>120</v>
      </c>
      <c r="B130" s="39" t="s">
        <v>262</v>
      </c>
      <c r="C130" s="15">
        <v>276500</v>
      </c>
      <c r="D130" s="482">
        <f>276500+1080+1500</f>
        <v>279080</v>
      </c>
      <c r="E130" s="15">
        <f>276500+1080+1500</f>
        <v>279080</v>
      </c>
      <c r="F130" s="15">
        <v>40158</v>
      </c>
      <c r="G130" s="466">
        <f t="shared" si="22"/>
        <v>0.14389422387845779</v>
      </c>
    </row>
    <row r="131" spans="1:12" x14ac:dyDescent="0.25">
      <c r="A131" s="144" t="s">
        <v>121</v>
      </c>
      <c r="B131" s="39" t="s">
        <v>167</v>
      </c>
      <c r="C131" s="15">
        <v>8200</v>
      </c>
      <c r="D131" s="15">
        <v>8200</v>
      </c>
      <c r="E131" s="15">
        <v>8200</v>
      </c>
      <c r="F131" s="40">
        <v>1090</v>
      </c>
      <c r="G131" s="466">
        <f t="shared" si="22"/>
        <v>0.13292682926829269</v>
      </c>
    </row>
    <row r="132" spans="1:12" x14ac:dyDescent="0.25">
      <c r="A132" s="137" t="s">
        <v>122</v>
      </c>
      <c r="B132" s="25" t="s">
        <v>168</v>
      </c>
      <c r="C132" s="41">
        <v>21400</v>
      </c>
      <c r="D132" s="41">
        <v>21400</v>
      </c>
      <c r="E132" s="477">
        <f>21400+500</f>
        <v>21900</v>
      </c>
      <c r="F132" s="41">
        <v>2950</v>
      </c>
      <c r="G132" s="466">
        <f t="shared" si="22"/>
        <v>0.13470319634703196</v>
      </c>
      <c r="J132" s="123"/>
    </row>
    <row r="133" spans="1:12" x14ac:dyDescent="0.25">
      <c r="A133" s="137" t="s">
        <v>123</v>
      </c>
      <c r="B133" s="25" t="s">
        <v>124</v>
      </c>
      <c r="C133" s="41">
        <v>500</v>
      </c>
      <c r="D133" s="41">
        <v>500</v>
      </c>
      <c r="E133" s="41">
        <v>500</v>
      </c>
      <c r="F133" s="41">
        <v>0</v>
      </c>
      <c r="G133" s="466">
        <f t="shared" si="22"/>
        <v>0</v>
      </c>
    </row>
    <row r="134" spans="1:12" ht="15.75" thickBot="1" x14ac:dyDescent="0.3">
      <c r="A134" s="142" t="s">
        <v>125</v>
      </c>
      <c r="B134" s="56" t="s">
        <v>126</v>
      </c>
      <c r="C134" s="57">
        <v>500</v>
      </c>
      <c r="D134" s="57">
        <v>500</v>
      </c>
      <c r="E134" s="481">
        <f>500+300</f>
        <v>800</v>
      </c>
      <c r="F134" s="57">
        <v>0</v>
      </c>
      <c r="G134" s="466">
        <f t="shared" si="22"/>
        <v>0</v>
      </c>
      <c r="H134" s="123"/>
      <c r="I134" s="123"/>
    </row>
    <row r="135" spans="1:12" ht="16.5" thickBot="1" x14ac:dyDescent="0.3">
      <c r="A135" s="71" t="s">
        <v>127</v>
      </c>
      <c r="B135" s="143"/>
      <c r="C135" s="72">
        <f>SUM(C83+C89+C91+C94+C99+C104+C108+C113+C119+C129)</f>
        <v>1382145</v>
      </c>
      <c r="D135" s="72">
        <f>SUM(D83+D89+D91+D94+D99+D104+D108+D113+D119+D129)</f>
        <v>1411816</v>
      </c>
      <c r="E135" s="72">
        <f>SUM(E83+E89+E91+E94+E99+E104+E108+E113+E119+E129)</f>
        <v>1418761</v>
      </c>
      <c r="F135" s="72">
        <f>SUM(F83+F89+F91+F94+F99+F104+F108+F113+F119+F129)</f>
        <v>239428.31</v>
      </c>
      <c r="G135" s="466">
        <f t="shared" si="22"/>
        <v>0.16875873385298862</v>
      </c>
      <c r="H135" s="123">
        <f>D135-C135</f>
        <v>29671</v>
      </c>
      <c r="I135" s="123">
        <f>E135-D135</f>
        <v>6945</v>
      </c>
      <c r="K135" s="123"/>
      <c r="L135" s="123"/>
    </row>
    <row r="136" spans="1:12" x14ac:dyDescent="0.25">
      <c r="A136" s="247" t="s">
        <v>231</v>
      </c>
      <c r="B136" s="248" t="s">
        <v>264</v>
      </c>
      <c r="C136" s="249">
        <f>C69</f>
        <v>472270</v>
      </c>
      <c r="D136" s="249">
        <f>D69</f>
        <v>486089</v>
      </c>
      <c r="E136" s="249">
        <f>E69</f>
        <v>486089</v>
      </c>
      <c r="F136" s="249">
        <f>F69</f>
        <v>124705</v>
      </c>
      <c r="G136" s="466">
        <f t="shared" si="22"/>
        <v>0.25654766925398437</v>
      </c>
      <c r="H136" s="123"/>
      <c r="I136" s="123"/>
      <c r="J136" s="123"/>
    </row>
    <row r="137" spans="1:12" ht="16.5" customHeight="1" x14ac:dyDescent="0.25">
      <c r="A137" s="263" t="s">
        <v>231</v>
      </c>
      <c r="B137" s="264" t="s">
        <v>225</v>
      </c>
      <c r="C137" s="265">
        <f>C71</f>
        <v>3000</v>
      </c>
      <c r="D137" s="265">
        <f>D71</f>
        <v>3000</v>
      </c>
      <c r="E137" s="265">
        <f>E71</f>
        <v>3000</v>
      </c>
      <c r="F137" s="265">
        <f>F71</f>
        <v>1567</v>
      </c>
      <c r="G137" s="466">
        <f t="shared" si="22"/>
        <v>0.52233333333333332</v>
      </c>
      <c r="H137" s="123"/>
      <c r="I137" s="123"/>
      <c r="J137" s="123"/>
    </row>
    <row r="138" spans="1:12" ht="16.5" customHeight="1" x14ac:dyDescent="0.25">
      <c r="A138" s="263" t="s">
        <v>231</v>
      </c>
      <c r="B138" s="264" t="s">
        <v>265</v>
      </c>
      <c r="C138" s="265">
        <v>54240</v>
      </c>
      <c r="D138" s="265">
        <v>54240</v>
      </c>
      <c r="E138" s="265">
        <v>54240</v>
      </c>
      <c r="F138" s="265">
        <v>0</v>
      </c>
      <c r="G138" s="466">
        <f t="shared" si="22"/>
        <v>0</v>
      </c>
      <c r="H138" s="123"/>
      <c r="I138" s="123"/>
      <c r="J138" s="123"/>
    </row>
    <row r="139" spans="1:12" ht="15.75" thickBot="1" x14ac:dyDescent="0.3">
      <c r="A139" s="364" t="s">
        <v>231</v>
      </c>
      <c r="B139" s="365" t="s">
        <v>266</v>
      </c>
      <c r="C139" s="366">
        <v>2855</v>
      </c>
      <c r="D139" s="366">
        <v>2855</v>
      </c>
      <c r="E139" s="366">
        <v>2855</v>
      </c>
      <c r="F139" s="366">
        <v>1081</v>
      </c>
      <c r="G139" s="466">
        <f t="shared" si="22"/>
        <v>0.37863397548161121</v>
      </c>
      <c r="H139" s="123"/>
      <c r="I139" s="123"/>
      <c r="J139" s="123"/>
    </row>
    <row r="140" spans="1:12" x14ac:dyDescent="0.25">
      <c r="A140" s="361" t="s">
        <v>108</v>
      </c>
      <c r="B140" s="362" t="s">
        <v>267</v>
      </c>
      <c r="C140" s="363">
        <v>22500</v>
      </c>
      <c r="D140" s="363">
        <v>22500</v>
      </c>
      <c r="E140" s="363">
        <v>22500</v>
      </c>
      <c r="F140" s="363">
        <v>5625</v>
      </c>
      <c r="G140" s="466">
        <f t="shared" si="22"/>
        <v>0.25</v>
      </c>
      <c r="H140" s="123"/>
      <c r="I140" s="123"/>
      <c r="J140" s="123"/>
    </row>
    <row r="141" spans="1:12" ht="15" customHeight="1" thickBot="1" x14ac:dyDescent="0.3">
      <c r="A141" s="263" t="s">
        <v>108</v>
      </c>
      <c r="B141" s="264" t="s">
        <v>268</v>
      </c>
      <c r="C141" s="265">
        <f>C72</f>
        <v>1320</v>
      </c>
      <c r="D141" s="265">
        <f>D72</f>
        <v>1320</v>
      </c>
      <c r="E141" s="265">
        <f>E72</f>
        <v>1320</v>
      </c>
      <c r="F141" s="265">
        <f>F72</f>
        <v>0</v>
      </c>
      <c r="G141" s="466">
        <f t="shared" si="22"/>
        <v>0</v>
      </c>
      <c r="H141" s="123"/>
      <c r="I141" s="123">
        <f>SUM(F137:F141)</f>
        <v>8273</v>
      </c>
      <c r="J141" s="123"/>
    </row>
    <row r="142" spans="1:12" ht="14.25" customHeight="1" thickBot="1" x14ac:dyDescent="0.3">
      <c r="A142" s="654" t="s">
        <v>183</v>
      </c>
      <c r="B142" s="655"/>
      <c r="C142" s="128">
        <f t="shared" ref="C142:F142" si="36">SUM(C136:C141)</f>
        <v>556185</v>
      </c>
      <c r="D142" s="128">
        <f t="shared" si="36"/>
        <v>570004</v>
      </c>
      <c r="E142" s="128">
        <f t="shared" ref="E142" si="37">SUM(E136:E141)</f>
        <v>570004</v>
      </c>
      <c r="F142" s="128">
        <f t="shared" si="36"/>
        <v>132978</v>
      </c>
      <c r="G142" s="466">
        <f t="shared" si="22"/>
        <v>0.23329309969754597</v>
      </c>
      <c r="H142" s="123">
        <f t="shared" ref="H142:I147" si="38">D142-C142</f>
        <v>13819</v>
      </c>
      <c r="I142" s="123">
        <f t="shared" si="38"/>
        <v>0</v>
      </c>
      <c r="J142" s="123"/>
    </row>
    <row r="143" spans="1:12" x14ac:dyDescent="0.25">
      <c r="A143" s="250" t="s">
        <v>108</v>
      </c>
      <c r="B143" s="251" t="s">
        <v>227</v>
      </c>
      <c r="C143" s="221">
        <f>190500+13510</f>
        <v>204010</v>
      </c>
      <c r="D143" s="221">
        <f>190500+13510</f>
        <v>204010</v>
      </c>
      <c r="E143" s="221">
        <f>190500+13510</f>
        <v>204010</v>
      </c>
      <c r="F143" s="221">
        <v>51000</v>
      </c>
      <c r="G143" s="466">
        <f t="shared" si="22"/>
        <v>0.24998774569874027</v>
      </c>
      <c r="H143" s="123"/>
      <c r="I143" s="123"/>
      <c r="J143" s="123"/>
    </row>
    <row r="144" spans="1:12" ht="17.25" customHeight="1" thickBot="1" x14ac:dyDescent="0.3">
      <c r="A144" s="266" t="s">
        <v>108</v>
      </c>
      <c r="B144" s="244" t="s">
        <v>228</v>
      </c>
      <c r="C144" s="217">
        <f>C75</f>
        <v>9770</v>
      </c>
      <c r="D144" s="217">
        <f>D75</f>
        <v>9770</v>
      </c>
      <c r="E144" s="217">
        <f>E75</f>
        <v>9770</v>
      </c>
      <c r="F144" s="217">
        <f>F75-2615</f>
        <v>1050</v>
      </c>
      <c r="G144" s="466">
        <f t="shared" si="22"/>
        <v>0.10747185261003071</v>
      </c>
      <c r="H144" s="123"/>
      <c r="I144" s="123"/>
    </row>
    <row r="145" spans="1:15" ht="16.5" customHeight="1" thickBot="1" x14ac:dyDescent="0.3">
      <c r="A145" s="656" t="s">
        <v>226</v>
      </c>
      <c r="B145" s="657"/>
      <c r="C145" s="367">
        <f t="shared" ref="C145:F145" si="39">SUM(C143:C144)</f>
        <v>213780</v>
      </c>
      <c r="D145" s="367">
        <f t="shared" si="39"/>
        <v>213780</v>
      </c>
      <c r="E145" s="367">
        <f t="shared" ref="E145" si="40">SUM(E143:E144)</f>
        <v>213780</v>
      </c>
      <c r="F145" s="367">
        <f t="shared" si="39"/>
        <v>52050</v>
      </c>
      <c r="G145" s="466">
        <f t="shared" si="22"/>
        <v>0.24347460005613247</v>
      </c>
      <c r="H145" s="123">
        <f t="shared" si="38"/>
        <v>0</v>
      </c>
      <c r="I145" s="123">
        <f t="shared" si="38"/>
        <v>0</v>
      </c>
    </row>
    <row r="146" spans="1:15" ht="23.25" customHeight="1" thickBot="1" x14ac:dyDescent="0.3">
      <c r="A146" s="658" t="s">
        <v>220</v>
      </c>
      <c r="B146" s="659"/>
      <c r="C146" s="368">
        <f t="shared" ref="C146:F146" si="41">C142+C145</f>
        <v>769965</v>
      </c>
      <c r="D146" s="368">
        <f t="shared" si="41"/>
        <v>783784</v>
      </c>
      <c r="E146" s="368">
        <f t="shared" ref="E146" si="42">E142+E145</f>
        <v>783784</v>
      </c>
      <c r="F146" s="368">
        <f t="shared" si="41"/>
        <v>185028</v>
      </c>
      <c r="G146" s="466">
        <f t="shared" si="22"/>
        <v>0.23607014177375399</v>
      </c>
      <c r="H146" s="123">
        <f t="shared" si="38"/>
        <v>13819</v>
      </c>
      <c r="I146" s="123">
        <f t="shared" si="38"/>
        <v>0</v>
      </c>
    </row>
    <row r="147" spans="1:15" ht="15" customHeight="1" thickBot="1" x14ac:dyDescent="0.3">
      <c r="A147" s="73" t="s">
        <v>184</v>
      </c>
      <c r="B147" s="140"/>
      <c r="C147" s="74">
        <f>C135+C146</f>
        <v>2152110</v>
      </c>
      <c r="D147" s="74">
        <f>D135+D146</f>
        <v>2195600</v>
      </c>
      <c r="E147" s="74">
        <f>E135+E146</f>
        <v>2202545</v>
      </c>
      <c r="F147" s="74">
        <f>F135+F146</f>
        <v>424456.31</v>
      </c>
      <c r="G147" s="466">
        <f t="shared" si="22"/>
        <v>0.19271175390287146</v>
      </c>
      <c r="H147" s="123">
        <f t="shared" si="38"/>
        <v>43490</v>
      </c>
      <c r="I147" s="123">
        <f t="shared" si="38"/>
        <v>6945</v>
      </c>
    </row>
    <row r="149" spans="1:15" ht="15" customHeight="1" x14ac:dyDescent="0.25">
      <c r="K149" s="123"/>
    </row>
    <row r="150" spans="1:15" ht="18.75" thickBot="1" x14ac:dyDescent="0.3">
      <c r="A150" s="660" t="s">
        <v>128</v>
      </c>
      <c r="B150" s="661"/>
      <c r="C150" s="661"/>
      <c r="D150" s="661"/>
      <c r="E150" s="661"/>
      <c r="F150" s="661"/>
      <c r="K150" s="123"/>
      <c r="L150" s="123"/>
      <c r="M150" s="123"/>
    </row>
    <row r="151" spans="1:15" x14ac:dyDescent="0.25">
      <c r="A151" s="644" t="s">
        <v>1</v>
      </c>
      <c r="B151" s="645"/>
      <c r="C151" s="638" t="s">
        <v>323</v>
      </c>
      <c r="D151" s="638" t="s">
        <v>322</v>
      </c>
      <c r="E151" s="638" t="s">
        <v>408</v>
      </c>
      <c r="F151" s="638" t="s">
        <v>397</v>
      </c>
      <c r="G151" s="640" t="s">
        <v>352</v>
      </c>
      <c r="J151" s="123"/>
      <c r="N151" s="123"/>
      <c r="O151" s="123"/>
    </row>
    <row r="152" spans="1:15" ht="15.75" thickBot="1" x14ac:dyDescent="0.3">
      <c r="A152" s="646"/>
      <c r="B152" s="647"/>
      <c r="C152" s="639"/>
      <c r="D152" s="639"/>
      <c r="E152" s="639"/>
      <c r="F152" s="639"/>
      <c r="G152" s="641"/>
      <c r="H152" s="123"/>
      <c r="I152" s="123"/>
    </row>
    <row r="153" spans="1:15" ht="16.5" thickBot="1" x14ac:dyDescent="0.3">
      <c r="A153" s="648" t="s">
        <v>129</v>
      </c>
      <c r="B153" s="649"/>
      <c r="C153" s="328">
        <f>SUM(C154:C158)</f>
        <v>620702</v>
      </c>
      <c r="D153" s="328">
        <f>SUM(D154:D158)</f>
        <v>635220</v>
      </c>
      <c r="E153" s="328">
        <f>SUM(E154:E158)</f>
        <v>635220</v>
      </c>
      <c r="F153" s="75">
        <f>SUM(F154:F158)</f>
        <v>0</v>
      </c>
      <c r="G153" s="466">
        <f>F153/E153</f>
        <v>0</v>
      </c>
      <c r="H153" s="123">
        <f>D153-C153</f>
        <v>14518</v>
      </c>
      <c r="I153" s="123"/>
    </row>
    <row r="154" spans="1:15" ht="15.75" thickBot="1" x14ac:dyDescent="0.3">
      <c r="A154" s="176">
        <v>233</v>
      </c>
      <c r="B154" s="56" t="s">
        <v>130</v>
      </c>
      <c r="C154" s="329">
        <v>1000</v>
      </c>
      <c r="D154" s="329">
        <v>1000</v>
      </c>
      <c r="E154" s="329">
        <v>1000</v>
      </c>
      <c r="F154" s="329">
        <v>0</v>
      </c>
      <c r="G154" s="466">
        <f t="shared" ref="G154:G180" si="43">F154/E154</f>
        <v>0</v>
      </c>
    </row>
    <row r="155" spans="1:15" x14ac:dyDescent="0.25">
      <c r="A155" s="102">
        <v>322</v>
      </c>
      <c r="B155" s="25" t="s">
        <v>241</v>
      </c>
      <c r="C155" s="331">
        <v>183255</v>
      </c>
      <c r="D155" s="485">
        <f>183255+18815</f>
        <v>202070</v>
      </c>
      <c r="E155" s="335">
        <f>183255+18815</f>
        <v>202070</v>
      </c>
      <c r="F155" s="331">
        <v>0</v>
      </c>
      <c r="G155" s="466">
        <f t="shared" si="43"/>
        <v>0</v>
      </c>
    </row>
    <row r="156" spans="1:15" x14ac:dyDescent="0.25">
      <c r="A156" s="175">
        <v>322</v>
      </c>
      <c r="B156" s="39" t="s">
        <v>240</v>
      </c>
      <c r="C156" s="330">
        <v>120047</v>
      </c>
      <c r="D156" s="487">
        <f>120047+2253</f>
        <v>122300</v>
      </c>
      <c r="E156" s="333">
        <f>120047+2253</f>
        <v>122300</v>
      </c>
      <c r="F156" s="333">
        <v>0</v>
      </c>
      <c r="G156" s="466">
        <f t="shared" si="43"/>
        <v>0</v>
      </c>
      <c r="J156" s="123">
        <f>SUM(D155:D158)</f>
        <v>634220</v>
      </c>
      <c r="K156" s="123"/>
      <c r="L156" s="123"/>
      <c r="M156" s="123"/>
      <c r="N156" s="123"/>
      <c r="O156" s="123"/>
    </row>
    <row r="157" spans="1:15" x14ac:dyDescent="0.25">
      <c r="A157" s="102">
        <v>322</v>
      </c>
      <c r="B157" s="25" t="s">
        <v>160</v>
      </c>
      <c r="C157" s="331">
        <v>121400</v>
      </c>
      <c r="D157" s="485">
        <f>121400-6550</f>
        <v>114850</v>
      </c>
      <c r="E157" s="335">
        <f>121400-6550</f>
        <v>114850</v>
      </c>
      <c r="F157" s="331">
        <v>0</v>
      </c>
      <c r="G157" s="466">
        <f t="shared" si="43"/>
        <v>0</v>
      </c>
    </row>
    <row r="158" spans="1:15" ht="15.75" thickBot="1" x14ac:dyDescent="0.3">
      <c r="A158" s="102">
        <v>322</v>
      </c>
      <c r="B158" s="25" t="s">
        <v>162</v>
      </c>
      <c r="C158" s="331">
        <v>195000</v>
      </c>
      <c r="D158" s="331">
        <v>195000</v>
      </c>
      <c r="E158" s="331">
        <v>195000</v>
      </c>
      <c r="F158" s="331">
        <v>0</v>
      </c>
      <c r="G158" s="466">
        <f t="shared" si="43"/>
        <v>0</v>
      </c>
      <c r="I158" s="123">
        <f>SUM(C155:C158)</f>
        <v>619702</v>
      </c>
    </row>
    <row r="159" spans="1:15" ht="16.5" thickBot="1" x14ac:dyDescent="0.3">
      <c r="A159" s="648" t="s">
        <v>131</v>
      </c>
      <c r="B159" s="649"/>
      <c r="C159" s="328">
        <f>SUM(C160:C180)</f>
        <v>1020702</v>
      </c>
      <c r="D159" s="328">
        <f>SUM(D160:D180)</f>
        <v>1035220</v>
      </c>
      <c r="E159" s="328">
        <f>SUM(E160:E180)</f>
        <v>1035220</v>
      </c>
      <c r="F159" s="328">
        <f>SUM(F160:F180)</f>
        <v>5735</v>
      </c>
      <c r="G159" s="466">
        <f t="shared" si="43"/>
        <v>5.5398852417843552E-3</v>
      </c>
      <c r="H159" s="123">
        <f>D159-C159</f>
        <v>14518</v>
      </c>
    </row>
    <row r="160" spans="1:15" x14ac:dyDescent="0.25">
      <c r="A160" s="210" t="s">
        <v>50</v>
      </c>
      <c r="B160" s="211" t="s">
        <v>158</v>
      </c>
      <c r="C160" s="303">
        <v>127047</v>
      </c>
      <c r="D160" s="486">
        <f>127047+2403</f>
        <v>129450</v>
      </c>
      <c r="E160" s="303">
        <f>127047+2403</f>
        <v>129450</v>
      </c>
      <c r="F160" s="303">
        <v>0</v>
      </c>
      <c r="G160" s="466">
        <f t="shared" si="43"/>
        <v>0</v>
      </c>
      <c r="J160" s="123">
        <f>SUM(D160:D162)</f>
        <v>182050</v>
      </c>
      <c r="K160" s="123">
        <f t="shared" ref="K160" si="44">SUM(F160:F162)</f>
        <v>0</v>
      </c>
      <c r="M160" s="123"/>
    </row>
    <row r="161" spans="1:19" x14ac:dyDescent="0.25">
      <c r="A161" s="174" t="s">
        <v>50</v>
      </c>
      <c r="B161" s="152" t="s">
        <v>404</v>
      </c>
      <c r="C161" s="230">
        <v>15000</v>
      </c>
      <c r="D161" s="230">
        <v>15000</v>
      </c>
      <c r="E161" s="488">
        <f>15000+29000</f>
        <v>44000</v>
      </c>
      <c r="F161" s="230">
        <v>0</v>
      </c>
      <c r="G161" s="466">
        <f t="shared" si="43"/>
        <v>0</v>
      </c>
      <c r="K161" s="123"/>
      <c r="L161" s="123"/>
      <c r="M161" s="123"/>
    </row>
    <row r="162" spans="1:19" ht="15.75" thickBot="1" x14ac:dyDescent="0.3">
      <c r="A162" s="358" t="s">
        <v>50</v>
      </c>
      <c r="B162" s="108" t="s">
        <v>253</v>
      </c>
      <c r="C162" s="228">
        <v>10000</v>
      </c>
      <c r="D162" s="484">
        <f>10000+27600</f>
        <v>37600</v>
      </c>
      <c r="E162" s="484">
        <f>10000+27600-11160</f>
        <v>26440</v>
      </c>
      <c r="F162" s="228">
        <v>0</v>
      </c>
      <c r="G162" s="466">
        <f t="shared" si="43"/>
        <v>0</v>
      </c>
      <c r="I162" s="123">
        <f>SUM(C160:C162)</f>
        <v>152047</v>
      </c>
      <c r="J162" s="123"/>
      <c r="K162" s="123"/>
      <c r="L162" s="123"/>
      <c r="M162" s="123"/>
      <c r="N162" s="123"/>
      <c r="O162" s="123"/>
    </row>
    <row r="163" spans="1:19" ht="15.75" thickBot="1" x14ac:dyDescent="0.3">
      <c r="A163" s="357" t="s">
        <v>62</v>
      </c>
      <c r="B163" s="130" t="s">
        <v>254</v>
      </c>
      <c r="C163" s="231">
        <v>10000</v>
      </c>
      <c r="D163" s="489">
        <f>10000+20000</f>
        <v>30000</v>
      </c>
      <c r="E163" s="231">
        <f>10000+20000</f>
        <v>30000</v>
      </c>
      <c r="F163" s="231">
        <v>0</v>
      </c>
      <c r="G163" s="466">
        <f t="shared" si="43"/>
        <v>0</v>
      </c>
      <c r="K163" s="123"/>
      <c r="L163" s="123"/>
      <c r="M163" s="123"/>
    </row>
    <row r="164" spans="1:19" x14ac:dyDescent="0.25">
      <c r="A164" s="129" t="s">
        <v>69</v>
      </c>
      <c r="B164" s="76" t="s">
        <v>186</v>
      </c>
      <c r="C164" s="229">
        <v>6870</v>
      </c>
      <c r="D164" s="229">
        <v>6870</v>
      </c>
      <c r="E164" s="229">
        <v>6870</v>
      </c>
      <c r="F164" s="229">
        <v>0</v>
      </c>
      <c r="G164" s="466">
        <f t="shared" si="43"/>
        <v>0</v>
      </c>
      <c r="N164" s="123"/>
      <c r="O164" s="123"/>
      <c r="P164" s="123"/>
    </row>
    <row r="165" spans="1:19" ht="15.75" thickBot="1" x14ac:dyDescent="0.3">
      <c r="A165" s="358" t="s">
        <v>71</v>
      </c>
      <c r="B165" s="108" t="s">
        <v>255</v>
      </c>
      <c r="C165" s="228">
        <v>30000</v>
      </c>
      <c r="D165" s="484">
        <f>30000-25000</f>
        <v>5000</v>
      </c>
      <c r="E165" s="228">
        <f>30000-25000</f>
        <v>5000</v>
      </c>
      <c r="F165" s="228">
        <v>0</v>
      </c>
      <c r="G165" s="466">
        <f t="shared" si="43"/>
        <v>0</v>
      </c>
      <c r="H165" s="123"/>
      <c r="I165" s="123"/>
      <c r="K165" s="123"/>
    </row>
    <row r="166" spans="1:19" x14ac:dyDescent="0.25">
      <c r="A166" s="174" t="s">
        <v>77</v>
      </c>
      <c r="B166" s="133" t="s">
        <v>164</v>
      </c>
      <c r="C166" s="230">
        <v>206000</v>
      </c>
      <c r="D166" s="230">
        <v>206000</v>
      </c>
      <c r="E166" s="230">
        <v>206000</v>
      </c>
      <c r="F166" s="230">
        <v>0</v>
      </c>
      <c r="G166" s="466">
        <f t="shared" si="43"/>
        <v>0</v>
      </c>
      <c r="H166" s="123"/>
      <c r="I166" s="123"/>
      <c r="K166" s="123"/>
    </row>
    <row r="167" spans="1:19" ht="15.75" thickBot="1" x14ac:dyDescent="0.3">
      <c r="A167" s="173" t="s">
        <v>81</v>
      </c>
      <c r="B167" s="134" t="s">
        <v>195</v>
      </c>
      <c r="C167" s="231">
        <v>10000</v>
      </c>
      <c r="D167" s="231">
        <v>10000</v>
      </c>
      <c r="E167" s="231">
        <v>10000</v>
      </c>
      <c r="F167" s="231">
        <v>0</v>
      </c>
      <c r="G167" s="466">
        <f t="shared" si="43"/>
        <v>0</v>
      </c>
      <c r="K167" s="123"/>
    </row>
    <row r="168" spans="1:19" x14ac:dyDescent="0.25">
      <c r="A168" s="146" t="s">
        <v>132</v>
      </c>
      <c r="B168" s="147" t="s">
        <v>159</v>
      </c>
      <c r="C168" s="232">
        <v>6000</v>
      </c>
      <c r="D168" s="232">
        <v>6000</v>
      </c>
      <c r="E168" s="232">
        <v>6000</v>
      </c>
      <c r="F168" s="232">
        <v>0</v>
      </c>
      <c r="G168" s="466">
        <f t="shared" si="43"/>
        <v>0</v>
      </c>
      <c r="K168" s="123"/>
    </row>
    <row r="169" spans="1:19" x14ac:dyDescent="0.25">
      <c r="A169" s="188" t="s">
        <v>132</v>
      </c>
      <c r="B169" s="133" t="s">
        <v>215</v>
      </c>
      <c r="C169" s="230">
        <v>75730</v>
      </c>
      <c r="D169" s="488">
        <f>75730-9060</f>
        <v>66670</v>
      </c>
      <c r="E169" s="230">
        <f>75730-9060-17840</f>
        <v>48830</v>
      </c>
      <c r="F169" s="230">
        <v>3347</v>
      </c>
      <c r="G169" s="466">
        <f t="shared" si="43"/>
        <v>6.8543927913168129E-2</v>
      </c>
      <c r="H169" s="123"/>
      <c r="K169" s="123"/>
      <c r="L169" s="123"/>
      <c r="M169" s="123"/>
      <c r="R169" s="123"/>
      <c r="S169" s="123"/>
    </row>
    <row r="170" spans="1:19" x14ac:dyDescent="0.25">
      <c r="A170" s="188" t="s">
        <v>83</v>
      </c>
      <c r="B170" s="133" t="s">
        <v>219</v>
      </c>
      <c r="C170" s="230">
        <v>2000</v>
      </c>
      <c r="D170" s="230">
        <v>2000</v>
      </c>
      <c r="E170" s="230">
        <v>2000</v>
      </c>
      <c r="F170" s="230">
        <v>0</v>
      </c>
      <c r="G170" s="466">
        <f t="shared" si="43"/>
        <v>0</v>
      </c>
      <c r="H170" s="123"/>
      <c r="N170" s="123"/>
    </row>
    <row r="171" spans="1:19" ht="15.75" customHeight="1" x14ac:dyDescent="0.25">
      <c r="A171" s="188" t="s">
        <v>83</v>
      </c>
      <c r="B171" s="133" t="s">
        <v>256</v>
      </c>
      <c r="C171" s="230">
        <v>10000</v>
      </c>
      <c r="D171" s="230">
        <v>10000</v>
      </c>
      <c r="E171" s="230">
        <v>10000</v>
      </c>
      <c r="F171" s="230">
        <v>0</v>
      </c>
      <c r="G171" s="466">
        <f t="shared" si="43"/>
        <v>0</v>
      </c>
      <c r="H171" s="123"/>
    </row>
    <row r="172" spans="1:19" ht="15.75" customHeight="1" x14ac:dyDescent="0.25">
      <c r="A172" s="188" t="s">
        <v>83</v>
      </c>
      <c r="B172" s="133" t="s">
        <v>221</v>
      </c>
      <c r="C172" s="230">
        <v>47000</v>
      </c>
      <c r="D172" s="488">
        <f>47000-12270</f>
        <v>34730</v>
      </c>
      <c r="E172" s="230">
        <f>47000-12270</f>
        <v>34730</v>
      </c>
      <c r="F172" s="230">
        <v>0</v>
      </c>
      <c r="G172" s="466">
        <f t="shared" si="43"/>
        <v>0</v>
      </c>
      <c r="H172" s="123"/>
      <c r="I172" s="123"/>
    </row>
    <row r="173" spans="1:19" ht="15.75" thickBot="1" x14ac:dyDescent="0.3">
      <c r="A173" s="145" t="s">
        <v>85</v>
      </c>
      <c r="B173" s="131" t="s">
        <v>194</v>
      </c>
      <c r="C173" s="228">
        <v>10000</v>
      </c>
      <c r="D173" s="228">
        <v>10000</v>
      </c>
      <c r="E173" s="228">
        <v>10000</v>
      </c>
      <c r="F173" s="228">
        <v>0</v>
      </c>
      <c r="G173" s="466">
        <f t="shared" si="43"/>
        <v>0</v>
      </c>
    </row>
    <row r="174" spans="1:19" ht="15" customHeight="1" x14ac:dyDescent="0.25">
      <c r="A174" s="149" t="s">
        <v>97</v>
      </c>
      <c r="B174" s="106" t="s">
        <v>171</v>
      </c>
      <c r="C174" s="229">
        <v>31000</v>
      </c>
      <c r="D174" s="229">
        <v>31000</v>
      </c>
      <c r="E174" s="229">
        <v>31000</v>
      </c>
      <c r="F174" s="229">
        <v>0</v>
      </c>
      <c r="G174" s="466">
        <f t="shared" si="43"/>
        <v>0</v>
      </c>
    </row>
    <row r="175" spans="1:19" ht="16.5" customHeight="1" x14ac:dyDescent="0.25">
      <c r="A175" s="148" t="s">
        <v>97</v>
      </c>
      <c r="B175" s="105" t="s">
        <v>193</v>
      </c>
      <c r="C175" s="233">
        <v>20000</v>
      </c>
      <c r="D175" s="233">
        <v>20000</v>
      </c>
      <c r="E175" s="233">
        <v>20000</v>
      </c>
      <c r="F175" s="233">
        <v>0</v>
      </c>
      <c r="G175" s="466">
        <f t="shared" si="43"/>
        <v>0</v>
      </c>
      <c r="K175" s="123"/>
      <c r="M175" s="123"/>
      <c r="R175" s="123"/>
      <c r="S175" s="123"/>
    </row>
    <row r="176" spans="1:19" x14ac:dyDescent="0.25">
      <c r="A176" s="151" t="s">
        <v>102</v>
      </c>
      <c r="B176" s="152" t="s">
        <v>373</v>
      </c>
      <c r="C176" s="230">
        <v>45000</v>
      </c>
      <c r="D176" s="230">
        <v>45000</v>
      </c>
      <c r="E176" s="230">
        <v>45000</v>
      </c>
      <c r="F176" s="230">
        <v>0</v>
      </c>
      <c r="G176" s="466">
        <f t="shared" si="43"/>
        <v>0</v>
      </c>
      <c r="H176" s="123"/>
      <c r="I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1:19" ht="15.75" thickBot="1" x14ac:dyDescent="0.3">
      <c r="A177" s="153" t="s">
        <v>102</v>
      </c>
      <c r="B177" s="130" t="s">
        <v>342</v>
      </c>
      <c r="C177" s="231">
        <v>35000</v>
      </c>
      <c r="D177" s="231">
        <v>35000</v>
      </c>
      <c r="E177" s="231">
        <v>35000</v>
      </c>
      <c r="F177" s="231">
        <v>0</v>
      </c>
      <c r="G177" s="466">
        <f t="shared" si="43"/>
        <v>0</v>
      </c>
    </row>
    <row r="178" spans="1:19" x14ac:dyDescent="0.25">
      <c r="A178" s="213" t="s">
        <v>106</v>
      </c>
      <c r="B178" s="211" t="s">
        <v>165</v>
      </c>
      <c r="C178" s="303">
        <v>127800</v>
      </c>
      <c r="D178" s="486">
        <f>127800-800</f>
        <v>127000</v>
      </c>
      <c r="E178" s="303">
        <f>127800-800</f>
        <v>127000</v>
      </c>
      <c r="F178" s="303">
        <v>0</v>
      </c>
      <c r="G178" s="466">
        <f t="shared" si="43"/>
        <v>0</v>
      </c>
    </row>
    <row r="179" spans="1:19" ht="15.75" thickBot="1" x14ac:dyDescent="0.3">
      <c r="A179" s="153" t="s">
        <v>115</v>
      </c>
      <c r="B179" s="130" t="s">
        <v>246</v>
      </c>
      <c r="C179" s="231">
        <v>3000</v>
      </c>
      <c r="D179" s="489">
        <f>3000+600</f>
        <v>3600</v>
      </c>
      <c r="E179" s="231">
        <f>3000+600</f>
        <v>3600</v>
      </c>
      <c r="F179" s="231">
        <v>2388</v>
      </c>
      <c r="G179" s="466">
        <f t="shared" si="43"/>
        <v>0.66333333333333333</v>
      </c>
      <c r="H179" s="123"/>
      <c r="I179" s="123"/>
    </row>
    <row r="180" spans="1:19" ht="15.75" thickBot="1" x14ac:dyDescent="0.3">
      <c r="A180" s="356" t="s">
        <v>248</v>
      </c>
      <c r="B180" s="108" t="s">
        <v>247</v>
      </c>
      <c r="C180" s="228">
        <v>193255</v>
      </c>
      <c r="D180" s="484">
        <f>193255+11045</f>
        <v>204300</v>
      </c>
      <c r="E180" s="228">
        <f>193255+11045</f>
        <v>204300</v>
      </c>
      <c r="F180" s="228">
        <v>0</v>
      </c>
      <c r="G180" s="466">
        <f t="shared" si="43"/>
        <v>0</v>
      </c>
    </row>
    <row r="181" spans="1:19" x14ac:dyDescent="0.25">
      <c r="A181" s="155"/>
      <c r="B181" s="156"/>
      <c r="C181" s="79"/>
      <c r="D181" s="79"/>
      <c r="E181" s="79"/>
      <c r="F181" s="79"/>
      <c r="G181" s="81"/>
    </row>
    <row r="182" spans="1:19" ht="15" customHeight="1" x14ac:dyDescent="0.25">
      <c r="A182" s="154"/>
      <c r="B182" s="80"/>
      <c r="C182" s="81"/>
      <c r="D182" s="81"/>
      <c r="E182" s="81"/>
      <c r="F182" s="81"/>
      <c r="K182" s="123"/>
      <c r="L182" s="123"/>
      <c r="M182" s="123"/>
      <c r="N182" s="123"/>
    </row>
    <row r="183" spans="1:19" ht="18.75" thickBot="1" x14ac:dyDescent="0.3">
      <c r="A183" s="650" t="s">
        <v>133</v>
      </c>
      <c r="B183" s="651"/>
      <c r="C183" s="651"/>
      <c r="D183" s="651"/>
      <c r="E183" s="651"/>
      <c r="F183" s="651"/>
      <c r="J183" s="123"/>
      <c r="K183" s="123"/>
      <c r="L183" s="123"/>
      <c r="M183" s="123"/>
    </row>
    <row r="184" spans="1:19" x14ac:dyDescent="0.25">
      <c r="A184" s="644" t="s">
        <v>1</v>
      </c>
      <c r="B184" s="645"/>
      <c r="C184" s="638" t="s">
        <v>323</v>
      </c>
      <c r="D184" s="638" t="s">
        <v>322</v>
      </c>
      <c r="E184" s="638" t="s">
        <v>408</v>
      </c>
      <c r="F184" s="638" t="s">
        <v>397</v>
      </c>
      <c r="G184" s="640" t="s">
        <v>352</v>
      </c>
      <c r="J184" s="123"/>
      <c r="K184" s="123"/>
      <c r="M184" s="123"/>
      <c r="R184" s="123"/>
      <c r="S184" s="123"/>
    </row>
    <row r="185" spans="1:19" ht="15.75" thickBot="1" x14ac:dyDescent="0.3">
      <c r="A185" s="646"/>
      <c r="B185" s="647"/>
      <c r="C185" s="639"/>
      <c r="D185" s="639"/>
      <c r="E185" s="639"/>
      <c r="F185" s="639"/>
      <c r="G185" s="641"/>
      <c r="H185" s="123"/>
      <c r="I185" s="123"/>
      <c r="K185" s="123"/>
      <c r="L185" s="123"/>
      <c r="N185" s="123"/>
      <c r="O185" s="123"/>
      <c r="P185" s="123"/>
      <c r="Q185" s="123"/>
    </row>
    <row r="186" spans="1:19" ht="16.5" thickBot="1" x14ac:dyDescent="0.3">
      <c r="A186" s="82" t="s">
        <v>134</v>
      </c>
      <c r="B186" s="83"/>
      <c r="C186" s="84">
        <f t="shared" ref="C186:F186" si="45">SUM(C187:C191)</f>
        <v>402140</v>
      </c>
      <c r="D186" s="84">
        <f t="shared" si="45"/>
        <v>402140</v>
      </c>
      <c r="E186" s="84">
        <f t="shared" ref="E186" si="46">SUM(E187:E191)</f>
        <v>402140</v>
      </c>
      <c r="F186" s="84">
        <f t="shared" si="45"/>
        <v>6795</v>
      </c>
      <c r="G186" s="466">
        <f>F186/E186</f>
        <v>1.6897100512259414E-2</v>
      </c>
      <c r="H186" s="123">
        <f>D186-C186</f>
        <v>0</v>
      </c>
      <c r="I186" s="123">
        <f>E186-D186</f>
        <v>0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1:19" ht="15.75" customHeight="1" x14ac:dyDescent="0.25">
      <c r="A187" s="158">
        <v>453</v>
      </c>
      <c r="B187" s="159" t="s">
        <v>355</v>
      </c>
      <c r="C187" s="172">
        <v>1000</v>
      </c>
      <c r="D187" s="172">
        <v>1000</v>
      </c>
      <c r="E187" s="172">
        <v>1000</v>
      </c>
      <c r="F187" s="172">
        <v>320</v>
      </c>
      <c r="G187" s="466">
        <f t="shared" ref="G187:G195" si="47">F187/E187</f>
        <v>0.32</v>
      </c>
      <c r="J187" s="123"/>
      <c r="M187" s="123"/>
    </row>
    <row r="188" spans="1:19" ht="15" customHeight="1" x14ac:dyDescent="0.25">
      <c r="A188" s="158">
        <v>453</v>
      </c>
      <c r="B188" s="159" t="s">
        <v>330</v>
      </c>
      <c r="C188" s="172">
        <v>1000</v>
      </c>
      <c r="D188" s="172">
        <v>1000</v>
      </c>
      <c r="E188" s="172">
        <v>1000</v>
      </c>
      <c r="F188" s="172">
        <v>834</v>
      </c>
      <c r="G188" s="466">
        <f t="shared" si="47"/>
        <v>0.83399999999999996</v>
      </c>
      <c r="I188" s="123"/>
      <c r="J188" s="123">
        <f>SUM(D187:D190)</f>
        <v>102140</v>
      </c>
      <c r="K188" s="123">
        <f>SUM(F187:F190)</f>
        <v>6795</v>
      </c>
      <c r="M188" s="123"/>
    </row>
    <row r="189" spans="1:19" x14ac:dyDescent="0.25">
      <c r="A189" s="157">
        <v>454</v>
      </c>
      <c r="B189" s="126" t="s">
        <v>135</v>
      </c>
      <c r="C189" s="171">
        <v>100000</v>
      </c>
      <c r="D189" s="171">
        <v>100000</v>
      </c>
      <c r="E189" s="171">
        <v>100000</v>
      </c>
      <c r="F189" s="171">
        <v>5635</v>
      </c>
      <c r="G189" s="466">
        <f t="shared" si="47"/>
        <v>5.6349999999999997E-2</v>
      </c>
      <c r="I189" s="123"/>
    </row>
    <row r="190" spans="1:19" ht="15" customHeight="1" thickBot="1" x14ac:dyDescent="0.3">
      <c r="A190" s="225">
        <v>456</v>
      </c>
      <c r="B190" s="226" t="s">
        <v>204</v>
      </c>
      <c r="C190" s="227">
        <v>140</v>
      </c>
      <c r="D190" s="227">
        <v>140</v>
      </c>
      <c r="E190" s="227">
        <v>140</v>
      </c>
      <c r="F190" s="227">
        <v>6</v>
      </c>
      <c r="G190" s="466">
        <f t="shared" si="47"/>
        <v>4.2857142857142858E-2</v>
      </c>
      <c r="H190" s="89"/>
      <c r="I190" s="123">
        <f>SUM(C187:C190)</f>
        <v>102140</v>
      </c>
    </row>
    <row r="191" spans="1:19" ht="15.75" customHeight="1" thickBot="1" x14ac:dyDescent="0.3">
      <c r="A191" s="222">
        <v>513</v>
      </c>
      <c r="B191" s="223" t="s">
        <v>137</v>
      </c>
      <c r="C191" s="224">
        <v>300000</v>
      </c>
      <c r="D191" s="224">
        <v>300000</v>
      </c>
      <c r="E191" s="224">
        <v>300000</v>
      </c>
      <c r="F191" s="224">
        <v>0</v>
      </c>
      <c r="G191" s="466">
        <f t="shared" si="47"/>
        <v>0</v>
      </c>
      <c r="H191" s="123"/>
    </row>
    <row r="192" spans="1:19" ht="16.5" thickBot="1" x14ac:dyDescent="0.3">
      <c r="A192" s="82" t="s">
        <v>138</v>
      </c>
      <c r="B192" s="83"/>
      <c r="C192" s="84">
        <f t="shared" ref="C192:F192" si="48">SUM(C193:C195)</f>
        <v>10940</v>
      </c>
      <c r="D192" s="84">
        <f t="shared" si="48"/>
        <v>11000</v>
      </c>
      <c r="E192" s="84">
        <f t="shared" ref="E192" si="49">SUM(E193:E195)</f>
        <v>11000</v>
      </c>
      <c r="F192" s="84">
        <f t="shared" si="48"/>
        <v>224</v>
      </c>
      <c r="G192" s="466">
        <f t="shared" si="47"/>
        <v>2.0363636363636365E-2</v>
      </c>
      <c r="H192" s="123">
        <f>D192-C192</f>
        <v>60</v>
      </c>
      <c r="I192" s="123">
        <f>E192-D192</f>
        <v>0</v>
      </c>
    </row>
    <row r="193" spans="1:13" x14ac:dyDescent="0.25">
      <c r="A193" s="206">
        <v>819</v>
      </c>
      <c r="B193" s="85" t="s">
        <v>203</v>
      </c>
      <c r="C193" s="86">
        <v>140</v>
      </c>
      <c r="D193" s="86">
        <v>140</v>
      </c>
      <c r="E193" s="86">
        <v>140</v>
      </c>
      <c r="F193" s="86">
        <v>8</v>
      </c>
      <c r="G193" s="466">
        <f t="shared" si="47"/>
        <v>5.7142857142857141E-2</v>
      </c>
    </row>
    <row r="194" spans="1:13" x14ac:dyDescent="0.25">
      <c r="A194" s="207">
        <v>821</v>
      </c>
      <c r="B194" s="208" t="s">
        <v>206</v>
      </c>
      <c r="C194" s="169">
        <v>10000</v>
      </c>
      <c r="D194" s="169">
        <v>10000</v>
      </c>
      <c r="E194" s="169">
        <v>10000</v>
      </c>
      <c r="F194" s="169">
        <v>0</v>
      </c>
      <c r="G194" s="466">
        <f t="shared" si="47"/>
        <v>0</v>
      </c>
    </row>
    <row r="195" spans="1:13" ht="15.75" thickBot="1" x14ac:dyDescent="0.3">
      <c r="A195" s="339">
        <v>821</v>
      </c>
      <c r="B195" s="87" t="s">
        <v>139</v>
      </c>
      <c r="C195" s="42">
        <v>800</v>
      </c>
      <c r="D195" s="454">
        <v>860</v>
      </c>
      <c r="E195" s="50">
        <v>860</v>
      </c>
      <c r="F195" s="42">
        <v>216</v>
      </c>
      <c r="G195" s="466">
        <f t="shared" si="47"/>
        <v>0.25116279069767444</v>
      </c>
    </row>
    <row r="196" spans="1:13" x14ac:dyDescent="0.25">
      <c r="A196" s="154"/>
      <c r="B196" s="88"/>
      <c r="C196" s="89"/>
      <c r="D196" s="89"/>
      <c r="E196" s="89"/>
      <c r="F196" s="89"/>
      <c r="G196" s="156"/>
    </row>
    <row r="197" spans="1:13" ht="15" customHeight="1" x14ac:dyDescent="0.25">
      <c r="A197" s="33"/>
      <c r="B197" s="156"/>
      <c r="C197" s="156"/>
      <c r="D197" s="156"/>
      <c r="E197" s="156"/>
      <c r="F197" s="156"/>
    </row>
    <row r="198" spans="1:13" ht="18.75" thickBot="1" x14ac:dyDescent="0.3">
      <c r="A198" s="642" t="s">
        <v>140</v>
      </c>
      <c r="B198" s="643"/>
      <c r="C198" s="643"/>
      <c r="D198" s="643"/>
      <c r="E198" s="643"/>
      <c r="F198" s="643"/>
    </row>
    <row r="199" spans="1:13" x14ac:dyDescent="0.25">
      <c r="A199" s="644" t="s">
        <v>1</v>
      </c>
      <c r="B199" s="645"/>
      <c r="C199" s="638" t="s">
        <v>323</v>
      </c>
      <c r="D199" s="638" t="s">
        <v>322</v>
      </c>
      <c r="E199" s="638" t="s">
        <v>408</v>
      </c>
      <c r="F199" s="638" t="s">
        <v>397</v>
      </c>
    </row>
    <row r="200" spans="1:13" ht="15.75" thickBot="1" x14ac:dyDescent="0.3">
      <c r="A200" s="646"/>
      <c r="B200" s="647"/>
      <c r="C200" s="639"/>
      <c r="D200" s="639"/>
      <c r="E200" s="639"/>
      <c r="F200" s="639"/>
    </row>
    <row r="201" spans="1:13" ht="15.75" x14ac:dyDescent="0.25">
      <c r="A201" s="90" t="s">
        <v>141</v>
      </c>
      <c r="B201" s="120"/>
      <c r="C201" s="91">
        <f>C77</f>
        <v>2160910</v>
      </c>
      <c r="D201" s="91">
        <f>D77</f>
        <v>2204460</v>
      </c>
      <c r="E201" s="91">
        <f>E77</f>
        <v>2211405</v>
      </c>
      <c r="F201" s="91">
        <f>F77</f>
        <v>556866</v>
      </c>
    </row>
    <row r="202" spans="1:13" ht="15.75" x14ac:dyDescent="0.25">
      <c r="A202" s="92" t="s">
        <v>142</v>
      </c>
      <c r="B202" s="209"/>
      <c r="C202" s="93">
        <f>C147</f>
        <v>2152110</v>
      </c>
      <c r="D202" s="93">
        <f>D147</f>
        <v>2195600</v>
      </c>
      <c r="E202" s="93">
        <f>E147</f>
        <v>2202545</v>
      </c>
      <c r="F202" s="93">
        <f>F147</f>
        <v>424456.31</v>
      </c>
    </row>
    <row r="203" spans="1:13" ht="15.75" x14ac:dyDescent="0.25">
      <c r="A203" s="634" t="s">
        <v>143</v>
      </c>
      <c r="B203" s="635"/>
      <c r="C203" s="94">
        <f t="shared" ref="C203:F203" si="50">C201-C202</f>
        <v>8800</v>
      </c>
      <c r="D203" s="94">
        <f t="shared" si="50"/>
        <v>8860</v>
      </c>
      <c r="E203" s="94">
        <f t="shared" ref="E203" si="51">E201-E202</f>
        <v>8860</v>
      </c>
      <c r="F203" s="94">
        <f t="shared" si="50"/>
        <v>132409.69</v>
      </c>
    </row>
    <row r="204" spans="1:13" ht="15.75" x14ac:dyDescent="0.25">
      <c r="A204" s="92" t="s">
        <v>144</v>
      </c>
      <c r="B204" s="116"/>
      <c r="C204" s="93">
        <f>C153</f>
        <v>620702</v>
      </c>
      <c r="D204" s="93">
        <f>D153</f>
        <v>635220</v>
      </c>
      <c r="E204" s="93">
        <f>E153</f>
        <v>635220</v>
      </c>
      <c r="F204" s="93">
        <f>F153</f>
        <v>0</v>
      </c>
    </row>
    <row r="205" spans="1:13" ht="15.75" x14ac:dyDescent="0.25">
      <c r="A205" s="92" t="s">
        <v>145</v>
      </c>
      <c r="B205" s="116"/>
      <c r="C205" s="8">
        <f>C159</f>
        <v>1020702</v>
      </c>
      <c r="D205" s="8">
        <f>D159</f>
        <v>1035220</v>
      </c>
      <c r="E205" s="8">
        <f>E159</f>
        <v>1035220</v>
      </c>
      <c r="F205" s="8">
        <f>F159</f>
        <v>5735</v>
      </c>
    </row>
    <row r="206" spans="1:13" ht="15.75" x14ac:dyDescent="0.25">
      <c r="A206" s="634" t="s">
        <v>146</v>
      </c>
      <c r="B206" s="635"/>
      <c r="C206" s="94">
        <f t="shared" ref="C206:F206" si="52">C204-C205</f>
        <v>-400000</v>
      </c>
      <c r="D206" s="94">
        <f t="shared" si="52"/>
        <v>-400000</v>
      </c>
      <c r="E206" s="94">
        <f t="shared" ref="E206" si="53">E204-E205</f>
        <v>-400000</v>
      </c>
      <c r="F206" s="94">
        <f t="shared" si="52"/>
        <v>-5735</v>
      </c>
      <c r="M206" s="123"/>
    </row>
    <row r="207" spans="1:13" ht="15.75" x14ac:dyDescent="0.25">
      <c r="A207" s="95" t="s">
        <v>147</v>
      </c>
      <c r="B207" s="96"/>
      <c r="C207" s="97">
        <f t="shared" ref="C207:F207" si="54">C186</f>
        <v>402140</v>
      </c>
      <c r="D207" s="97">
        <f t="shared" si="54"/>
        <v>402140</v>
      </c>
      <c r="E207" s="97">
        <f t="shared" ref="E207" si="55">E186</f>
        <v>402140</v>
      </c>
      <c r="F207" s="97">
        <f t="shared" si="54"/>
        <v>6795</v>
      </c>
      <c r="K207" s="123"/>
      <c r="L207" s="123"/>
      <c r="M207" s="123"/>
    </row>
    <row r="208" spans="1:13" ht="15.75" x14ac:dyDescent="0.25">
      <c r="A208" s="95" t="s">
        <v>148</v>
      </c>
      <c r="B208" s="96"/>
      <c r="C208" s="97">
        <f t="shared" ref="C208:F208" si="56">C192</f>
        <v>10940</v>
      </c>
      <c r="D208" s="97">
        <f t="shared" si="56"/>
        <v>11000</v>
      </c>
      <c r="E208" s="97">
        <f t="shared" ref="E208" si="57">E192</f>
        <v>11000</v>
      </c>
      <c r="F208" s="97">
        <f t="shared" si="56"/>
        <v>224</v>
      </c>
      <c r="J208" s="123"/>
      <c r="K208" s="123"/>
      <c r="L208" s="123"/>
      <c r="M208" s="123"/>
    </row>
    <row r="209" spans="1:13" ht="16.5" thickBot="1" x14ac:dyDescent="0.3">
      <c r="A209" s="636" t="s">
        <v>149</v>
      </c>
      <c r="B209" s="637"/>
      <c r="C209" s="98">
        <f t="shared" ref="C209:F209" si="58">C207-C208</f>
        <v>391200</v>
      </c>
      <c r="D209" s="98">
        <f t="shared" si="58"/>
        <v>391140</v>
      </c>
      <c r="E209" s="98">
        <f t="shared" ref="E209" si="59">E207-E208</f>
        <v>391140</v>
      </c>
      <c r="F209" s="98">
        <f t="shared" si="58"/>
        <v>6571</v>
      </c>
      <c r="J209" s="123"/>
      <c r="K209" s="123"/>
      <c r="L209" s="123"/>
      <c r="M209" s="123"/>
    </row>
    <row r="210" spans="1:13" ht="16.5" thickBot="1" x14ac:dyDescent="0.3">
      <c r="A210" s="160" t="s">
        <v>150</v>
      </c>
      <c r="B210" s="99"/>
      <c r="C210" s="161">
        <f t="shared" ref="C210:F210" si="60">C203+C206+C209</f>
        <v>0</v>
      </c>
      <c r="D210" s="161">
        <f t="shared" si="60"/>
        <v>0</v>
      </c>
      <c r="E210" s="161">
        <f t="shared" ref="E210" si="61">E203+E206+E209</f>
        <v>0</v>
      </c>
      <c r="F210" s="161">
        <f t="shared" si="60"/>
        <v>133245.69</v>
      </c>
      <c r="I210" s="123"/>
      <c r="J210" s="123"/>
      <c r="K210" s="123"/>
      <c r="L210" s="123"/>
      <c r="M210" s="123"/>
    </row>
    <row r="211" spans="1:13" x14ac:dyDescent="0.25">
      <c r="G211" s="123"/>
      <c r="H211" s="123"/>
      <c r="I211" s="123"/>
      <c r="J211" s="123"/>
      <c r="K211" s="123"/>
      <c r="L211" s="123"/>
    </row>
    <row r="212" spans="1:13" x14ac:dyDescent="0.25">
      <c r="B212" s="162" t="s">
        <v>151</v>
      </c>
      <c r="C212" s="123">
        <f t="shared" ref="C212:F213" si="62">C201+C204+C207</f>
        <v>3183752</v>
      </c>
      <c r="D212" s="123">
        <f t="shared" si="62"/>
        <v>3241820</v>
      </c>
      <c r="E212" s="123">
        <f t="shared" ref="E212" si="63">E201+E204+E207</f>
        <v>3248765</v>
      </c>
      <c r="F212" s="123">
        <f t="shared" si="62"/>
        <v>563661</v>
      </c>
      <c r="G212" s="123"/>
      <c r="H212" s="123">
        <f>D212-C212</f>
        <v>58068</v>
      </c>
      <c r="I212" s="123">
        <f>E212-D212</f>
        <v>6945</v>
      </c>
      <c r="J212" s="123"/>
    </row>
    <row r="213" spans="1:13" x14ac:dyDescent="0.25">
      <c r="B213" s="162" t="s">
        <v>152</v>
      </c>
      <c r="C213" s="123">
        <f t="shared" si="62"/>
        <v>3183752</v>
      </c>
      <c r="D213" s="123">
        <f t="shared" si="62"/>
        <v>3241820</v>
      </c>
      <c r="E213" s="123">
        <f t="shared" ref="E213" si="64">E202+E205+E208</f>
        <v>3248765</v>
      </c>
      <c r="F213" s="123">
        <f t="shared" si="62"/>
        <v>430415.31</v>
      </c>
      <c r="G213" s="123"/>
      <c r="H213" s="123">
        <f t="shared" ref="H213:I216" si="65">D213-C213</f>
        <v>58068</v>
      </c>
      <c r="I213" s="123">
        <f t="shared" si="65"/>
        <v>6945</v>
      </c>
    </row>
    <row r="214" spans="1:13" x14ac:dyDescent="0.25">
      <c r="B214" s="162"/>
      <c r="C214" s="123"/>
      <c r="D214" s="123"/>
      <c r="E214" s="123"/>
      <c r="F214" s="123"/>
      <c r="G214" s="123"/>
      <c r="H214" s="123"/>
      <c r="I214" s="123"/>
    </row>
    <row r="215" spans="1:13" x14ac:dyDescent="0.25">
      <c r="B215" s="162" t="s">
        <v>153</v>
      </c>
      <c r="C215" s="123">
        <f>C212-C76</f>
        <v>3115422</v>
      </c>
      <c r="D215" s="123">
        <f>D212-D76</f>
        <v>3173490</v>
      </c>
      <c r="E215" s="123">
        <f>E212-E76</f>
        <v>3180435</v>
      </c>
      <c r="F215" s="123">
        <f>F212-F76</f>
        <v>558429</v>
      </c>
      <c r="G215" s="123"/>
      <c r="H215" s="123">
        <f t="shared" si="65"/>
        <v>58068</v>
      </c>
      <c r="I215" s="123">
        <f t="shared" si="65"/>
        <v>6945</v>
      </c>
    </row>
    <row r="216" spans="1:13" x14ac:dyDescent="0.25">
      <c r="B216" s="162" t="s">
        <v>154</v>
      </c>
      <c r="C216" s="123">
        <f>C213-C146</f>
        <v>2413787</v>
      </c>
      <c r="D216" s="123">
        <f>D213-D146</f>
        <v>2458036</v>
      </c>
      <c r="E216" s="123">
        <f>E213-E146</f>
        <v>2464981</v>
      </c>
      <c r="F216" s="123">
        <f>F213-F146</f>
        <v>245387.31</v>
      </c>
      <c r="G216" s="123"/>
      <c r="H216" s="123">
        <f t="shared" si="65"/>
        <v>44249</v>
      </c>
      <c r="I216" s="123">
        <f t="shared" si="65"/>
        <v>6945</v>
      </c>
    </row>
    <row r="217" spans="1:13" x14ac:dyDescent="0.25">
      <c r="B217" s="162"/>
      <c r="C217" s="123"/>
      <c r="D217" s="123"/>
      <c r="E217" s="123"/>
      <c r="F217" s="123"/>
    </row>
    <row r="218" spans="1:13" x14ac:dyDescent="0.25">
      <c r="A218" s="236"/>
      <c r="B218" s="237" t="s">
        <v>214</v>
      </c>
    </row>
    <row r="220" spans="1:13" x14ac:dyDescent="0.25">
      <c r="B220" s="110" t="s">
        <v>155</v>
      </c>
    </row>
    <row r="222" spans="1:13" x14ac:dyDescent="0.25">
      <c r="B222" s="100" t="s">
        <v>271</v>
      </c>
    </row>
    <row r="223" spans="1:13" x14ac:dyDescent="0.25">
      <c r="B223" s="215" t="s">
        <v>377</v>
      </c>
    </row>
    <row r="224" spans="1:13" x14ac:dyDescent="0.25">
      <c r="B224" s="215" t="s">
        <v>419</v>
      </c>
    </row>
    <row r="225" spans="2:2" x14ac:dyDescent="0.25">
      <c r="B225" s="215"/>
    </row>
    <row r="226" spans="2:2" x14ac:dyDescent="0.25">
      <c r="B226" s="110" t="s">
        <v>403</v>
      </c>
    </row>
    <row r="227" spans="2:2" x14ac:dyDescent="0.25">
      <c r="B227" s="110" t="s">
        <v>420</v>
      </c>
    </row>
  </sheetData>
  <mergeCells count="47">
    <mergeCell ref="A203:B203"/>
    <mergeCell ref="A206:B206"/>
    <mergeCell ref="A209:B209"/>
    <mergeCell ref="E2:E3"/>
    <mergeCell ref="E81:E82"/>
    <mergeCell ref="E151:E152"/>
    <mergeCell ref="E184:E185"/>
    <mergeCell ref="E199:E200"/>
    <mergeCell ref="A159:B159"/>
    <mergeCell ref="A183:F183"/>
    <mergeCell ref="A151:B152"/>
    <mergeCell ref="C151:C152"/>
    <mergeCell ref="D151:D152"/>
    <mergeCell ref="F151:F152"/>
    <mergeCell ref="A4:B4"/>
    <mergeCell ref="A12:B12"/>
    <mergeCell ref="G184:G185"/>
    <mergeCell ref="A198:F198"/>
    <mergeCell ref="A199:B200"/>
    <mergeCell ref="C199:C200"/>
    <mergeCell ref="D199:D200"/>
    <mergeCell ref="F199:F200"/>
    <mergeCell ref="A184:B185"/>
    <mergeCell ref="C184:C185"/>
    <mergeCell ref="D184:D185"/>
    <mergeCell ref="F184:F185"/>
    <mergeCell ref="G151:G152"/>
    <mergeCell ref="A153:B153"/>
    <mergeCell ref="G81:G82"/>
    <mergeCell ref="A99:B99"/>
    <mergeCell ref="A142:B142"/>
    <mergeCell ref="A145:B145"/>
    <mergeCell ref="A146:B146"/>
    <mergeCell ref="A150:F150"/>
    <mergeCell ref="A74:B74"/>
    <mergeCell ref="A76:B76"/>
    <mergeCell ref="A80:F80"/>
    <mergeCell ref="A81:B82"/>
    <mergeCell ref="C81:C82"/>
    <mergeCell ref="D81:D82"/>
    <mergeCell ref="F81:F82"/>
    <mergeCell ref="G2:G3"/>
    <mergeCell ref="A1:F1"/>
    <mergeCell ref="A2:B3"/>
    <mergeCell ref="C2:C3"/>
    <mergeCell ref="D2:D3"/>
    <mergeCell ref="F2:F3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 xml:space="preserve">&amp;C&amp;"Arial,Tučné"&amp;14Rozpočet na rok 2019
2. zmena 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3"/>
  <sheetViews>
    <sheetView zoomScaleNormal="100" workbookViewId="0">
      <selection sqref="A1:E1"/>
    </sheetView>
  </sheetViews>
  <sheetFormatPr defaultRowHeight="15" x14ac:dyDescent="0.25"/>
  <cols>
    <col min="1" max="1" width="6" style="110" customWidth="1"/>
    <col min="2" max="2" width="67.28515625" style="110" customWidth="1"/>
    <col min="3" max="5" width="12.5703125" style="110" customWidth="1"/>
    <col min="6" max="6" width="6.85546875" style="110" customWidth="1"/>
    <col min="7" max="7" width="9.140625" style="110"/>
    <col min="8" max="8" width="11.7109375" style="110" customWidth="1"/>
    <col min="9" max="10" width="9.140625" style="110"/>
    <col min="11" max="11" width="11" style="110" customWidth="1"/>
    <col min="12" max="16384" width="9.140625" style="110"/>
  </cols>
  <sheetData>
    <row r="1" spans="1:6" ht="18.75" thickBot="1" x14ac:dyDescent="0.3">
      <c r="A1" s="674" t="s">
        <v>0</v>
      </c>
      <c r="B1" s="675"/>
      <c r="C1" s="675"/>
      <c r="D1" s="675"/>
      <c r="E1" s="675"/>
    </row>
    <row r="2" spans="1:6" ht="15" customHeight="1" x14ac:dyDescent="0.25">
      <c r="A2" s="644" t="s">
        <v>1</v>
      </c>
      <c r="B2" s="645"/>
      <c r="C2" s="638" t="s">
        <v>323</v>
      </c>
      <c r="D2" s="638" t="s">
        <v>322</v>
      </c>
      <c r="E2" s="638" t="s">
        <v>397</v>
      </c>
      <c r="F2" s="662" t="s">
        <v>352</v>
      </c>
    </row>
    <row r="3" spans="1:6" ht="15.75" thickBot="1" x14ac:dyDescent="0.3">
      <c r="A3" s="646"/>
      <c r="B3" s="647"/>
      <c r="C3" s="639"/>
      <c r="D3" s="639"/>
      <c r="E3" s="639"/>
      <c r="F3" s="663"/>
    </row>
    <row r="4" spans="1:6" ht="15.75" thickBot="1" x14ac:dyDescent="0.3">
      <c r="A4" s="664" t="s">
        <v>2</v>
      </c>
      <c r="B4" s="665"/>
      <c r="C4" s="1">
        <f t="shared" ref="C4:E4" si="0">SUM(C5:C11)</f>
        <v>1151580</v>
      </c>
      <c r="D4" s="1">
        <f t="shared" si="0"/>
        <v>1173580</v>
      </c>
      <c r="E4" s="1">
        <f t="shared" si="0"/>
        <v>341308</v>
      </c>
      <c r="F4" s="466">
        <f>E4/D4</f>
        <v>0.29082636036742276</v>
      </c>
    </row>
    <row r="5" spans="1:6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v>319195</v>
      </c>
      <c r="F5" s="466">
        <f t="shared" ref="F5:F68" si="1">E5/D5</f>
        <v>0.28782236248872861</v>
      </c>
    </row>
    <row r="6" spans="1:6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10862</v>
      </c>
      <c r="F6" s="466">
        <f t="shared" si="1"/>
        <v>0.31320645905420991</v>
      </c>
    </row>
    <row r="7" spans="1:6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597</v>
      </c>
      <c r="F7" s="466">
        <f t="shared" si="1"/>
        <v>0.59699999999999998</v>
      </c>
    </row>
    <row r="8" spans="1:6" x14ac:dyDescent="0.25">
      <c r="A8" s="115">
        <v>133</v>
      </c>
      <c r="B8" s="116" t="s">
        <v>6</v>
      </c>
      <c r="C8" s="8">
        <v>400</v>
      </c>
      <c r="D8" s="8">
        <v>400</v>
      </c>
      <c r="E8" s="8">
        <v>359</v>
      </c>
      <c r="F8" s="466">
        <f t="shared" si="1"/>
        <v>0.89749999999999996</v>
      </c>
    </row>
    <row r="9" spans="1:6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306</v>
      </c>
      <c r="F9" s="466">
        <f t="shared" si="1"/>
        <v>0.20399999999999999</v>
      </c>
    </row>
    <row r="10" spans="1:6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170</v>
      </c>
      <c r="F10" s="466">
        <f t="shared" si="1"/>
        <v>4.2500000000000003E-2</v>
      </c>
    </row>
    <row r="11" spans="1:6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9819</v>
      </c>
      <c r="F11" s="466">
        <f t="shared" si="1"/>
        <v>0.42691304347826087</v>
      </c>
    </row>
    <row r="12" spans="1:6" ht="15.75" thickBot="1" x14ac:dyDescent="0.3">
      <c r="A12" s="664" t="s">
        <v>10</v>
      </c>
      <c r="B12" s="665"/>
      <c r="C12" s="1">
        <f t="shared" ref="C12:E12" si="2">SUM(C13:C33)</f>
        <v>218240</v>
      </c>
      <c r="D12" s="1">
        <f t="shared" si="2"/>
        <v>217115</v>
      </c>
      <c r="E12" s="1">
        <f t="shared" si="2"/>
        <v>46302</v>
      </c>
      <c r="F12" s="466">
        <f t="shared" si="1"/>
        <v>0.21326025378255764</v>
      </c>
    </row>
    <row r="13" spans="1:6" x14ac:dyDescent="0.25">
      <c r="A13" s="119">
        <v>212</v>
      </c>
      <c r="B13" s="120" t="s">
        <v>11</v>
      </c>
      <c r="C13" s="270">
        <v>1967</v>
      </c>
      <c r="D13" s="270">
        <v>1967</v>
      </c>
      <c r="E13" s="270">
        <v>424</v>
      </c>
      <c r="F13" s="466">
        <f t="shared" si="1"/>
        <v>0.21555668530757499</v>
      </c>
    </row>
    <row r="14" spans="1:6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1500</v>
      </c>
      <c r="F14" s="466">
        <f t="shared" si="1"/>
        <v>0.20547945205479451</v>
      </c>
    </row>
    <row r="15" spans="1:6" x14ac:dyDescent="0.25">
      <c r="A15" s="115">
        <v>212</v>
      </c>
      <c r="B15" s="116" t="s">
        <v>13</v>
      </c>
      <c r="C15" s="170">
        <v>3910</v>
      </c>
      <c r="D15" s="170">
        <v>3910</v>
      </c>
      <c r="E15" s="170">
        <v>1224</v>
      </c>
      <c r="F15" s="466">
        <f t="shared" si="1"/>
        <v>0.31304347826086959</v>
      </c>
    </row>
    <row r="16" spans="1:6" x14ac:dyDescent="0.25">
      <c r="A16" s="115">
        <v>212</v>
      </c>
      <c r="B16" s="116" t="s">
        <v>14</v>
      </c>
      <c r="C16" s="9">
        <v>18763</v>
      </c>
      <c r="D16" s="459">
        <f>18763+500+375</f>
        <v>19638</v>
      </c>
      <c r="E16" s="9">
        <v>3252</v>
      </c>
      <c r="F16" s="466">
        <f t="shared" si="1"/>
        <v>0.1655973113351665</v>
      </c>
    </row>
    <row r="17" spans="1:17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0</v>
      </c>
      <c r="F17" s="466">
        <f t="shared" si="1"/>
        <v>0</v>
      </c>
      <c r="G17" s="123">
        <f>SUM(C13:C17)</f>
        <v>32340</v>
      </c>
      <c r="H17" s="123">
        <f t="shared" ref="H17:I17" si="3">SUM(D13:D17)</f>
        <v>33215</v>
      </c>
      <c r="I17" s="123">
        <f t="shared" si="3"/>
        <v>6400</v>
      </c>
      <c r="J17" s="123"/>
      <c r="K17" s="123"/>
      <c r="L17" s="123"/>
      <c r="M17" s="123"/>
      <c r="N17" s="123"/>
    </row>
    <row r="18" spans="1:17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1766</v>
      </c>
      <c r="F18" s="466">
        <f t="shared" si="1"/>
        <v>0.35320000000000001</v>
      </c>
    </row>
    <row r="19" spans="1:17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466">
        <v>0</v>
      </c>
    </row>
    <row r="20" spans="1:17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48</v>
      </c>
      <c r="F20" s="466">
        <f t="shared" si="1"/>
        <v>5.3333333333333337E-2</v>
      </c>
    </row>
    <row r="21" spans="1:17" x14ac:dyDescent="0.25">
      <c r="A21" s="115">
        <v>223</v>
      </c>
      <c r="B21" s="116" t="s">
        <v>19</v>
      </c>
      <c r="C21" s="9">
        <v>20000</v>
      </c>
      <c r="D21" s="459">
        <f>20000-2000</f>
        <v>18000</v>
      </c>
      <c r="E21" s="9">
        <v>3574</v>
      </c>
      <c r="F21" s="466">
        <f t="shared" si="1"/>
        <v>0.19855555555555557</v>
      </c>
    </row>
    <row r="22" spans="1:17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0</v>
      </c>
      <c r="F22" s="466">
        <f t="shared" si="1"/>
        <v>0</v>
      </c>
    </row>
    <row r="23" spans="1:17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523</v>
      </c>
      <c r="F23" s="466">
        <f t="shared" si="1"/>
        <v>1.5848484848484848E-2</v>
      </c>
    </row>
    <row r="24" spans="1:17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0</v>
      </c>
      <c r="F24" s="466">
        <f t="shared" si="1"/>
        <v>0</v>
      </c>
    </row>
    <row r="25" spans="1:17" x14ac:dyDescent="0.25">
      <c r="A25" s="115">
        <v>223</v>
      </c>
      <c r="B25" s="116" t="s">
        <v>175</v>
      </c>
      <c r="C25" s="9">
        <v>0</v>
      </c>
      <c r="D25" s="9">
        <v>0</v>
      </c>
      <c r="E25" s="9">
        <v>0</v>
      </c>
      <c r="F25" s="466">
        <v>0</v>
      </c>
    </row>
    <row r="26" spans="1:17" x14ac:dyDescent="0.25">
      <c r="A26" s="115">
        <v>223</v>
      </c>
      <c r="B26" s="116" t="s">
        <v>21</v>
      </c>
      <c r="C26" s="9">
        <v>700</v>
      </c>
      <c r="D26" s="9">
        <v>700</v>
      </c>
      <c r="E26" s="9">
        <v>159</v>
      </c>
      <c r="F26" s="466">
        <f t="shared" si="1"/>
        <v>0.22714285714285715</v>
      </c>
    </row>
    <row r="27" spans="1:17" x14ac:dyDescent="0.25">
      <c r="A27" s="115">
        <v>223</v>
      </c>
      <c r="B27" s="116" t="s">
        <v>22</v>
      </c>
      <c r="C27" s="9">
        <f t="shared" ref="C27:D27" si="4">31000+2000</f>
        <v>33000</v>
      </c>
      <c r="D27" s="9">
        <f t="shared" si="4"/>
        <v>33000</v>
      </c>
      <c r="E27" s="9">
        <v>13105</v>
      </c>
      <c r="F27" s="466">
        <f t="shared" si="1"/>
        <v>0.3971212121212121</v>
      </c>
    </row>
    <row r="28" spans="1:17" x14ac:dyDescent="0.25">
      <c r="A28" s="115">
        <v>223</v>
      </c>
      <c r="B28" s="116" t="s">
        <v>23</v>
      </c>
      <c r="C28" s="9">
        <v>21460</v>
      </c>
      <c r="D28" s="9">
        <v>21460</v>
      </c>
      <c r="E28" s="9">
        <v>4465</v>
      </c>
      <c r="F28" s="466">
        <f t="shared" si="1"/>
        <v>0.20806150978564772</v>
      </c>
    </row>
    <row r="29" spans="1:17" x14ac:dyDescent="0.25">
      <c r="A29" s="115">
        <v>223</v>
      </c>
      <c r="B29" s="116" t="s">
        <v>24</v>
      </c>
      <c r="C29" s="9">
        <v>18000</v>
      </c>
      <c r="D29" s="9">
        <v>18000</v>
      </c>
      <c r="E29" s="9">
        <v>4820</v>
      </c>
      <c r="F29" s="466">
        <f t="shared" si="1"/>
        <v>0.26777777777777778</v>
      </c>
    </row>
    <row r="30" spans="1:17" x14ac:dyDescent="0.25">
      <c r="A30" s="115">
        <v>223</v>
      </c>
      <c r="B30" s="116" t="s">
        <v>222</v>
      </c>
      <c r="C30" s="9">
        <v>240</v>
      </c>
      <c r="D30" s="9">
        <v>240</v>
      </c>
      <c r="E30" s="9">
        <v>10</v>
      </c>
      <c r="F30" s="466">
        <f t="shared" si="1"/>
        <v>4.1666666666666664E-2</v>
      </c>
    </row>
    <row r="31" spans="1:17" x14ac:dyDescent="0.25">
      <c r="A31" s="115">
        <v>223</v>
      </c>
      <c r="B31" s="116" t="s">
        <v>25</v>
      </c>
      <c r="C31" s="9">
        <v>2000</v>
      </c>
      <c r="D31" s="9">
        <v>2000</v>
      </c>
      <c r="E31" s="9">
        <v>510</v>
      </c>
      <c r="F31" s="466">
        <f t="shared" si="1"/>
        <v>0.255</v>
      </c>
    </row>
    <row r="32" spans="1:17" x14ac:dyDescent="0.25">
      <c r="A32" s="164">
        <v>223</v>
      </c>
      <c r="B32" s="165" t="s">
        <v>187</v>
      </c>
      <c r="C32" s="271">
        <v>50000</v>
      </c>
      <c r="D32" s="271">
        <v>50000</v>
      </c>
      <c r="E32" s="271">
        <v>10922</v>
      </c>
      <c r="F32" s="466">
        <f t="shared" si="1"/>
        <v>0.21844</v>
      </c>
      <c r="G32" s="123">
        <f>SUM(C20:C33)</f>
        <v>180900</v>
      </c>
      <c r="H32" s="123">
        <f t="shared" ref="H32:I32" si="5">SUM(D20:D33)</f>
        <v>178900</v>
      </c>
      <c r="I32" s="123">
        <f t="shared" si="5"/>
        <v>38136</v>
      </c>
      <c r="J32" s="123"/>
      <c r="K32" s="123"/>
      <c r="L32" s="123"/>
      <c r="M32" s="123"/>
      <c r="N32" s="123"/>
      <c r="O32" s="123"/>
      <c r="P32" s="123"/>
      <c r="Q32" s="123"/>
    </row>
    <row r="33" spans="1:14" ht="15.75" thickBot="1" x14ac:dyDescent="0.3">
      <c r="A33" s="117">
        <v>223</v>
      </c>
      <c r="B33" s="118" t="s">
        <v>26</v>
      </c>
      <c r="C33" s="12">
        <v>100</v>
      </c>
      <c r="D33" s="12">
        <v>100</v>
      </c>
      <c r="E33" s="12">
        <v>0</v>
      </c>
      <c r="F33" s="466">
        <f t="shared" si="1"/>
        <v>0</v>
      </c>
      <c r="G33" s="123">
        <f>SUM(C18:C33)</f>
        <v>185900</v>
      </c>
      <c r="H33" s="123">
        <f t="shared" ref="H33:I33" si="6">SUM(D18:D33)</f>
        <v>183900</v>
      </c>
      <c r="I33" s="123">
        <f t="shared" si="6"/>
        <v>39902</v>
      </c>
      <c r="J33" s="123"/>
      <c r="K33" s="123"/>
      <c r="L33" s="123"/>
      <c r="M33" s="123"/>
      <c r="N33" s="123"/>
    </row>
    <row r="34" spans="1:14" ht="15.75" thickBot="1" x14ac:dyDescent="0.3">
      <c r="A34" s="457" t="s">
        <v>27</v>
      </c>
      <c r="B34" s="458"/>
      <c r="C34" s="1">
        <f t="shared" ref="C34:E34" si="7">SUM(C35)</f>
        <v>400</v>
      </c>
      <c r="D34" s="1">
        <f t="shared" si="7"/>
        <v>400</v>
      </c>
      <c r="E34" s="1">
        <f t="shared" si="7"/>
        <v>110</v>
      </c>
      <c r="F34" s="466">
        <f t="shared" si="1"/>
        <v>0.27500000000000002</v>
      </c>
      <c r="G34" s="123"/>
      <c r="H34" s="123"/>
      <c r="I34" s="123"/>
      <c r="J34" s="123"/>
      <c r="K34" s="123"/>
      <c r="L34" s="123"/>
      <c r="M34" s="123"/>
      <c r="N34" s="123"/>
    </row>
    <row r="35" spans="1:14" ht="15.75" thickBot="1" x14ac:dyDescent="0.3">
      <c r="A35" s="124">
        <v>240</v>
      </c>
      <c r="B35" s="125" t="s">
        <v>28</v>
      </c>
      <c r="C35" s="10">
        <v>400</v>
      </c>
      <c r="D35" s="10">
        <v>400</v>
      </c>
      <c r="E35" s="10">
        <v>110</v>
      </c>
      <c r="F35" s="466">
        <f t="shared" si="1"/>
        <v>0.27500000000000002</v>
      </c>
    </row>
    <row r="36" spans="1:14" ht="15.75" thickBot="1" x14ac:dyDescent="0.3">
      <c r="A36" s="457" t="s">
        <v>29</v>
      </c>
      <c r="B36" s="458"/>
      <c r="C36" s="1">
        <f t="shared" ref="C36:E36" si="8">SUM(C37:C43)</f>
        <v>28250</v>
      </c>
      <c r="D36" s="1">
        <f t="shared" si="8"/>
        <v>31212</v>
      </c>
      <c r="E36" s="1">
        <f t="shared" si="8"/>
        <v>6037</v>
      </c>
      <c r="F36" s="466">
        <f t="shared" si="1"/>
        <v>0.19341919774445726</v>
      </c>
    </row>
    <row r="37" spans="1:14" x14ac:dyDescent="0.25">
      <c r="A37" s="13">
        <v>292</v>
      </c>
      <c r="B37" s="14" t="s">
        <v>30</v>
      </c>
      <c r="C37" s="15">
        <v>0</v>
      </c>
      <c r="D37" s="15">
        <v>0</v>
      </c>
      <c r="E37" s="15">
        <v>0</v>
      </c>
      <c r="F37" s="466">
        <v>0</v>
      </c>
    </row>
    <row r="38" spans="1:14" x14ac:dyDescent="0.25">
      <c r="A38" s="13">
        <v>292</v>
      </c>
      <c r="B38" s="14" t="s">
        <v>31</v>
      </c>
      <c r="C38" s="15">
        <v>400</v>
      </c>
      <c r="D38" s="15">
        <v>400</v>
      </c>
      <c r="E38" s="15">
        <v>105</v>
      </c>
      <c r="F38" s="466">
        <f t="shared" si="1"/>
        <v>0.26250000000000001</v>
      </c>
    </row>
    <row r="39" spans="1:14" x14ac:dyDescent="0.25">
      <c r="A39" s="16">
        <v>292</v>
      </c>
      <c r="B39" s="17" t="s">
        <v>176</v>
      </c>
      <c r="C39" s="168">
        <v>0</v>
      </c>
      <c r="D39" s="465">
        <v>2950</v>
      </c>
      <c r="E39" s="168">
        <v>2949</v>
      </c>
      <c r="F39" s="466">
        <f t="shared" si="1"/>
        <v>0.99966101694915255</v>
      </c>
    </row>
    <row r="40" spans="1:14" x14ac:dyDescent="0.25">
      <c r="A40" s="16">
        <v>292</v>
      </c>
      <c r="B40" s="17" t="s">
        <v>177</v>
      </c>
      <c r="C40" s="18">
        <v>10000</v>
      </c>
      <c r="D40" s="18">
        <v>10000</v>
      </c>
      <c r="E40" s="18">
        <v>145</v>
      </c>
      <c r="F40" s="466">
        <f t="shared" si="1"/>
        <v>1.4500000000000001E-2</v>
      </c>
    </row>
    <row r="41" spans="1:14" x14ac:dyDescent="0.25">
      <c r="A41" s="16">
        <v>292</v>
      </c>
      <c r="B41" s="116" t="s">
        <v>32</v>
      </c>
      <c r="C41" s="171">
        <v>240</v>
      </c>
      <c r="D41" s="460">
        <f>240+12</f>
        <v>252</v>
      </c>
      <c r="E41" s="171">
        <v>0</v>
      </c>
      <c r="F41" s="466">
        <f t="shared" si="1"/>
        <v>0</v>
      </c>
    </row>
    <row r="42" spans="1:14" x14ac:dyDescent="0.25">
      <c r="A42" s="16">
        <v>292</v>
      </c>
      <c r="B42" s="17" t="s">
        <v>33</v>
      </c>
      <c r="C42" s="18">
        <f>17710-240</f>
        <v>17470</v>
      </c>
      <c r="D42" s="18">
        <f>17710+12-D41</f>
        <v>17470</v>
      </c>
      <c r="E42" s="18">
        <v>2698</v>
      </c>
      <c r="F42" s="466">
        <f t="shared" si="1"/>
        <v>0.15443617630223239</v>
      </c>
    </row>
    <row r="43" spans="1:14" ht="15.75" thickBot="1" x14ac:dyDescent="0.3">
      <c r="A43" s="16">
        <v>292</v>
      </c>
      <c r="B43" s="17" t="s">
        <v>235</v>
      </c>
      <c r="C43" s="18">
        <v>140</v>
      </c>
      <c r="D43" s="18">
        <v>140</v>
      </c>
      <c r="E43" s="18">
        <v>140</v>
      </c>
      <c r="F43" s="466">
        <f t="shared" si="1"/>
        <v>1</v>
      </c>
    </row>
    <row r="44" spans="1:14" ht="15.75" thickBot="1" x14ac:dyDescent="0.3">
      <c r="A44" s="19" t="s">
        <v>34</v>
      </c>
      <c r="B44" s="20"/>
      <c r="C44" s="1">
        <f>SUM(C45:C68)</f>
        <v>694110</v>
      </c>
      <c r="D44" s="1">
        <f>SUM(D45:D68)</f>
        <v>713823</v>
      </c>
      <c r="E44" s="1">
        <f>SUM(E45:E68)</f>
        <v>157847</v>
      </c>
      <c r="F44" s="466">
        <f t="shared" si="1"/>
        <v>0.22112904739690373</v>
      </c>
    </row>
    <row r="45" spans="1:14" x14ac:dyDescent="0.25">
      <c r="A45" s="21">
        <v>311</v>
      </c>
      <c r="B45" s="22" t="s">
        <v>178</v>
      </c>
      <c r="C45" s="23">
        <v>0</v>
      </c>
      <c r="D45" s="23">
        <v>0</v>
      </c>
      <c r="E45" s="23">
        <v>0</v>
      </c>
      <c r="F45" s="466">
        <v>0</v>
      </c>
    </row>
    <row r="46" spans="1:14" x14ac:dyDescent="0.25">
      <c r="A46" s="21">
        <v>311</v>
      </c>
      <c r="B46" s="22" t="s">
        <v>212</v>
      </c>
      <c r="C46" s="23">
        <v>0</v>
      </c>
      <c r="D46" s="461">
        <v>460</v>
      </c>
      <c r="E46" s="23">
        <v>0</v>
      </c>
      <c r="F46" s="466">
        <f t="shared" si="1"/>
        <v>0</v>
      </c>
    </row>
    <row r="47" spans="1:14" x14ac:dyDescent="0.25">
      <c r="A47" s="21">
        <v>312</v>
      </c>
      <c r="B47" s="22" t="s">
        <v>236</v>
      </c>
      <c r="C47" s="23">
        <v>8220</v>
      </c>
      <c r="D47" s="23">
        <v>8220</v>
      </c>
      <c r="E47" s="23">
        <v>1298</v>
      </c>
      <c r="F47" s="466">
        <f t="shared" si="1"/>
        <v>0.15790754257907544</v>
      </c>
    </row>
    <row r="48" spans="1:14" x14ac:dyDescent="0.25">
      <c r="A48" s="21">
        <v>312</v>
      </c>
      <c r="B48" s="22" t="s">
        <v>35</v>
      </c>
      <c r="C48" s="23">
        <v>4000</v>
      </c>
      <c r="D48" s="461">
        <f>4000+2100</f>
        <v>6100</v>
      </c>
      <c r="E48" s="23">
        <v>4071</v>
      </c>
      <c r="F48" s="466">
        <f t="shared" si="1"/>
        <v>0.66737704918032792</v>
      </c>
    </row>
    <row r="49" spans="1:6" x14ac:dyDescent="0.25">
      <c r="A49" s="24">
        <v>312</v>
      </c>
      <c r="B49" s="116" t="s">
        <v>36</v>
      </c>
      <c r="C49" s="7">
        <v>7200</v>
      </c>
      <c r="D49" s="7">
        <v>7200</v>
      </c>
      <c r="E49" s="7">
        <v>5840</v>
      </c>
      <c r="F49" s="466">
        <f t="shared" si="1"/>
        <v>0.81111111111111112</v>
      </c>
    </row>
    <row r="50" spans="1:6" x14ac:dyDescent="0.25">
      <c r="A50" s="24">
        <v>312</v>
      </c>
      <c r="B50" s="116" t="s">
        <v>37</v>
      </c>
      <c r="C50" s="7">
        <v>1000</v>
      </c>
      <c r="D50" s="7">
        <v>1000</v>
      </c>
      <c r="E50" s="7">
        <v>101</v>
      </c>
      <c r="F50" s="466">
        <f t="shared" si="1"/>
        <v>0.10100000000000001</v>
      </c>
    </row>
    <row r="51" spans="1:6" x14ac:dyDescent="0.25">
      <c r="A51" s="24">
        <v>312</v>
      </c>
      <c r="B51" s="25" t="s">
        <v>166</v>
      </c>
      <c r="C51" s="26">
        <v>14440</v>
      </c>
      <c r="D51" s="26">
        <v>14440</v>
      </c>
      <c r="E51" s="26">
        <v>474</v>
      </c>
      <c r="F51" s="466">
        <f t="shared" si="1"/>
        <v>3.2825484764542938E-2</v>
      </c>
    </row>
    <row r="52" spans="1:6" x14ac:dyDescent="0.25">
      <c r="A52" s="24">
        <v>312</v>
      </c>
      <c r="B52" s="25" t="s">
        <v>238</v>
      </c>
      <c r="C52" s="26">
        <v>3800</v>
      </c>
      <c r="D52" s="26">
        <v>3800</v>
      </c>
      <c r="E52" s="26">
        <v>0</v>
      </c>
      <c r="F52" s="466">
        <f t="shared" si="1"/>
        <v>0</v>
      </c>
    </row>
    <row r="53" spans="1:6" x14ac:dyDescent="0.25">
      <c r="A53" s="24">
        <v>312</v>
      </c>
      <c r="B53" s="25" t="s">
        <v>237</v>
      </c>
      <c r="C53" s="26">
        <v>950</v>
      </c>
      <c r="D53" s="26">
        <v>950</v>
      </c>
      <c r="E53" s="26">
        <v>0</v>
      </c>
      <c r="F53" s="466">
        <f t="shared" si="1"/>
        <v>0</v>
      </c>
    </row>
    <row r="54" spans="1:6" x14ac:dyDescent="0.25">
      <c r="A54" s="21">
        <v>312</v>
      </c>
      <c r="B54" s="22" t="s">
        <v>349</v>
      </c>
      <c r="C54" s="23">
        <v>0</v>
      </c>
      <c r="D54" s="461">
        <v>30</v>
      </c>
      <c r="E54" s="23">
        <v>30</v>
      </c>
      <c r="F54" s="466">
        <f>E54/D54</f>
        <v>1</v>
      </c>
    </row>
    <row r="55" spans="1:6" x14ac:dyDescent="0.25">
      <c r="A55" s="24">
        <v>312</v>
      </c>
      <c r="B55" s="25" t="s">
        <v>38</v>
      </c>
      <c r="C55" s="7">
        <v>18300</v>
      </c>
      <c r="D55" s="7">
        <v>18300</v>
      </c>
      <c r="E55" s="7">
        <v>4460</v>
      </c>
      <c r="F55" s="466">
        <f t="shared" si="1"/>
        <v>0.24371584699453552</v>
      </c>
    </row>
    <row r="56" spans="1:6" x14ac:dyDescent="0.25">
      <c r="A56" s="24">
        <v>312</v>
      </c>
      <c r="B56" s="25" t="s">
        <v>39</v>
      </c>
      <c r="C56" s="7">
        <v>8700</v>
      </c>
      <c r="D56" s="7">
        <v>8700</v>
      </c>
      <c r="E56" s="7">
        <v>2175</v>
      </c>
      <c r="F56" s="466">
        <f t="shared" si="1"/>
        <v>0.25</v>
      </c>
    </row>
    <row r="57" spans="1:6" x14ac:dyDescent="0.25">
      <c r="A57" s="24">
        <v>312</v>
      </c>
      <c r="B57" s="25" t="s">
        <v>40</v>
      </c>
      <c r="C57" s="7">
        <v>7900</v>
      </c>
      <c r="D57" s="7">
        <v>7900</v>
      </c>
      <c r="E57" s="7">
        <v>1100</v>
      </c>
      <c r="F57" s="466">
        <f t="shared" si="1"/>
        <v>0.13924050632911392</v>
      </c>
    </row>
    <row r="58" spans="1:6" x14ac:dyDescent="0.25">
      <c r="A58" s="24">
        <v>312</v>
      </c>
      <c r="B58" s="25" t="s">
        <v>179</v>
      </c>
      <c r="C58" s="7">
        <v>0</v>
      </c>
      <c r="D58" s="7">
        <v>0</v>
      </c>
      <c r="E58" s="7">
        <v>0</v>
      </c>
      <c r="F58" s="466">
        <v>0</v>
      </c>
    </row>
    <row r="59" spans="1:6" x14ac:dyDescent="0.25">
      <c r="A59" s="24">
        <v>312</v>
      </c>
      <c r="B59" s="25" t="s">
        <v>213</v>
      </c>
      <c r="C59" s="7">
        <v>0</v>
      </c>
      <c r="D59" s="7">
        <v>0</v>
      </c>
      <c r="E59" s="7">
        <v>0</v>
      </c>
      <c r="F59" s="466">
        <v>0</v>
      </c>
    </row>
    <row r="60" spans="1:6" x14ac:dyDescent="0.25">
      <c r="A60" s="24">
        <v>312</v>
      </c>
      <c r="B60" s="25" t="s">
        <v>41</v>
      </c>
      <c r="C60" s="7">
        <v>3000</v>
      </c>
      <c r="D60" s="7">
        <v>3000</v>
      </c>
      <c r="E60" s="7">
        <v>0</v>
      </c>
      <c r="F60" s="466">
        <f t="shared" si="1"/>
        <v>0</v>
      </c>
    </row>
    <row r="61" spans="1:6" x14ac:dyDescent="0.25">
      <c r="A61" s="27">
        <v>312</v>
      </c>
      <c r="B61" s="22" t="s">
        <v>180</v>
      </c>
      <c r="C61" s="28">
        <v>0</v>
      </c>
      <c r="D61" s="462">
        <v>4000</v>
      </c>
      <c r="E61" s="28">
        <v>0</v>
      </c>
      <c r="F61" s="466">
        <f t="shared" si="1"/>
        <v>0</v>
      </c>
    </row>
    <row r="62" spans="1:6" x14ac:dyDescent="0.25">
      <c r="A62" s="27">
        <v>312</v>
      </c>
      <c r="B62" s="22" t="s">
        <v>350</v>
      </c>
      <c r="C62" s="28">
        <v>0</v>
      </c>
      <c r="D62" s="28">
        <v>0</v>
      </c>
      <c r="E62" s="28">
        <v>0</v>
      </c>
      <c r="F62" s="466">
        <v>0</v>
      </c>
    </row>
    <row r="63" spans="1:6" x14ac:dyDescent="0.25">
      <c r="A63" s="29">
        <v>312</v>
      </c>
      <c r="B63" s="116" t="s">
        <v>42</v>
      </c>
      <c r="C63" s="170">
        <v>4430</v>
      </c>
      <c r="D63" s="464">
        <f>4430-130</f>
        <v>4300</v>
      </c>
      <c r="E63" s="170">
        <v>4132</v>
      </c>
      <c r="F63" s="466">
        <f t="shared" si="1"/>
        <v>0.96093023255813959</v>
      </c>
    </row>
    <row r="64" spans="1:6" x14ac:dyDescent="0.25">
      <c r="A64" s="29">
        <v>312</v>
      </c>
      <c r="B64" s="126" t="s">
        <v>43</v>
      </c>
      <c r="C64" s="9">
        <v>3700</v>
      </c>
      <c r="D64" s="459">
        <f>3700-200</f>
        <v>3500</v>
      </c>
      <c r="E64" s="9">
        <v>0</v>
      </c>
      <c r="F64" s="466">
        <f t="shared" si="1"/>
        <v>0</v>
      </c>
    </row>
    <row r="65" spans="1:9" x14ac:dyDescent="0.25">
      <c r="A65" s="29">
        <v>312</v>
      </c>
      <c r="B65" s="30" t="s">
        <v>44</v>
      </c>
      <c r="C65" s="170">
        <v>3000</v>
      </c>
      <c r="D65" s="464">
        <f>3000-470</f>
        <v>2530</v>
      </c>
      <c r="E65" s="170">
        <v>1685</v>
      </c>
      <c r="F65" s="466">
        <f t="shared" si="1"/>
        <v>0.66600790513833996</v>
      </c>
    </row>
    <row r="66" spans="1:9" ht="15.75" customHeight="1" x14ac:dyDescent="0.25">
      <c r="A66" s="24">
        <v>312</v>
      </c>
      <c r="B66" s="25" t="s">
        <v>181</v>
      </c>
      <c r="C66" s="216">
        <v>102200</v>
      </c>
      <c r="D66" s="216">
        <v>102200</v>
      </c>
      <c r="E66" s="216">
        <v>0</v>
      </c>
      <c r="F66" s="466">
        <f t="shared" si="1"/>
        <v>0</v>
      </c>
    </row>
    <row r="67" spans="1:9" x14ac:dyDescent="0.25">
      <c r="A67" s="24">
        <v>312</v>
      </c>
      <c r="B67" s="25" t="s">
        <v>239</v>
      </c>
      <c r="C67" s="216">
        <v>31000</v>
      </c>
      <c r="D67" s="463">
        <f>31000+104</f>
        <v>31104</v>
      </c>
      <c r="E67" s="216">
        <v>7776</v>
      </c>
      <c r="F67" s="466">
        <f t="shared" si="1"/>
        <v>0.25</v>
      </c>
    </row>
    <row r="68" spans="1:9" ht="16.5" thickBot="1" x14ac:dyDescent="0.3">
      <c r="A68" s="241">
        <v>312</v>
      </c>
      <c r="B68" s="242" t="s">
        <v>270</v>
      </c>
      <c r="C68" s="218">
        <f>440000+32270</f>
        <v>472270</v>
      </c>
      <c r="D68" s="218">
        <f>440000+32270+13819</f>
        <v>486089</v>
      </c>
      <c r="E68" s="218">
        <v>124705</v>
      </c>
      <c r="F68" s="466">
        <f t="shared" si="1"/>
        <v>0.25654766925398437</v>
      </c>
      <c r="G68" s="123"/>
    </row>
    <row r="69" spans="1:9" ht="16.5" thickBot="1" x14ac:dyDescent="0.3">
      <c r="A69" s="31" t="s">
        <v>45</v>
      </c>
      <c r="B69" s="127"/>
      <c r="C69" s="32">
        <f>SUM(C4+C12+C34+C36+C44)</f>
        <v>2092580</v>
      </c>
      <c r="D69" s="32">
        <f>SUM(D4+D12+D34+D36+D44)</f>
        <v>2136130</v>
      </c>
      <c r="E69" s="32">
        <f>SUM(E4+E12+E34+E36+E44)</f>
        <v>551604</v>
      </c>
      <c r="F69" s="466">
        <f t="shared" ref="F69:F76" si="9">E69/D69</f>
        <v>0.25822585704053591</v>
      </c>
      <c r="G69" s="123">
        <f>D69-C69</f>
        <v>43550</v>
      </c>
      <c r="H69" s="123"/>
      <c r="I69" s="123"/>
    </row>
    <row r="70" spans="1:9" x14ac:dyDescent="0.25">
      <c r="A70" s="243" t="s">
        <v>46</v>
      </c>
      <c r="B70" s="244" t="s">
        <v>269</v>
      </c>
      <c r="C70" s="217">
        <v>3000</v>
      </c>
      <c r="D70" s="217">
        <v>3000</v>
      </c>
      <c r="E70" s="217">
        <f>292+1275</f>
        <v>1567</v>
      </c>
      <c r="F70" s="466">
        <f t="shared" si="9"/>
        <v>0.52233333333333332</v>
      </c>
      <c r="G70" s="123"/>
      <c r="H70" s="123"/>
      <c r="I70" s="123"/>
    </row>
    <row r="71" spans="1:9" ht="15.75" customHeight="1" x14ac:dyDescent="0.25">
      <c r="A71" s="359" t="s">
        <v>46</v>
      </c>
      <c r="B71" s="244" t="s">
        <v>263</v>
      </c>
      <c r="C71" s="360">
        <v>1320</v>
      </c>
      <c r="D71" s="360">
        <v>1320</v>
      </c>
      <c r="E71" s="360">
        <v>0</v>
      </c>
      <c r="F71" s="466">
        <f t="shared" si="9"/>
        <v>0</v>
      </c>
      <c r="G71" s="123"/>
      <c r="H71" s="123"/>
      <c r="I71" s="123"/>
    </row>
    <row r="72" spans="1:9" ht="15.75" customHeight="1" thickBot="1" x14ac:dyDescent="0.3">
      <c r="A72" s="245" t="s">
        <v>46</v>
      </c>
      <c r="B72" s="246" t="s">
        <v>229</v>
      </c>
      <c r="C72" s="234">
        <v>54240</v>
      </c>
      <c r="D72" s="234">
        <v>54240</v>
      </c>
      <c r="E72" s="234">
        <v>0</v>
      </c>
      <c r="F72" s="466">
        <f t="shared" si="9"/>
        <v>0</v>
      </c>
      <c r="G72" s="123"/>
      <c r="H72" s="123"/>
      <c r="I72" s="123"/>
    </row>
    <row r="73" spans="1:9" ht="15.75" thickBot="1" x14ac:dyDescent="0.3">
      <c r="A73" s="668" t="s">
        <v>277</v>
      </c>
      <c r="B73" s="669"/>
      <c r="C73" s="369">
        <f t="shared" ref="C73:E73" si="10">SUM(C70:C72)</f>
        <v>58560</v>
      </c>
      <c r="D73" s="369">
        <f t="shared" si="10"/>
        <v>58560</v>
      </c>
      <c r="E73" s="369">
        <f t="shared" si="10"/>
        <v>1567</v>
      </c>
      <c r="F73" s="466">
        <f t="shared" si="9"/>
        <v>2.6758879781420764E-2</v>
      </c>
      <c r="G73" s="123">
        <f t="shared" ref="G73:G76" si="11">D73-C73</f>
        <v>0</v>
      </c>
      <c r="H73" s="123"/>
      <c r="I73" s="123"/>
    </row>
    <row r="74" spans="1:9" ht="14.25" customHeight="1" thickBot="1" x14ac:dyDescent="0.3">
      <c r="A74" s="267" t="s">
        <v>46</v>
      </c>
      <c r="B74" s="268" t="s">
        <v>278</v>
      </c>
      <c r="C74" s="269">
        <v>9770</v>
      </c>
      <c r="D74" s="269">
        <v>9770</v>
      </c>
      <c r="E74" s="269">
        <v>3665</v>
      </c>
      <c r="F74" s="466">
        <f t="shared" si="9"/>
        <v>0.37512794268167859</v>
      </c>
      <c r="G74" s="123">
        <f t="shared" si="11"/>
        <v>0</v>
      </c>
      <c r="H74" s="123"/>
      <c r="I74" s="123"/>
    </row>
    <row r="75" spans="1:9" ht="17.25" customHeight="1" thickBot="1" x14ac:dyDescent="0.3">
      <c r="A75" s="670" t="s">
        <v>182</v>
      </c>
      <c r="B75" s="671"/>
      <c r="C75" s="235">
        <f t="shared" ref="C75:E75" si="12">C73+C74</f>
        <v>68330</v>
      </c>
      <c r="D75" s="235">
        <f t="shared" si="12"/>
        <v>68330</v>
      </c>
      <c r="E75" s="235">
        <f t="shared" si="12"/>
        <v>5232</v>
      </c>
      <c r="F75" s="466">
        <f t="shared" si="9"/>
        <v>7.656958876042734E-2</v>
      </c>
      <c r="G75" s="123">
        <f t="shared" si="11"/>
        <v>0</v>
      </c>
      <c r="H75" s="123"/>
      <c r="I75" s="123"/>
    </row>
    <row r="76" spans="1:9" ht="27" customHeight="1" thickBot="1" x14ac:dyDescent="0.3">
      <c r="A76" s="31" t="s">
        <v>47</v>
      </c>
      <c r="B76" s="20"/>
      <c r="C76" s="32">
        <f t="shared" ref="C76:E76" si="13">C69+C75</f>
        <v>2160910</v>
      </c>
      <c r="D76" s="32">
        <f t="shared" si="13"/>
        <v>2204460</v>
      </c>
      <c r="E76" s="32">
        <f t="shared" si="13"/>
        <v>556836</v>
      </c>
      <c r="F76" s="466">
        <f t="shared" si="9"/>
        <v>0.25259519338069186</v>
      </c>
      <c r="G76" s="123">
        <f t="shared" si="11"/>
        <v>43550</v>
      </c>
    </row>
    <row r="77" spans="1:9" ht="24.75" customHeight="1" x14ac:dyDescent="0.25">
      <c r="C77" s="214"/>
      <c r="D77" s="214"/>
      <c r="E77" s="214"/>
      <c r="F77" s="35"/>
    </row>
    <row r="78" spans="1:9" ht="16.5" customHeight="1" x14ac:dyDescent="0.25">
      <c r="A78" s="33"/>
      <c r="B78" s="34"/>
      <c r="C78" s="35"/>
      <c r="D78" s="35"/>
      <c r="E78" s="35"/>
    </row>
    <row r="79" spans="1:9" ht="15" customHeight="1" thickBot="1" x14ac:dyDescent="0.3">
      <c r="A79" s="672" t="s">
        <v>48</v>
      </c>
      <c r="B79" s="673"/>
      <c r="C79" s="673"/>
      <c r="D79" s="673"/>
      <c r="E79" s="673"/>
    </row>
    <row r="80" spans="1:9" ht="15" customHeight="1" x14ac:dyDescent="0.25">
      <c r="A80" s="644" t="s">
        <v>1</v>
      </c>
      <c r="B80" s="645"/>
      <c r="C80" s="638" t="s">
        <v>323</v>
      </c>
      <c r="D80" s="638" t="s">
        <v>322</v>
      </c>
      <c r="E80" s="638" t="s">
        <v>397</v>
      </c>
      <c r="F80" s="666" t="s">
        <v>354</v>
      </c>
    </row>
    <row r="81" spans="1:6" ht="15.75" thickBot="1" x14ac:dyDescent="0.3">
      <c r="A81" s="646"/>
      <c r="B81" s="647"/>
      <c r="C81" s="639"/>
      <c r="D81" s="639"/>
      <c r="E81" s="639"/>
      <c r="F81" s="667"/>
    </row>
    <row r="82" spans="1:6" ht="15.75" thickBot="1" x14ac:dyDescent="0.3">
      <c r="A82" s="36" t="s">
        <v>49</v>
      </c>
      <c r="B82" s="37"/>
      <c r="C82" s="38">
        <f t="shared" ref="C82:E82" si="14">SUM(C83:C87)</f>
        <v>269300</v>
      </c>
      <c r="D82" s="38">
        <f t="shared" si="14"/>
        <v>272000</v>
      </c>
      <c r="E82" s="38">
        <f t="shared" si="14"/>
        <v>50365.31</v>
      </c>
      <c r="F82" s="466">
        <f>E82/D82</f>
        <v>0.18516658088235294</v>
      </c>
    </row>
    <row r="83" spans="1:6" x14ac:dyDescent="0.25">
      <c r="A83" s="135" t="s">
        <v>50</v>
      </c>
      <c r="B83" s="39" t="s">
        <v>51</v>
      </c>
      <c r="C83" s="169">
        <v>121700</v>
      </c>
      <c r="D83" s="492">
        <f>121700+300</f>
        <v>122000</v>
      </c>
      <c r="E83" s="169">
        <v>22086</v>
      </c>
      <c r="F83" s="466">
        <f t="shared" ref="F83:F144" si="15">E83/D83</f>
        <v>0.18103278688524591</v>
      </c>
    </row>
    <row r="84" spans="1:6" x14ac:dyDescent="0.25">
      <c r="A84" s="136" t="s">
        <v>52</v>
      </c>
      <c r="B84" s="25" t="s">
        <v>173</v>
      </c>
      <c r="C84" s="168">
        <v>86600</v>
      </c>
      <c r="D84" s="465">
        <f>86600+300</f>
        <v>86900</v>
      </c>
      <c r="E84" s="168">
        <v>15527.31</v>
      </c>
      <c r="F84" s="466">
        <f t="shared" si="15"/>
        <v>0.1786802071346375</v>
      </c>
    </row>
    <row r="85" spans="1:6" x14ac:dyDescent="0.25">
      <c r="A85" s="136" t="s">
        <v>53</v>
      </c>
      <c r="B85" s="25" t="s">
        <v>172</v>
      </c>
      <c r="C85" s="168">
        <v>4000</v>
      </c>
      <c r="D85" s="168">
        <v>4000</v>
      </c>
      <c r="E85" s="168">
        <v>479</v>
      </c>
      <c r="F85" s="466">
        <f t="shared" si="15"/>
        <v>0.11975</v>
      </c>
    </row>
    <row r="86" spans="1:6" x14ac:dyDescent="0.25">
      <c r="A86" s="137" t="s">
        <v>54</v>
      </c>
      <c r="B86" s="25" t="s">
        <v>356</v>
      </c>
      <c r="C86" s="168">
        <v>53000</v>
      </c>
      <c r="D86" s="168">
        <f>53000</f>
        <v>53000</v>
      </c>
      <c r="E86" s="168">
        <v>8897</v>
      </c>
      <c r="F86" s="466">
        <f t="shared" si="15"/>
        <v>0.16786792452830188</v>
      </c>
    </row>
    <row r="87" spans="1:6" ht="15.75" thickBot="1" x14ac:dyDescent="0.3">
      <c r="A87" s="138" t="s">
        <v>56</v>
      </c>
      <c r="B87" s="3" t="s">
        <v>57</v>
      </c>
      <c r="C87" s="42">
        <v>4000</v>
      </c>
      <c r="D87" s="454">
        <f>4000+2100</f>
        <v>6100</v>
      </c>
      <c r="E87" s="42">
        <v>3376</v>
      </c>
      <c r="F87" s="466">
        <f t="shared" si="15"/>
        <v>0.5534426229508197</v>
      </c>
    </row>
    <row r="88" spans="1:6" ht="15.75" thickBot="1" x14ac:dyDescent="0.3">
      <c r="A88" s="43" t="s">
        <v>58</v>
      </c>
      <c r="B88" s="44"/>
      <c r="C88" s="38">
        <f t="shared" ref="C88:E88" si="16">SUM(C89)</f>
        <v>1660</v>
      </c>
      <c r="D88" s="38">
        <f t="shared" si="16"/>
        <v>1672</v>
      </c>
      <c r="E88" s="38">
        <f t="shared" si="16"/>
        <v>0</v>
      </c>
      <c r="F88" s="466">
        <f t="shared" si="15"/>
        <v>0</v>
      </c>
    </row>
    <row r="89" spans="1:6" ht="15.75" thickBot="1" x14ac:dyDescent="0.3">
      <c r="A89" s="139" t="s">
        <v>59</v>
      </c>
      <c r="B89" s="34" t="s">
        <v>60</v>
      </c>
      <c r="C89" s="180">
        <v>1660</v>
      </c>
      <c r="D89" s="476">
        <f>1660+12</f>
        <v>1672</v>
      </c>
      <c r="E89" s="180">
        <v>0</v>
      </c>
      <c r="F89" s="466">
        <f t="shared" si="15"/>
        <v>0</v>
      </c>
    </row>
    <row r="90" spans="1:6" ht="15.75" thickBot="1" x14ac:dyDescent="0.3">
      <c r="A90" s="43" t="s">
        <v>61</v>
      </c>
      <c r="B90" s="44"/>
      <c r="C90" s="38">
        <f t="shared" ref="C90:E90" si="17">SUM(C91:C92)</f>
        <v>14900</v>
      </c>
      <c r="D90" s="38">
        <f t="shared" si="17"/>
        <v>14900</v>
      </c>
      <c r="E90" s="38">
        <f t="shared" si="17"/>
        <v>622</v>
      </c>
      <c r="F90" s="466">
        <f t="shared" si="15"/>
        <v>4.1744966442953023E-2</v>
      </c>
    </row>
    <row r="91" spans="1:6" x14ac:dyDescent="0.25">
      <c r="A91" s="45" t="s">
        <v>62</v>
      </c>
      <c r="B91" s="46" t="s">
        <v>63</v>
      </c>
      <c r="C91" s="47">
        <v>13600</v>
      </c>
      <c r="D91" s="47">
        <v>13600</v>
      </c>
      <c r="E91" s="47">
        <v>370</v>
      </c>
      <c r="F91" s="466">
        <f t="shared" si="15"/>
        <v>2.7205882352941177E-2</v>
      </c>
    </row>
    <row r="92" spans="1:6" ht="15.75" thickBot="1" x14ac:dyDescent="0.3">
      <c r="A92" s="48" t="s">
        <v>64</v>
      </c>
      <c r="B92" s="49" t="s">
        <v>65</v>
      </c>
      <c r="C92" s="50">
        <v>1300</v>
      </c>
      <c r="D92" s="50">
        <v>1300</v>
      </c>
      <c r="E92" s="50">
        <v>252</v>
      </c>
      <c r="F92" s="466">
        <f t="shared" si="15"/>
        <v>0.19384615384615383</v>
      </c>
    </row>
    <row r="93" spans="1:6" ht="15.75" thickBot="1" x14ac:dyDescent="0.3">
      <c r="A93" s="36" t="s">
        <v>66</v>
      </c>
      <c r="B93" s="140"/>
      <c r="C93" s="38">
        <f t="shared" ref="C93:E93" si="18">SUM(C94:C97)</f>
        <v>66150</v>
      </c>
      <c r="D93" s="38">
        <f t="shared" si="18"/>
        <v>81870</v>
      </c>
      <c r="E93" s="38">
        <f t="shared" si="18"/>
        <v>15505</v>
      </c>
      <c r="F93" s="466">
        <f t="shared" si="15"/>
        <v>0.18938561133504336</v>
      </c>
    </row>
    <row r="94" spans="1:6" x14ac:dyDescent="0.25">
      <c r="A94" s="51" t="s">
        <v>67</v>
      </c>
      <c r="B94" s="14" t="s">
        <v>68</v>
      </c>
      <c r="C94" s="15">
        <v>20200</v>
      </c>
      <c r="D94" s="15">
        <v>20200</v>
      </c>
      <c r="E94" s="15">
        <v>2689</v>
      </c>
      <c r="F94" s="466">
        <f t="shared" si="15"/>
        <v>0.13311881188118813</v>
      </c>
    </row>
    <row r="95" spans="1:6" x14ac:dyDescent="0.25">
      <c r="A95" s="137" t="s">
        <v>69</v>
      </c>
      <c r="B95" s="25" t="s">
        <v>70</v>
      </c>
      <c r="C95" s="41">
        <v>20800</v>
      </c>
      <c r="D95" s="477">
        <f>20800+17000-1500</f>
        <v>36300</v>
      </c>
      <c r="E95" s="18">
        <v>5646</v>
      </c>
      <c r="F95" s="466">
        <f t="shared" si="15"/>
        <v>0.15553719008264463</v>
      </c>
    </row>
    <row r="96" spans="1:6" x14ac:dyDescent="0.25">
      <c r="A96" s="137" t="s">
        <v>71</v>
      </c>
      <c r="B96" s="25" t="s">
        <v>72</v>
      </c>
      <c r="C96" s="18">
        <v>25000</v>
      </c>
      <c r="D96" s="18">
        <v>25000</v>
      </c>
      <c r="E96" s="18">
        <v>7170</v>
      </c>
      <c r="F96" s="466">
        <f t="shared" si="15"/>
        <v>0.2868</v>
      </c>
    </row>
    <row r="97" spans="1:6" ht="15.75" thickBot="1" x14ac:dyDescent="0.3">
      <c r="A97" s="137" t="s">
        <v>73</v>
      </c>
      <c r="B97" s="25" t="s">
        <v>74</v>
      </c>
      <c r="C97" s="18">
        <v>150</v>
      </c>
      <c r="D97" s="477">
        <f>150+220</f>
        <v>370</v>
      </c>
      <c r="E97" s="18">
        <v>0</v>
      </c>
      <c r="F97" s="466">
        <f t="shared" si="15"/>
        <v>0</v>
      </c>
    </row>
    <row r="98" spans="1:6" ht="15.75" thickBot="1" x14ac:dyDescent="0.3">
      <c r="A98" s="652" t="s">
        <v>75</v>
      </c>
      <c r="B98" s="653"/>
      <c r="C98" s="38">
        <f t="shared" ref="C98:E98" si="19">SUM(C99:C102)</f>
        <v>112450</v>
      </c>
      <c r="D98" s="38">
        <f t="shared" si="19"/>
        <v>108600</v>
      </c>
      <c r="E98" s="38">
        <f t="shared" si="19"/>
        <v>20352</v>
      </c>
      <c r="F98" s="466">
        <f t="shared" si="15"/>
        <v>0.18740331491712708</v>
      </c>
    </row>
    <row r="99" spans="1:6" x14ac:dyDescent="0.25">
      <c r="A99" s="141" t="s">
        <v>76</v>
      </c>
      <c r="B99" s="52" t="s">
        <v>260</v>
      </c>
      <c r="C99" s="53">
        <v>66000</v>
      </c>
      <c r="D99" s="478">
        <f>66000+150</f>
        <v>66150</v>
      </c>
      <c r="E99" s="53">
        <v>14124</v>
      </c>
      <c r="F99" s="466">
        <f t="shared" si="15"/>
        <v>0.21351473922902495</v>
      </c>
    </row>
    <row r="100" spans="1:6" x14ac:dyDescent="0.25">
      <c r="A100" s="137" t="s">
        <v>77</v>
      </c>
      <c r="B100" s="467" t="s">
        <v>78</v>
      </c>
      <c r="C100" s="41">
        <v>36800</v>
      </c>
      <c r="D100" s="479">
        <f>36800-4000</f>
        <v>32800</v>
      </c>
      <c r="E100" s="41">
        <v>6045</v>
      </c>
      <c r="F100" s="466">
        <f t="shared" si="15"/>
        <v>0.18429878048780488</v>
      </c>
    </row>
    <row r="101" spans="1:6" x14ac:dyDescent="0.25">
      <c r="A101" s="139" t="s">
        <v>79</v>
      </c>
      <c r="B101" s="468" t="s">
        <v>80</v>
      </c>
      <c r="C101" s="55">
        <v>1450</v>
      </c>
      <c r="D101" s="308">
        <v>1450</v>
      </c>
      <c r="E101" s="306">
        <v>20</v>
      </c>
      <c r="F101" s="466">
        <f t="shared" si="15"/>
        <v>1.3793103448275862E-2</v>
      </c>
    </row>
    <row r="102" spans="1:6" ht="15.75" thickBot="1" x14ac:dyDescent="0.3">
      <c r="A102" s="142" t="s">
        <v>81</v>
      </c>
      <c r="B102" s="469" t="s">
        <v>170</v>
      </c>
      <c r="C102" s="57">
        <v>8200</v>
      </c>
      <c r="D102" s="309">
        <v>8200</v>
      </c>
      <c r="E102" s="309">
        <v>163</v>
      </c>
      <c r="F102" s="466">
        <f t="shared" si="15"/>
        <v>1.9878048780487805E-2</v>
      </c>
    </row>
    <row r="103" spans="1:6" ht="15.75" thickBot="1" x14ac:dyDescent="0.3">
      <c r="A103" s="36" t="s">
        <v>82</v>
      </c>
      <c r="B103" s="470"/>
      <c r="C103" s="38">
        <f>SUM(C104:C106)</f>
        <v>167335</v>
      </c>
      <c r="D103" s="310">
        <f>SUM(D104:D106)</f>
        <v>165110</v>
      </c>
      <c r="E103" s="310">
        <f>SUM(E104:E106)</f>
        <v>27352</v>
      </c>
      <c r="F103" s="466">
        <f t="shared" si="15"/>
        <v>0.16565925746472049</v>
      </c>
    </row>
    <row r="104" spans="1:6" x14ac:dyDescent="0.25">
      <c r="A104" s="51" t="s">
        <v>83</v>
      </c>
      <c r="B104" s="471" t="s">
        <v>84</v>
      </c>
      <c r="C104" s="178">
        <v>128035</v>
      </c>
      <c r="D104" s="483">
        <f>128035-2000</f>
        <v>126035</v>
      </c>
      <c r="E104" s="319">
        <v>19485</v>
      </c>
      <c r="F104" s="466">
        <f t="shared" si="15"/>
        <v>0.15459991272265641</v>
      </c>
    </row>
    <row r="105" spans="1:6" x14ac:dyDescent="0.25">
      <c r="A105" s="58" t="s">
        <v>85</v>
      </c>
      <c r="B105" s="467" t="s">
        <v>86</v>
      </c>
      <c r="C105" s="41">
        <v>20800</v>
      </c>
      <c r="D105" s="479">
        <f>20800-3000</f>
        <v>17800</v>
      </c>
      <c r="E105" s="320">
        <v>2972</v>
      </c>
      <c r="F105" s="466">
        <f t="shared" si="15"/>
        <v>0.16696629213483147</v>
      </c>
    </row>
    <row r="106" spans="1:6" ht="15.75" thickBot="1" x14ac:dyDescent="0.3">
      <c r="A106" s="59" t="s">
        <v>87</v>
      </c>
      <c r="B106" s="469" t="s">
        <v>88</v>
      </c>
      <c r="C106" s="181">
        <v>18500</v>
      </c>
      <c r="D106" s="480">
        <f>18500+2400+375</f>
        <v>21275</v>
      </c>
      <c r="E106" s="312">
        <v>4895</v>
      </c>
      <c r="F106" s="466">
        <f t="shared" si="15"/>
        <v>0.23008225616921268</v>
      </c>
    </row>
    <row r="107" spans="1:6" ht="15.75" thickBot="1" x14ac:dyDescent="0.3">
      <c r="A107" s="60" t="s">
        <v>89</v>
      </c>
      <c r="B107" s="472"/>
      <c r="C107" s="61">
        <f t="shared" ref="C107:E107" si="20">SUM(C108:C111)</f>
        <v>700</v>
      </c>
      <c r="D107" s="313">
        <f t="shared" si="20"/>
        <v>1000</v>
      </c>
      <c r="E107" s="313">
        <f t="shared" si="20"/>
        <v>641</v>
      </c>
      <c r="F107" s="466">
        <f t="shared" si="15"/>
        <v>0.64100000000000001</v>
      </c>
    </row>
    <row r="108" spans="1:6" x14ac:dyDescent="0.25">
      <c r="A108" s="45" t="s">
        <v>90</v>
      </c>
      <c r="B108" s="473" t="s">
        <v>91</v>
      </c>
      <c r="C108" s="53">
        <v>50</v>
      </c>
      <c r="D108" s="53">
        <v>50</v>
      </c>
      <c r="E108" s="314">
        <v>15</v>
      </c>
      <c r="F108" s="466">
        <f t="shared" si="15"/>
        <v>0.3</v>
      </c>
    </row>
    <row r="109" spans="1:6" x14ac:dyDescent="0.25">
      <c r="A109" s="58" t="s">
        <v>92</v>
      </c>
      <c r="B109" s="467" t="s">
        <v>93</v>
      </c>
      <c r="C109" s="179">
        <v>50</v>
      </c>
      <c r="D109" s="179">
        <v>50</v>
      </c>
      <c r="E109" s="321">
        <v>5</v>
      </c>
      <c r="F109" s="466">
        <f t="shared" si="15"/>
        <v>0.1</v>
      </c>
    </row>
    <row r="110" spans="1:6" ht="15.75" thickBot="1" x14ac:dyDescent="0.3">
      <c r="A110" s="59" t="s">
        <v>94</v>
      </c>
      <c r="B110" s="469" t="s">
        <v>358</v>
      </c>
      <c r="C110" s="57">
        <v>300</v>
      </c>
      <c r="D110" s="481">
        <f>300+300</f>
        <v>600</v>
      </c>
      <c r="E110" s="309">
        <v>321</v>
      </c>
      <c r="F110" s="466">
        <f t="shared" si="15"/>
        <v>0.53500000000000003</v>
      </c>
    </row>
    <row r="111" spans="1:6" ht="15.75" thickBot="1" x14ac:dyDescent="0.3">
      <c r="A111" s="279" t="s">
        <v>242</v>
      </c>
      <c r="B111" s="474" t="s">
        <v>261</v>
      </c>
      <c r="C111" s="42">
        <v>300</v>
      </c>
      <c r="D111" s="42">
        <v>300</v>
      </c>
      <c r="E111" s="316">
        <v>300</v>
      </c>
      <c r="F111" s="466">
        <f t="shared" si="15"/>
        <v>1</v>
      </c>
    </row>
    <row r="112" spans="1:6" ht="15.75" thickBot="1" x14ac:dyDescent="0.3">
      <c r="A112" s="62" t="s">
        <v>96</v>
      </c>
      <c r="B112" s="475"/>
      <c r="C112" s="64">
        <f t="shared" ref="C112:E112" si="21">SUM(C113:C117)</f>
        <v>132750</v>
      </c>
      <c r="D112" s="317">
        <f t="shared" si="21"/>
        <v>147184</v>
      </c>
      <c r="E112" s="317">
        <f t="shared" si="21"/>
        <v>16804</v>
      </c>
      <c r="F112" s="466">
        <f t="shared" si="15"/>
        <v>0.1141700184802696</v>
      </c>
    </row>
    <row r="113" spans="1:6" x14ac:dyDescent="0.25">
      <c r="A113" s="141" t="s">
        <v>97</v>
      </c>
      <c r="B113" s="52" t="s">
        <v>359</v>
      </c>
      <c r="C113" s="47">
        <v>20700</v>
      </c>
      <c r="D113" s="478">
        <f>20700+500+904</f>
        <v>22104</v>
      </c>
      <c r="E113" s="322">
        <v>4958</v>
      </c>
      <c r="F113" s="466">
        <f t="shared" si="15"/>
        <v>0.22430329352153455</v>
      </c>
    </row>
    <row r="114" spans="1:6" x14ac:dyDescent="0.25">
      <c r="A114" s="144" t="s">
        <v>99</v>
      </c>
      <c r="B114" s="65" t="s">
        <v>198</v>
      </c>
      <c r="C114" s="15">
        <v>81800</v>
      </c>
      <c r="D114" s="482">
        <f>81800+2400+4600</f>
        <v>88800</v>
      </c>
      <c r="E114" s="323">
        <v>8509</v>
      </c>
      <c r="F114" s="466">
        <f t="shared" si="15"/>
        <v>9.5822072072072079E-2</v>
      </c>
    </row>
    <row r="115" spans="1:6" x14ac:dyDescent="0.25">
      <c r="A115" s="144" t="s">
        <v>100</v>
      </c>
      <c r="B115" s="39" t="s">
        <v>101</v>
      </c>
      <c r="C115" s="15">
        <v>3950</v>
      </c>
      <c r="D115" s="15">
        <v>3950</v>
      </c>
      <c r="E115" s="15">
        <v>1009</v>
      </c>
      <c r="F115" s="466">
        <f t="shared" si="15"/>
        <v>0.25544303797468354</v>
      </c>
    </row>
    <row r="116" spans="1:6" x14ac:dyDescent="0.25">
      <c r="A116" s="144" t="s">
        <v>102</v>
      </c>
      <c r="B116" s="39" t="s">
        <v>103</v>
      </c>
      <c r="C116" s="15">
        <v>16300</v>
      </c>
      <c r="D116" s="482">
        <f>16300+30</f>
        <v>16330</v>
      </c>
      <c r="E116" s="15">
        <v>813</v>
      </c>
      <c r="F116" s="466">
        <f t="shared" si="15"/>
        <v>4.9785670545009188E-2</v>
      </c>
    </row>
    <row r="117" spans="1:6" ht="15.75" thickBot="1" x14ac:dyDescent="0.3">
      <c r="A117" s="142" t="s">
        <v>104</v>
      </c>
      <c r="B117" s="56" t="s">
        <v>361</v>
      </c>
      <c r="C117" s="181">
        <v>10000</v>
      </c>
      <c r="D117" s="481">
        <f>10000+6000</f>
        <v>16000</v>
      </c>
      <c r="E117" s="181">
        <v>1515</v>
      </c>
      <c r="F117" s="466">
        <f t="shared" si="15"/>
        <v>9.4687499999999994E-2</v>
      </c>
    </row>
    <row r="118" spans="1:6" ht="15.75" thickBot="1" x14ac:dyDescent="0.3">
      <c r="A118" s="43" t="s">
        <v>105</v>
      </c>
      <c r="B118" s="44"/>
      <c r="C118" s="38">
        <f t="shared" ref="C118:E118" si="22">SUM(C119:C125)</f>
        <v>309800</v>
      </c>
      <c r="D118" s="38">
        <f t="shared" si="22"/>
        <v>309800</v>
      </c>
      <c r="E118" s="38">
        <f t="shared" si="22"/>
        <v>63589</v>
      </c>
      <c r="F118" s="466">
        <f t="shared" si="15"/>
        <v>0.20525823111684957</v>
      </c>
    </row>
    <row r="119" spans="1:6" x14ac:dyDescent="0.25">
      <c r="A119" s="66" t="s">
        <v>106</v>
      </c>
      <c r="B119" s="67" t="s">
        <v>107</v>
      </c>
      <c r="C119" s="86">
        <v>149400</v>
      </c>
      <c r="D119" s="86">
        <f>149400</f>
        <v>149400</v>
      </c>
      <c r="E119" s="86">
        <v>34696</v>
      </c>
      <c r="F119" s="466">
        <f t="shared" si="15"/>
        <v>0.23223560910307897</v>
      </c>
    </row>
    <row r="120" spans="1:6" x14ac:dyDescent="0.25">
      <c r="A120" s="68" t="s">
        <v>108</v>
      </c>
      <c r="B120" s="17" t="s">
        <v>196</v>
      </c>
      <c r="C120" s="168">
        <v>3000</v>
      </c>
      <c r="D120" s="168">
        <v>3000</v>
      </c>
      <c r="E120" s="168">
        <v>729</v>
      </c>
      <c r="F120" s="466">
        <f t="shared" si="15"/>
        <v>0.24299999999999999</v>
      </c>
    </row>
    <row r="121" spans="1:6" x14ac:dyDescent="0.25">
      <c r="A121" s="68" t="s">
        <v>109</v>
      </c>
      <c r="B121" s="17" t="s">
        <v>110</v>
      </c>
      <c r="C121" s="168">
        <v>27800</v>
      </c>
      <c r="D121" s="168">
        <v>27800</v>
      </c>
      <c r="E121" s="168">
        <v>5185</v>
      </c>
      <c r="F121" s="466">
        <f t="shared" si="15"/>
        <v>0.18651079136690649</v>
      </c>
    </row>
    <row r="122" spans="1:6" x14ac:dyDescent="0.25">
      <c r="A122" s="68" t="s">
        <v>111</v>
      </c>
      <c r="B122" s="17" t="s">
        <v>112</v>
      </c>
      <c r="C122" s="18">
        <v>41200</v>
      </c>
      <c r="D122" s="18">
        <v>41200</v>
      </c>
      <c r="E122" s="18">
        <v>7778</v>
      </c>
      <c r="F122" s="466">
        <f t="shared" si="15"/>
        <v>0.18878640776699029</v>
      </c>
    </row>
    <row r="123" spans="1:6" x14ac:dyDescent="0.25">
      <c r="A123" s="68" t="s">
        <v>113</v>
      </c>
      <c r="B123" s="17" t="s">
        <v>114</v>
      </c>
      <c r="C123" s="18">
        <v>41200</v>
      </c>
      <c r="D123" s="18">
        <v>41200</v>
      </c>
      <c r="E123" s="18">
        <v>7778</v>
      </c>
      <c r="F123" s="466">
        <f t="shared" si="15"/>
        <v>0.18878640776699029</v>
      </c>
    </row>
    <row r="124" spans="1:6" x14ac:dyDescent="0.25">
      <c r="A124" s="69" t="s">
        <v>115</v>
      </c>
      <c r="B124" s="17" t="s">
        <v>362</v>
      </c>
      <c r="C124" s="70">
        <v>43900</v>
      </c>
      <c r="D124" s="70">
        <v>43900</v>
      </c>
      <c r="E124" s="70">
        <v>7373</v>
      </c>
      <c r="F124" s="466">
        <f t="shared" si="15"/>
        <v>0.16794988610478359</v>
      </c>
    </row>
    <row r="125" spans="1:6" ht="15.75" thickBot="1" x14ac:dyDescent="0.3">
      <c r="A125" s="68" t="s">
        <v>117</v>
      </c>
      <c r="B125" s="17" t="s">
        <v>118</v>
      </c>
      <c r="C125" s="70">
        <v>3300</v>
      </c>
      <c r="D125" s="70">
        <v>3300</v>
      </c>
      <c r="E125" s="70">
        <v>50</v>
      </c>
      <c r="F125" s="466">
        <f t="shared" si="15"/>
        <v>1.5151515151515152E-2</v>
      </c>
    </row>
    <row r="126" spans="1:6" ht="15.75" thickBot="1" x14ac:dyDescent="0.3">
      <c r="A126" s="36" t="s">
        <v>119</v>
      </c>
      <c r="B126" s="37"/>
      <c r="C126" s="38">
        <f t="shared" ref="C126:E126" si="23">SUM(C127:C131)</f>
        <v>307100</v>
      </c>
      <c r="D126" s="38">
        <f t="shared" si="23"/>
        <v>309680</v>
      </c>
      <c r="E126" s="38">
        <f t="shared" si="23"/>
        <v>44198</v>
      </c>
      <c r="F126" s="466">
        <f t="shared" si="15"/>
        <v>0.14272151898734178</v>
      </c>
    </row>
    <row r="127" spans="1:6" x14ac:dyDescent="0.25">
      <c r="A127" s="144" t="s">
        <v>120</v>
      </c>
      <c r="B127" s="39" t="s">
        <v>262</v>
      </c>
      <c r="C127" s="15">
        <v>276500</v>
      </c>
      <c r="D127" s="482">
        <f>276500+1080+1500</f>
        <v>279080</v>
      </c>
      <c r="E127" s="15">
        <v>40158</v>
      </c>
      <c r="F127" s="466">
        <f t="shared" si="15"/>
        <v>0.14389422387845779</v>
      </c>
    </row>
    <row r="128" spans="1:6" x14ac:dyDescent="0.25">
      <c r="A128" s="144" t="s">
        <v>121</v>
      </c>
      <c r="B128" s="39" t="s">
        <v>167</v>
      </c>
      <c r="C128" s="15">
        <v>8200</v>
      </c>
      <c r="D128" s="15">
        <v>8200</v>
      </c>
      <c r="E128" s="40">
        <v>1090</v>
      </c>
      <c r="F128" s="466">
        <f t="shared" si="15"/>
        <v>0.13292682926829269</v>
      </c>
    </row>
    <row r="129" spans="1:11" x14ac:dyDescent="0.25">
      <c r="A129" s="137" t="s">
        <v>122</v>
      </c>
      <c r="B129" s="25" t="s">
        <v>168</v>
      </c>
      <c r="C129" s="41">
        <v>21400</v>
      </c>
      <c r="D129" s="41">
        <v>21400</v>
      </c>
      <c r="E129" s="41">
        <v>2950</v>
      </c>
      <c r="F129" s="466">
        <f t="shared" si="15"/>
        <v>0.13785046728971961</v>
      </c>
    </row>
    <row r="130" spans="1:11" x14ac:dyDescent="0.25">
      <c r="A130" s="137" t="s">
        <v>123</v>
      </c>
      <c r="B130" s="25" t="s">
        <v>124</v>
      </c>
      <c r="C130" s="41">
        <v>500</v>
      </c>
      <c r="D130" s="41">
        <v>500</v>
      </c>
      <c r="E130" s="41">
        <v>0</v>
      </c>
      <c r="F130" s="466">
        <f t="shared" si="15"/>
        <v>0</v>
      </c>
    </row>
    <row r="131" spans="1:11" ht="15.75" thickBot="1" x14ac:dyDescent="0.3">
      <c r="A131" s="142" t="s">
        <v>125</v>
      </c>
      <c r="B131" s="56" t="s">
        <v>126</v>
      </c>
      <c r="C131" s="57">
        <v>500</v>
      </c>
      <c r="D131" s="57">
        <v>500</v>
      </c>
      <c r="E131" s="57">
        <v>0</v>
      </c>
      <c r="F131" s="466">
        <f t="shared" si="15"/>
        <v>0</v>
      </c>
      <c r="G131" s="123"/>
      <c r="H131" s="123"/>
      <c r="I131" s="123"/>
    </row>
    <row r="132" spans="1:11" ht="16.5" thickBot="1" x14ac:dyDescent="0.3">
      <c r="A132" s="71" t="s">
        <v>127</v>
      </c>
      <c r="B132" s="143"/>
      <c r="C132" s="72">
        <f>SUM(C82+C88+C90+C93+C98+C103+C107+C112+C118+C126)</f>
        <v>1382145</v>
      </c>
      <c r="D132" s="72">
        <f>SUM(D82+D88+D90+D93+D98+D103+D107+D112+D118+D126)</f>
        <v>1411816</v>
      </c>
      <c r="E132" s="72">
        <f>SUM(E82+E88+E90+E93+E98+E103+E107+E112+E118+E126)</f>
        <v>239428.31</v>
      </c>
      <c r="F132" s="466">
        <f t="shared" si="15"/>
        <v>0.16958889118695353</v>
      </c>
      <c r="G132" s="123">
        <f>D132-C132</f>
        <v>29671</v>
      </c>
      <c r="H132" s="123"/>
    </row>
    <row r="133" spans="1:11" x14ac:dyDescent="0.25">
      <c r="A133" s="247" t="s">
        <v>231</v>
      </c>
      <c r="B133" s="248" t="s">
        <v>264</v>
      </c>
      <c r="C133" s="249">
        <f>C68</f>
        <v>472270</v>
      </c>
      <c r="D133" s="249">
        <f>D68</f>
        <v>486089</v>
      </c>
      <c r="E133" s="249">
        <f>E68</f>
        <v>124705</v>
      </c>
      <c r="F133" s="466">
        <f t="shared" si="15"/>
        <v>0.25654766925398437</v>
      </c>
      <c r="G133" s="123"/>
      <c r="H133" s="123"/>
    </row>
    <row r="134" spans="1:11" x14ac:dyDescent="0.25">
      <c r="A134" s="263" t="s">
        <v>231</v>
      </c>
      <c r="B134" s="264" t="s">
        <v>225</v>
      </c>
      <c r="C134" s="265">
        <f>C70</f>
        <v>3000</v>
      </c>
      <c r="D134" s="265">
        <f>D70</f>
        <v>3000</v>
      </c>
      <c r="E134" s="265">
        <f>E70</f>
        <v>1567</v>
      </c>
      <c r="F134" s="466">
        <f t="shared" si="15"/>
        <v>0.52233333333333332</v>
      </c>
      <c r="G134" s="123"/>
      <c r="H134" s="123"/>
      <c r="J134" s="123"/>
      <c r="K134" s="123"/>
    </row>
    <row r="135" spans="1:11" x14ac:dyDescent="0.25">
      <c r="A135" s="263" t="s">
        <v>231</v>
      </c>
      <c r="B135" s="264" t="s">
        <v>265</v>
      </c>
      <c r="C135" s="265">
        <v>54240</v>
      </c>
      <c r="D135" s="265">
        <v>54240</v>
      </c>
      <c r="E135" s="265">
        <v>0</v>
      </c>
      <c r="F135" s="466">
        <f t="shared" si="15"/>
        <v>0</v>
      </c>
      <c r="G135" s="123"/>
      <c r="H135" s="123"/>
      <c r="I135" s="123"/>
    </row>
    <row r="136" spans="1:11" ht="16.5" customHeight="1" thickBot="1" x14ac:dyDescent="0.3">
      <c r="A136" s="364" t="s">
        <v>231</v>
      </c>
      <c r="B136" s="365" t="s">
        <v>266</v>
      </c>
      <c r="C136" s="366">
        <v>2855</v>
      </c>
      <c r="D136" s="366">
        <v>2855</v>
      </c>
      <c r="E136" s="366">
        <v>1081</v>
      </c>
      <c r="F136" s="466">
        <f t="shared" si="15"/>
        <v>0.37863397548161121</v>
      </c>
      <c r="G136" s="123"/>
      <c r="H136" s="123"/>
      <c r="I136" s="123"/>
    </row>
    <row r="137" spans="1:11" ht="16.5" customHeight="1" x14ac:dyDescent="0.25">
      <c r="A137" s="361" t="s">
        <v>108</v>
      </c>
      <c r="B137" s="362" t="s">
        <v>267</v>
      </c>
      <c r="C137" s="363">
        <v>22500</v>
      </c>
      <c r="D137" s="363">
        <v>22500</v>
      </c>
      <c r="E137" s="363">
        <v>5625</v>
      </c>
      <c r="F137" s="466">
        <f t="shared" si="15"/>
        <v>0.25</v>
      </c>
      <c r="G137" s="123"/>
      <c r="H137" s="123"/>
      <c r="I137" s="123"/>
    </row>
    <row r="138" spans="1:11" ht="15.75" thickBot="1" x14ac:dyDescent="0.3">
      <c r="A138" s="263" t="s">
        <v>108</v>
      </c>
      <c r="B138" s="264" t="s">
        <v>268</v>
      </c>
      <c r="C138" s="265">
        <f>C71</f>
        <v>1320</v>
      </c>
      <c r="D138" s="265">
        <f>D71</f>
        <v>1320</v>
      </c>
      <c r="E138" s="265">
        <f>E71</f>
        <v>0</v>
      </c>
      <c r="F138" s="466">
        <f t="shared" si="15"/>
        <v>0</v>
      </c>
      <c r="G138" s="123"/>
      <c r="H138" s="123">
        <f>SUM(E134:E138)</f>
        <v>8273</v>
      </c>
      <c r="I138" s="123"/>
    </row>
    <row r="139" spans="1:11" ht="15.75" thickBot="1" x14ac:dyDescent="0.3">
      <c r="A139" s="654" t="s">
        <v>183</v>
      </c>
      <c r="B139" s="655"/>
      <c r="C139" s="128">
        <f t="shared" ref="C139:E139" si="24">SUM(C133:C138)</f>
        <v>556185</v>
      </c>
      <c r="D139" s="128">
        <f t="shared" si="24"/>
        <v>570004</v>
      </c>
      <c r="E139" s="128">
        <f t="shared" si="24"/>
        <v>132978</v>
      </c>
      <c r="F139" s="466">
        <f t="shared" si="15"/>
        <v>0.23329309969754597</v>
      </c>
      <c r="G139" s="123">
        <f t="shared" ref="G139:G144" si="25">D139-C139</f>
        <v>13819</v>
      </c>
      <c r="H139" s="123"/>
      <c r="I139" s="123"/>
    </row>
    <row r="140" spans="1:11" ht="15" customHeight="1" x14ac:dyDescent="0.25">
      <c r="A140" s="250" t="s">
        <v>108</v>
      </c>
      <c r="B140" s="251" t="s">
        <v>227</v>
      </c>
      <c r="C140" s="221">
        <f>190500+13510</f>
        <v>204010</v>
      </c>
      <c r="D140" s="221">
        <f>190500+13510</f>
        <v>204010</v>
      </c>
      <c r="E140" s="221">
        <v>51000</v>
      </c>
      <c r="F140" s="466">
        <f t="shared" si="15"/>
        <v>0.24998774569874027</v>
      </c>
      <c r="G140" s="123"/>
      <c r="H140" s="123"/>
      <c r="I140" s="123"/>
    </row>
    <row r="141" spans="1:11" ht="14.25" customHeight="1" thickBot="1" x14ac:dyDescent="0.3">
      <c r="A141" s="266" t="s">
        <v>108</v>
      </c>
      <c r="B141" s="244" t="s">
        <v>228</v>
      </c>
      <c r="C141" s="217">
        <f>C74</f>
        <v>9770</v>
      </c>
      <c r="D141" s="217">
        <f>D74</f>
        <v>9770</v>
      </c>
      <c r="E141" s="217">
        <f>E74-2615</f>
        <v>1050</v>
      </c>
      <c r="F141" s="466">
        <f t="shared" si="15"/>
        <v>0.10747185261003071</v>
      </c>
      <c r="G141" s="123"/>
      <c r="H141" s="123"/>
      <c r="I141" s="123"/>
    </row>
    <row r="142" spans="1:11" ht="15.75" thickBot="1" x14ac:dyDescent="0.3">
      <c r="A142" s="656" t="s">
        <v>226</v>
      </c>
      <c r="B142" s="657"/>
      <c r="C142" s="367">
        <f t="shared" ref="C142:E142" si="26">SUM(C140:C141)</f>
        <v>213780</v>
      </c>
      <c r="D142" s="367">
        <f t="shared" si="26"/>
        <v>213780</v>
      </c>
      <c r="E142" s="367">
        <f t="shared" si="26"/>
        <v>52050</v>
      </c>
      <c r="F142" s="466">
        <f t="shared" si="15"/>
        <v>0.24347460005613247</v>
      </c>
      <c r="G142" s="123">
        <f t="shared" si="25"/>
        <v>0</v>
      </c>
      <c r="H142" s="123"/>
      <c r="I142" s="123"/>
    </row>
    <row r="143" spans="1:11" ht="17.25" customHeight="1" thickBot="1" x14ac:dyDescent="0.3">
      <c r="A143" s="658" t="s">
        <v>220</v>
      </c>
      <c r="B143" s="659"/>
      <c r="C143" s="368">
        <f t="shared" ref="C143:E143" si="27">C139+C142</f>
        <v>769965</v>
      </c>
      <c r="D143" s="368">
        <f t="shared" si="27"/>
        <v>783784</v>
      </c>
      <c r="E143" s="368">
        <f t="shared" si="27"/>
        <v>185028</v>
      </c>
      <c r="F143" s="466">
        <f t="shared" si="15"/>
        <v>0.23607014177375399</v>
      </c>
      <c r="G143" s="123">
        <f t="shared" si="25"/>
        <v>13819</v>
      </c>
      <c r="H143" s="123"/>
    </row>
    <row r="144" spans="1:11" ht="16.5" customHeight="1" thickBot="1" x14ac:dyDescent="0.3">
      <c r="A144" s="73" t="s">
        <v>184</v>
      </c>
      <c r="B144" s="140"/>
      <c r="C144" s="74">
        <f>C132+C143</f>
        <v>2152110</v>
      </c>
      <c r="D144" s="74">
        <f>D132+D143</f>
        <v>2195600</v>
      </c>
      <c r="E144" s="74">
        <f>E132+E143</f>
        <v>424456.31</v>
      </c>
      <c r="F144" s="466">
        <f t="shared" si="15"/>
        <v>0.19332132902167973</v>
      </c>
      <c r="G144" s="123">
        <f t="shared" si="25"/>
        <v>43490</v>
      </c>
    </row>
    <row r="145" spans="1:14" ht="23.25" customHeight="1" x14ac:dyDescent="0.25"/>
    <row r="146" spans="1:14" ht="15" customHeight="1" x14ac:dyDescent="0.25"/>
    <row r="147" spans="1:14" ht="18.75" thickBot="1" x14ac:dyDescent="0.3">
      <c r="A147" s="660" t="s">
        <v>128</v>
      </c>
      <c r="B147" s="661"/>
      <c r="C147" s="661"/>
      <c r="D147" s="661"/>
      <c r="E147" s="661"/>
    </row>
    <row r="148" spans="1:14" ht="15" customHeight="1" x14ac:dyDescent="0.25">
      <c r="A148" s="644" t="s">
        <v>1</v>
      </c>
      <c r="B148" s="645"/>
      <c r="C148" s="638" t="s">
        <v>323</v>
      </c>
      <c r="D148" s="638" t="s">
        <v>322</v>
      </c>
      <c r="E148" s="638" t="s">
        <v>397</v>
      </c>
      <c r="F148" s="640" t="s">
        <v>352</v>
      </c>
      <c r="J148" s="123"/>
    </row>
    <row r="149" spans="1:14" ht="15.75" thickBot="1" x14ac:dyDescent="0.3">
      <c r="A149" s="646"/>
      <c r="B149" s="647"/>
      <c r="C149" s="639"/>
      <c r="D149" s="639"/>
      <c r="E149" s="639"/>
      <c r="F149" s="641"/>
      <c r="G149" s="123"/>
      <c r="H149" s="123"/>
      <c r="J149" s="123"/>
      <c r="K149" s="123"/>
      <c r="L149" s="123"/>
    </row>
    <row r="150" spans="1:14" ht="16.5" thickBot="1" x14ac:dyDescent="0.3">
      <c r="A150" s="648" t="s">
        <v>129</v>
      </c>
      <c r="B150" s="649"/>
      <c r="C150" s="328">
        <f>SUM(C151:C155)</f>
        <v>620702</v>
      </c>
      <c r="D150" s="328">
        <f>SUM(D151:D155)</f>
        <v>635220</v>
      </c>
      <c r="E150" s="75">
        <f>SUM(E151:E155)</f>
        <v>0</v>
      </c>
      <c r="F150" s="466">
        <f>E150/D150</f>
        <v>0</v>
      </c>
      <c r="G150" s="123">
        <f>D150-C150</f>
        <v>14518</v>
      </c>
      <c r="H150" s="123"/>
      <c r="I150" s="123"/>
      <c r="M150" s="123"/>
      <c r="N150" s="123"/>
    </row>
    <row r="151" spans="1:14" ht="15.75" thickBot="1" x14ac:dyDescent="0.3">
      <c r="A151" s="176">
        <v>233</v>
      </c>
      <c r="B151" s="56" t="s">
        <v>130</v>
      </c>
      <c r="C151" s="329">
        <v>1000</v>
      </c>
      <c r="D151" s="329">
        <v>1000</v>
      </c>
      <c r="E151" s="329">
        <v>0</v>
      </c>
      <c r="F151" s="466">
        <f t="shared" ref="F151:F177" si="28">E151/D151</f>
        <v>0</v>
      </c>
    </row>
    <row r="152" spans="1:14" x14ac:dyDescent="0.25">
      <c r="A152" s="102">
        <v>322</v>
      </c>
      <c r="B152" s="25" t="s">
        <v>241</v>
      </c>
      <c r="C152" s="331">
        <v>183255</v>
      </c>
      <c r="D152" s="485">
        <f>183255+18815</f>
        <v>202070</v>
      </c>
      <c r="E152" s="331">
        <v>0</v>
      </c>
      <c r="F152" s="466">
        <f t="shared" si="28"/>
        <v>0</v>
      </c>
    </row>
    <row r="153" spans="1:14" x14ac:dyDescent="0.25">
      <c r="A153" s="175">
        <v>322</v>
      </c>
      <c r="B153" s="39" t="s">
        <v>240</v>
      </c>
      <c r="C153" s="330">
        <v>120047</v>
      </c>
      <c r="D153" s="487">
        <f>120047+2253</f>
        <v>122300</v>
      </c>
      <c r="E153" s="333">
        <v>0</v>
      </c>
      <c r="F153" s="466">
        <f t="shared" si="28"/>
        <v>0</v>
      </c>
    </row>
    <row r="154" spans="1:14" x14ac:dyDescent="0.25">
      <c r="A154" s="102">
        <v>322</v>
      </c>
      <c r="B154" s="25" t="s">
        <v>160</v>
      </c>
      <c r="C154" s="331">
        <v>121400</v>
      </c>
      <c r="D154" s="485">
        <f>121400-6550</f>
        <v>114850</v>
      </c>
      <c r="E154" s="331">
        <v>0</v>
      </c>
      <c r="F154" s="466">
        <f t="shared" si="28"/>
        <v>0</v>
      </c>
    </row>
    <row r="155" spans="1:14" ht="15.75" thickBot="1" x14ac:dyDescent="0.3">
      <c r="A155" s="102">
        <v>322</v>
      </c>
      <c r="B155" s="25" t="s">
        <v>162</v>
      </c>
      <c r="C155" s="331">
        <v>195000</v>
      </c>
      <c r="D155" s="331">
        <v>195000</v>
      </c>
      <c r="E155" s="331">
        <v>0</v>
      </c>
      <c r="F155" s="466">
        <f t="shared" si="28"/>
        <v>0</v>
      </c>
      <c r="H155" s="123">
        <f>SUM(C152:C155)</f>
        <v>619702</v>
      </c>
      <c r="I155" s="123">
        <f>SUM(D152:D155)</f>
        <v>634220</v>
      </c>
      <c r="J155" s="123"/>
      <c r="K155" s="123"/>
      <c r="L155" s="123"/>
      <c r="M155" s="123"/>
      <c r="N155" s="123"/>
    </row>
    <row r="156" spans="1:14" ht="16.5" thickBot="1" x14ac:dyDescent="0.3">
      <c r="A156" s="648" t="s">
        <v>131</v>
      </c>
      <c r="B156" s="649"/>
      <c r="C156" s="328">
        <f>SUM(C157:C177)</f>
        <v>1020702</v>
      </c>
      <c r="D156" s="328">
        <f>SUM(D157:D177)</f>
        <v>1035220</v>
      </c>
      <c r="E156" s="328">
        <f>SUM(E157:E177)</f>
        <v>5735</v>
      </c>
      <c r="F156" s="466">
        <f t="shared" si="28"/>
        <v>5.5398852417843552E-3</v>
      </c>
      <c r="G156" s="123">
        <f>D156-C156</f>
        <v>14518</v>
      </c>
    </row>
    <row r="157" spans="1:14" x14ac:dyDescent="0.25">
      <c r="A157" s="210" t="s">
        <v>50</v>
      </c>
      <c r="B157" s="211" t="s">
        <v>158</v>
      </c>
      <c r="C157" s="303">
        <v>127047</v>
      </c>
      <c r="D157" s="486">
        <f>127047+2403</f>
        <v>129450</v>
      </c>
      <c r="E157" s="303">
        <v>0</v>
      </c>
      <c r="F157" s="466">
        <f t="shared" si="28"/>
        <v>0</v>
      </c>
    </row>
    <row r="158" spans="1:14" x14ac:dyDescent="0.25">
      <c r="A158" s="174" t="s">
        <v>50</v>
      </c>
      <c r="B158" s="152" t="s">
        <v>243</v>
      </c>
      <c r="C158" s="230">
        <v>15000</v>
      </c>
      <c r="D158" s="230">
        <v>15000</v>
      </c>
      <c r="E158" s="230">
        <v>0</v>
      </c>
      <c r="F158" s="466">
        <f t="shared" si="28"/>
        <v>0</v>
      </c>
    </row>
    <row r="159" spans="1:14" ht="15.75" thickBot="1" x14ac:dyDescent="0.3">
      <c r="A159" s="358" t="s">
        <v>50</v>
      </c>
      <c r="B159" s="108" t="s">
        <v>253</v>
      </c>
      <c r="C159" s="228">
        <v>10000</v>
      </c>
      <c r="D159" s="484">
        <f>10000+27600</f>
        <v>37600</v>
      </c>
      <c r="E159" s="228">
        <v>0</v>
      </c>
      <c r="F159" s="466">
        <f t="shared" si="28"/>
        <v>0</v>
      </c>
      <c r="H159" s="123">
        <f>SUM(C157:C159)</f>
        <v>152047</v>
      </c>
      <c r="I159" s="123">
        <f t="shared" ref="I159:J159" si="29">SUM(D157:D159)</f>
        <v>182050</v>
      </c>
      <c r="J159" s="123">
        <f t="shared" si="29"/>
        <v>0</v>
      </c>
      <c r="L159" s="123"/>
    </row>
    <row r="160" spans="1:14" ht="15.75" thickBot="1" x14ac:dyDescent="0.3">
      <c r="A160" s="357" t="s">
        <v>62</v>
      </c>
      <c r="B160" s="130" t="s">
        <v>254</v>
      </c>
      <c r="C160" s="231">
        <v>10000</v>
      </c>
      <c r="D160" s="489">
        <f>10000+20000</f>
        <v>30000</v>
      </c>
      <c r="E160" s="231">
        <v>0</v>
      </c>
      <c r="F160" s="466">
        <f t="shared" si="28"/>
        <v>0</v>
      </c>
      <c r="J160" s="123"/>
      <c r="K160" s="123"/>
      <c r="L160" s="123"/>
    </row>
    <row r="161" spans="1:18" x14ac:dyDescent="0.25">
      <c r="A161" s="129" t="s">
        <v>69</v>
      </c>
      <c r="B161" s="76" t="s">
        <v>186</v>
      </c>
      <c r="C161" s="229">
        <v>6870</v>
      </c>
      <c r="D161" s="229">
        <v>6870</v>
      </c>
      <c r="E161" s="229">
        <v>0</v>
      </c>
      <c r="F161" s="466">
        <f t="shared" si="28"/>
        <v>0</v>
      </c>
      <c r="I161" s="123"/>
      <c r="J161" s="123"/>
      <c r="K161" s="123"/>
      <c r="L161" s="123"/>
      <c r="M161" s="123"/>
      <c r="N161" s="123"/>
    </row>
    <row r="162" spans="1:18" ht="15.75" thickBot="1" x14ac:dyDescent="0.3">
      <c r="A162" s="358" t="s">
        <v>71</v>
      </c>
      <c r="B162" s="108" t="s">
        <v>255</v>
      </c>
      <c r="C162" s="228">
        <v>30000</v>
      </c>
      <c r="D162" s="484">
        <f>30000-25000</f>
        <v>5000</v>
      </c>
      <c r="E162" s="228">
        <v>0</v>
      </c>
      <c r="F162" s="466">
        <f t="shared" si="28"/>
        <v>0</v>
      </c>
      <c r="G162" s="123"/>
      <c r="H162" s="123"/>
      <c r="J162" s="123"/>
      <c r="K162" s="123"/>
      <c r="L162" s="123"/>
    </row>
    <row r="163" spans="1:18" x14ac:dyDescent="0.25">
      <c r="A163" s="174" t="s">
        <v>77</v>
      </c>
      <c r="B163" s="133" t="s">
        <v>164</v>
      </c>
      <c r="C163" s="230">
        <v>206000</v>
      </c>
      <c r="D163" s="230">
        <v>206000</v>
      </c>
      <c r="E163" s="230">
        <v>0</v>
      </c>
      <c r="F163" s="466">
        <f t="shared" si="28"/>
        <v>0</v>
      </c>
      <c r="G163" s="123"/>
      <c r="H163" s="123"/>
      <c r="M163" s="123"/>
      <c r="N163" s="123"/>
      <c r="O163" s="123"/>
    </row>
    <row r="164" spans="1:18" ht="15.75" thickBot="1" x14ac:dyDescent="0.3">
      <c r="A164" s="173" t="s">
        <v>81</v>
      </c>
      <c r="B164" s="134" t="s">
        <v>195</v>
      </c>
      <c r="C164" s="231">
        <v>10000</v>
      </c>
      <c r="D164" s="231">
        <v>10000</v>
      </c>
      <c r="E164" s="231">
        <v>0</v>
      </c>
      <c r="F164" s="466">
        <f t="shared" si="28"/>
        <v>0</v>
      </c>
      <c r="J164" s="123"/>
    </row>
    <row r="165" spans="1:18" x14ac:dyDescent="0.25">
      <c r="A165" s="146" t="s">
        <v>132</v>
      </c>
      <c r="B165" s="147" t="s">
        <v>159</v>
      </c>
      <c r="C165" s="232">
        <v>6000</v>
      </c>
      <c r="D165" s="232">
        <v>6000</v>
      </c>
      <c r="E165" s="232">
        <v>0</v>
      </c>
      <c r="F165" s="466">
        <f t="shared" si="28"/>
        <v>0</v>
      </c>
      <c r="J165" s="123"/>
    </row>
    <row r="166" spans="1:18" x14ac:dyDescent="0.25">
      <c r="A166" s="188" t="s">
        <v>132</v>
      </c>
      <c r="B166" s="133" t="s">
        <v>215</v>
      </c>
      <c r="C166" s="230">
        <v>75730</v>
      </c>
      <c r="D166" s="488">
        <f>75730-9060</f>
        <v>66670</v>
      </c>
      <c r="E166" s="230">
        <v>3347</v>
      </c>
      <c r="F166" s="466">
        <f t="shared" si="28"/>
        <v>5.0202489875506226E-2</v>
      </c>
      <c r="G166" s="123"/>
      <c r="J166" s="123"/>
    </row>
    <row r="167" spans="1:18" x14ac:dyDescent="0.25">
      <c r="A167" s="188" t="s">
        <v>83</v>
      </c>
      <c r="B167" s="133" t="s">
        <v>219</v>
      </c>
      <c r="C167" s="230">
        <v>2000</v>
      </c>
      <c r="D167" s="230">
        <v>2000</v>
      </c>
      <c r="E167" s="230">
        <v>0</v>
      </c>
      <c r="F167" s="466">
        <f t="shared" si="28"/>
        <v>0</v>
      </c>
      <c r="G167" s="123"/>
      <c r="J167" s="123"/>
    </row>
    <row r="168" spans="1:18" x14ac:dyDescent="0.25">
      <c r="A168" s="188" t="s">
        <v>83</v>
      </c>
      <c r="B168" s="133" t="s">
        <v>256</v>
      </c>
      <c r="C168" s="230">
        <v>10000</v>
      </c>
      <c r="D168" s="230">
        <v>10000</v>
      </c>
      <c r="E168" s="230">
        <v>0</v>
      </c>
      <c r="F168" s="466">
        <f t="shared" si="28"/>
        <v>0</v>
      </c>
      <c r="G168" s="123"/>
      <c r="J168" s="123"/>
      <c r="K168" s="123"/>
      <c r="L168" s="123"/>
      <c r="Q168" s="123"/>
      <c r="R168" s="123"/>
    </row>
    <row r="169" spans="1:18" x14ac:dyDescent="0.25">
      <c r="A169" s="188" t="s">
        <v>83</v>
      </c>
      <c r="B169" s="133" t="s">
        <v>221</v>
      </c>
      <c r="C169" s="230">
        <v>47000</v>
      </c>
      <c r="D169" s="488">
        <f>47000-12270</f>
        <v>34730</v>
      </c>
      <c r="E169" s="230">
        <v>0</v>
      </c>
      <c r="F169" s="466">
        <f t="shared" si="28"/>
        <v>0</v>
      </c>
      <c r="G169" s="123"/>
      <c r="H169" s="123"/>
      <c r="M169" s="123"/>
    </row>
    <row r="170" spans="1:18" ht="15.75" customHeight="1" thickBot="1" x14ac:dyDescent="0.3">
      <c r="A170" s="145" t="s">
        <v>85</v>
      </c>
      <c r="B170" s="131" t="s">
        <v>194</v>
      </c>
      <c r="C170" s="228">
        <v>10000</v>
      </c>
      <c r="D170" s="228">
        <v>10000</v>
      </c>
      <c r="E170" s="228">
        <v>0</v>
      </c>
      <c r="F170" s="466">
        <f t="shared" si="28"/>
        <v>0</v>
      </c>
    </row>
    <row r="171" spans="1:18" ht="15.75" customHeight="1" x14ac:dyDescent="0.25">
      <c r="A171" s="149" t="s">
        <v>97</v>
      </c>
      <c r="B171" s="106" t="s">
        <v>171</v>
      </c>
      <c r="C171" s="229">
        <v>31000</v>
      </c>
      <c r="D171" s="229">
        <v>31000</v>
      </c>
      <c r="E171" s="229">
        <v>0</v>
      </c>
      <c r="F171" s="466">
        <f t="shared" si="28"/>
        <v>0</v>
      </c>
    </row>
    <row r="172" spans="1:18" x14ac:dyDescent="0.25">
      <c r="A172" s="148" t="s">
        <v>97</v>
      </c>
      <c r="B172" s="105" t="s">
        <v>193</v>
      </c>
      <c r="C172" s="233">
        <v>20000</v>
      </c>
      <c r="D172" s="233">
        <v>20000</v>
      </c>
      <c r="E172" s="233">
        <v>0</v>
      </c>
      <c r="F172" s="466">
        <f t="shared" si="28"/>
        <v>0</v>
      </c>
    </row>
    <row r="173" spans="1:18" ht="15" customHeight="1" x14ac:dyDescent="0.25">
      <c r="A173" s="151" t="s">
        <v>102</v>
      </c>
      <c r="B173" s="152" t="s">
        <v>373</v>
      </c>
      <c r="C173" s="230">
        <v>45000</v>
      </c>
      <c r="D173" s="230">
        <v>45000</v>
      </c>
      <c r="E173" s="230">
        <v>0</v>
      </c>
      <c r="F173" s="466">
        <f t="shared" si="28"/>
        <v>0</v>
      </c>
      <c r="G173" s="123"/>
      <c r="H173" s="123"/>
    </row>
    <row r="174" spans="1:18" ht="16.5" customHeight="1" thickBot="1" x14ac:dyDescent="0.3">
      <c r="A174" s="153" t="s">
        <v>102</v>
      </c>
      <c r="B174" s="130" t="s">
        <v>342</v>
      </c>
      <c r="C174" s="231">
        <v>35000</v>
      </c>
      <c r="D174" s="231">
        <v>35000</v>
      </c>
      <c r="E174" s="231">
        <v>0</v>
      </c>
      <c r="F174" s="466">
        <v>0</v>
      </c>
      <c r="J174" s="123"/>
      <c r="L174" s="123"/>
      <c r="Q174" s="123"/>
      <c r="R174" s="123"/>
    </row>
    <row r="175" spans="1:18" x14ac:dyDescent="0.25">
      <c r="A175" s="213" t="s">
        <v>106</v>
      </c>
      <c r="B175" s="211" t="s">
        <v>165</v>
      </c>
      <c r="C175" s="303">
        <v>127800</v>
      </c>
      <c r="D175" s="486">
        <f>127800-800</f>
        <v>127000</v>
      </c>
      <c r="E175" s="303">
        <v>0</v>
      </c>
      <c r="F175" s="466">
        <f t="shared" si="28"/>
        <v>0</v>
      </c>
      <c r="J175" s="123"/>
      <c r="K175" s="123"/>
      <c r="L175" s="123"/>
      <c r="M175" s="123"/>
      <c r="N175" s="123"/>
      <c r="O175" s="123"/>
      <c r="P175" s="123"/>
      <c r="Q175" s="123"/>
      <c r="R175" s="123"/>
    </row>
    <row r="176" spans="1:18" ht="15.75" thickBot="1" x14ac:dyDescent="0.3">
      <c r="A176" s="153" t="s">
        <v>115</v>
      </c>
      <c r="B176" s="130" t="s">
        <v>246</v>
      </c>
      <c r="C176" s="231">
        <v>3000</v>
      </c>
      <c r="D176" s="489">
        <f>3000+600</f>
        <v>3600</v>
      </c>
      <c r="E176" s="231">
        <v>2388</v>
      </c>
      <c r="F176" s="466">
        <f t="shared" si="28"/>
        <v>0.66333333333333333</v>
      </c>
      <c r="G176" s="123"/>
      <c r="H176" s="123"/>
    </row>
    <row r="177" spans="1:18" ht="15.75" thickBot="1" x14ac:dyDescent="0.3">
      <c r="A177" s="356" t="s">
        <v>248</v>
      </c>
      <c r="B177" s="108" t="s">
        <v>247</v>
      </c>
      <c r="C177" s="228">
        <v>193255</v>
      </c>
      <c r="D177" s="484">
        <f>193255+11045</f>
        <v>204300</v>
      </c>
      <c r="E177" s="228">
        <v>0</v>
      </c>
      <c r="F177" s="466">
        <f t="shared" si="28"/>
        <v>0</v>
      </c>
    </row>
    <row r="178" spans="1:18" x14ac:dyDescent="0.25">
      <c r="A178" s="155"/>
      <c r="B178" s="156"/>
      <c r="C178" s="79"/>
      <c r="D178" s="79"/>
      <c r="E178" s="79"/>
      <c r="F178" s="81"/>
    </row>
    <row r="179" spans="1:18" x14ac:dyDescent="0.25">
      <c r="A179" s="154"/>
      <c r="B179" s="80"/>
      <c r="C179" s="81"/>
      <c r="D179" s="81"/>
      <c r="E179" s="81"/>
    </row>
    <row r="180" spans="1:18" ht="18.75" thickBot="1" x14ac:dyDescent="0.3">
      <c r="A180" s="650" t="s">
        <v>133</v>
      </c>
      <c r="B180" s="651"/>
      <c r="C180" s="651"/>
      <c r="D180" s="651"/>
      <c r="E180" s="651"/>
    </row>
    <row r="181" spans="1:18" ht="15" customHeight="1" x14ac:dyDescent="0.25">
      <c r="A181" s="644" t="s">
        <v>1</v>
      </c>
      <c r="B181" s="645"/>
      <c r="C181" s="638" t="s">
        <v>323</v>
      </c>
      <c r="D181" s="638" t="s">
        <v>322</v>
      </c>
      <c r="E181" s="638" t="s">
        <v>397</v>
      </c>
      <c r="F181" s="640" t="s">
        <v>352</v>
      </c>
      <c r="J181" s="123"/>
      <c r="K181" s="123"/>
      <c r="L181" s="123"/>
      <c r="M181" s="123"/>
    </row>
    <row r="182" spans="1:18" ht="15.75" thickBot="1" x14ac:dyDescent="0.3">
      <c r="A182" s="646"/>
      <c r="B182" s="647"/>
      <c r="C182" s="639"/>
      <c r="D182" s="639"/>
      <c r="E182" s="639"/>
      <c r="F182" s="641"/>
      <c r="G182" s="123"/>
      <c r="H182" s="123"/>
      <c r="I182" s="123"/>
      <c r="J182" s="123"/>
      <c r="K182" s="123"/>
      <c r="L182" s="123"/>
    </row>
    <row r="183" spans="1:18" ht="16.5" thickBot="1" x14ac:dyDescent="0.3">
      <c r="A183" s="82" t="s">
        <v>134</v>
      </c>
      <c r="B183" s="83"/>
      <c r="C183" s="84">
        <f t="shared" ref="C183:E183" si="30">SUM(C184:C188)</f>
        <v>402140</v>
      </c>
      <c r="D183" s="84">
        <f t="shared" si="30"/>
        <v>402140</v>
      </c>
      <c r="E183" s="84">
        <f t="shared" si="30"/>
        <v>6795</v>
      </c>
      <c r="F183" s="466">
        <f>E183/D183</f>
        <v>1.6897100512259414E-2</v>
      </c>
      <c r="G183" s="123">
        <f>D183-C183</f>
        <v>0</v>
      </c>
      <c r="H183" s="123"/>
      <c r="I183" s="123"/>
      <c r="J183" s="123"/>
      <c r="L183" s="123"/>
      <c r="Q183" s="123"/>
      <c r="R183" s="123"/>
    </row>
    <row r="184" spans="1:18" x14ac:dyDescent="0.25">
      <c r="A184" s="158">
        <v>453</v>
      </c>
      <c r="B184" s="159" t="s">
        <v>355</v>
      </c>
      <c r="C184" s="172">
        <v>1000</v>
      </c>
      <c r="D184" s="172">
        <v>1000</v>
      </c>
      <c r="E184" s="172">
        <v>320</v>
      </c>
      <c r="F184" s="466">
        <f t="shared" ref="F184:F192" si="31">E184/D184</f>
        <v>0.32</v>
      </c>
      <c r="J184" s="123"/>
      <c r="K184" s="123"/>
      <c r="M184" s="123"/>
      <c r="N184" s="123"/>
      <c r="O184" s="123"/>
      <c r="P184" s="123"/>
    </row>
    <row r="185" spans="1:18" x14ac:dyDescent="0.25">
      <c r="A185" s="158">
        <v>453</v>
      </c>
      <c r="B185" s="159" t="s">
        <v>330</v>
      </c>
      <c r="C185" s="172">
        <v>1000</v>
      </c>
      <c r="D185" s="172">
        <v>1000</v>
      </c>
      <c r="E185" s="172">
        <v>834</v>
      </c>
      <c r="F185" s="466">
        <f t="shared" si="31"/>
        <v>0.83399999999999996</v>
      </c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</row>
    <row r="186" spans="1:18" ht="15.75" customHeight="1" x14ac:dyDescent="0.25">
      <c r="A186" s="157">
        <v>454</v>
      </c>
      <c r="B186" s="126" t="s">
        <v>135</v>
      </c>
      <c r="C186" s="171">
        <v>100000</v>
      </c>
      <c r="D186" s="171">
        <v>100000</v>
      </c>
      <c r="E186" s="171">
        <v>5635</v>
      </c>
      <c r="F186" s="466">
        <f t="shared" si="31"/>
        <v>5.6349999999999997E-2</v>
      </c>
      <c r="H186" s="123"/>
      <c r="I186" s="123"/>
      <c r="L186" s="123"/>
    </row>
    <row r="187" spans="1:18" ht="15" customHeight="1" thickBot="1" x14ac:dyDescent="0.3">
      <c r="A187" s="225">
        <v>456</v>
      </c>
      <c r="B187" s="226" t="s">
        <v>204</v>
      </c>
      <c r="C187" s="227">
        <v>140</v>
      </c>
      <c r="D187" s="227">
        <v>140</v>
      </c>
      <c r="E187" s="227">
        <v>6</v>
      </c>
      <c r="F187" s="466">
        <f t="shared" si="31"/>
        <v>4.2857142857142858E-2</v>
      </c>
      <c r="G187" s="89"/>
      <c r="H187" s="123">
        <f>SUM(C184:C187)</f>
        <v>102140</v>
      </c>
      <c r="I187" s="123">
        <f>SUM(D184:D187)</f>
        <v>102140</v>
      </c>
      <c r="J187" s="123">
        <f>SUM(E184:E187)</f>
        <v>6795</v>
      </c>
      <c r="L187" s="123"/>
    </row>
    <row r="188" spans="1:18" ht="15.75" thickBot="1" x14ac:dyDescent="0.3">
      <c r="A188" s="222">
        <v>513</v>
      </c>
      <c r="B188" s="223" t="s">
        <v>137</v>
      </c>
      <c r="C188" s="224">
        <v>300000</v>
      </c>
      <c r="D188" s="224">
        <v>300000</v>
      </c>
      <c r="E188" s="224">
        <v>0</v>
      </c>
      <c r="F188" s="466">
        <f t="shared" si="31"/>
        <v>0</v>
      </c>
      <c r="G188" s="123"/>
    </row>
    <row r="189" spans="1:18" ht="15" customHeight="1" thickBot="1" x14ac:dyDescent="0.3">
      <c r="A189" s="82" t="s">
        <v>138</v>
      </c>
      <c r="B189" s="83"/>
      <c r="C189" s="84">
        <f t="shared" ref="C189:E189" si="32">SUM(C190:C192)</f>
        <v>10940</v>
      </c>
      <c r="D189" s="84">
        <f t="shared" si="32"/>
        <v>11000</v>
      </c>
      <c r="E189" s="84">
        <f t="shared" si="32"/>
        <v>224</v>
      </c>
      <c r="F189" s="466">
        <f t="shared" si="31"/>
        <v>2.0363636363636365E-2</v>
      </c>
      <c r="G189" s="123">
        <f>D189-C189</f>
        <v>60</v>
      </c>
    </row>
    <row r="190" spans="1:18" ht="15.75" customHeight="1" x14ac:dyDescent="0.25">
      <c r="A190" s="206">
        <v>819</v>
      </c>
      <c r="B190" s="85" t="s">
        <v>203</v>
      </c>
      <c r="C190" s="86">
        <v>140</v>
      </c>
      <c r="D190" s="86">
        <v>140</v>
      </c>
      <c r="E190" s="86">
        <v>8</v>
      </c>
      <c r="F190" s="466">
        <f t="shared" si="31"/>
        <v>5.7142857142857141E-2</v>
      </c>
    </row>
    <row r="191" spans="1:18" x14ac:dyDescent="0.25">
      <c r="A191" s="207">
        <v>821</v>
      </c>
      <c r="B191" s="208" t="s">
        <v>206</v>
      </c>
      <c r="C191" s="169">
        <v>10000</v>
      </c>
      <c r="D191" s="169">
        <v>10000</v>
      </c>
      <c r="E191" s="169">
        <v>0</v>
      </c>
      <c r="F191" s="466">
        <f t="shared" si="31"/>
        <v>0</v>
      </c>
    </row>
    <row r="192" spans="1:18" ht="15.75" thickBot="1" x14ac:dyDescent="0.3">
      <c r="A192" s="339">
        <v>821</v>
      </c>
      <c r="B192" s="87" t="s">
        <v>139</v>
      </c>
      <c r="C192" s="42">
        <v>800</v>
      </c>
      <c r="D192" s="454">
        <v>860</v>
      </c>
      <c r="E192" s="42">
        <v>216</v>
      </c>
      <c r="F192" s="466">
        <f t="shared" si="31"/>
        <v>0.25116279069767444</v>
      </c>
    </row>
    <row r="193" spans="1:12" x14ac:dyDescent="0.25">
      <c r="A193" s="154"/>
      <c r="B193" s="88"/>
      <c r="C193" s="89"/>
      <c r="D193" s="89"/>
      <c r="E193" s="89"/>
      <c r="F193" s="156"/>
    </row>
    <row r="194" spans="1:12" ht="15.75" x14ac:dyDescent="0.25">
      <c r="A194" s="33"/>
      <c r="B194" s="156"/>
      <c r="C194" s="156"/>
      <c r="D194" s="156"/>
      <c r="E194" s="156"/>
    </row>
    <row r="195" spans="1:12" ht="18.75" thickBot="1" x14ac:dyDescent="0.3">
      <c r="A195" s="642" t="s">
        <v>140</v>
      </c>
      <c r="B195" s="643"/>
      <c r="C195" s="643"/>
      <c r="D195" s="643"/>
      <c r="E195" s="643"/>
    </row>
    <row r="196" spans="1:12" ht="15" customHeight="1" x14ac:dyDescent="0.25">
      <c r="A196" s="644" t="s">
        <v>1</v>
      </c>
      <c r="B196" s="645"/>
      <c r="C196" s="638" t="s">
        <v>323</v>
      </c>
      <c r="D196" s="638" t="s">
        <v>322</v>
      </c>
      <c r="E196" s="638" t="s">
        <v>397</v>
      </c>
    </row>
    <row r="197" spans="1:12" ht="15.75" thickBot="1" x14ac:dyDescent="0.3">
      <c r="A197" s="646"/>
      <c r="B197" s="647"/>
      <c r="C197" s="639"/>
      <c r="D197" s="639"/>
      <c r="E197" s="639"/>
    </row>
    <row r="198" spans="1:12" ht="15.75" x14ac:dyDescent="0.25">
      <c r="A198" s="90" t="s">
        <v>141</v>
      </c>
      <c r="B198" s="120"/>
      <c r="C198" s="91">
        <f>C76</f>
        <v>2160910</v>
      </c>
      <c r="D198" s="91">
        <f>D76</f>
        <v>2204460</v>
      </c>
      <c r="E198" s="91">
        <f>E76</f>
        <v>556836</v>
      </c>
    </row>
    <row r="199" spans="1:12" ht="15.75" x14ac:dyDescent="0.25">
      <c r="A199" s="92" t="s">
        <v>142</v>
      </c>
      <c r="B199" s="209"/>
      <c r="C199" s="93">
        <f>C144</f>
        <v>2152110</v>
      </c>
      <c r="D199" s="93">
        <f>D144</f>
        <v>2195600</v>
      </c>
      <c r="E199" s="93">
        <f>E144</f>
        <v>424456.31</v>
      </c>
    </row>
    <row r="200" spans="1:12" ht="15.75" x14ac:dyDescent="0.25">
      <c r="A200" s="634" t="s">
        <v>143</v>
      </c>
      <c r="B200" s="635"/>
      <c r="C200" s="94">
        <f t="shared" ref="C200:E200" si="33">C198-C199</f>
        <v>8800</v>
      </c>
      <c r="D200" s="94">
        <f t="shared" si="33"/>
        <v>8860</v>
      </c>
      <c r="E200" s="94">
        <f t="shared" si="33"/>
        <v>132379.69</v>
      </c>
    </row>
    <row r="201" spans="1:12" ht="15.75" x14ac:dyDescent="0.25">
      <c r="A201" s="92" t="s">
        <v>144</v>
      </c>
      <c r="B201" s="116"/>
      <c r="C201" s="93">
        <f>C150</f>
        <v>620702</v>
      </c>
      <c r="D201" s="93">
        <f>D150</f>
        <v>635220</v>
      </c>
      <c r="E201" s="93">
        <f>E150</f>
        <v>0</v>
      </c>
    </row>
    <row r="202" spans="1:12" ht="15.75" x14ac:dyDescent="0.25">
      <c r="A202" s="92" t="s">
        <v>145</v>
      </c>
      <c r="B202" s="116"/>
      <c r="C202" s="8">
        <f>C156</f>
        <v>1020702</v>
      </c>
      <c r="D202" s="8">
        <f>D156</f>
        <v>1035220</v>
      </c>
      <c r="E202" s="8">
        <f>E156</f>
        <v>5735</v>
      </c>
    </row>
    <row r="203" spans="1:12" ht="15.75" x14ac:dyDescent="0.25">
      <c r="A203" s="634" t="s">
        <v>146</v>
      </c>
      <c r="B203" s="635"/>
      <c r="C203" s="94">
        <f t="shared" ref="C203:E203" si="34">C201-C202</f>
        <v>-400000</v>
      </c>
      <c r="D203" s="94">
        <f t="shared" si="34"/>
        <v>-400000</v>
      </c>
      <c r="E203" s="94">
        <f t="shared" si="34"/>
        <v>-5735</v>
      </c>
    </row>
    <row r="204" spans="1:12" ht="15.75" x14ac:dyDescent="0.25">
      <c r="A204" s="95" t="s">
        <v>147</v>
      </c>
      <c r="B204" s="96"/>
      <c r="C204" s="97">
        <f t="shared" ref="C204:E204" si="35">C183</f>
        <v>402140</v>
      </c>
      <c r="D204" s="97">
        <f t="shared" si="35"/>
        <v>402140</v>
      </c>
      <c r="E204" s="97">
        <f t="shared" si="35"/>
        <v>6795</v>
      </c>
    </row>
    <row r="205" spans="1:12" ht="15.75" x14ac:dyDescent="0.25">
      <c r="A205" s="95" t="s">
        <v>148</v>
      </c>
      <c r="B205" s="96"/>
      <c r="C205" s="97">
        <f t="shared" ref="C205:E205" si="36">C189</f>
        <v>10940</v>
      </c>
      <c r="D205" s="97">
        <f t="shared" si="36"/>
        <v>11000</v>
      </c>
      <c r="E205" s="97">
        <f t="shared" si="36"/>
        <v>224</v>
      </c>
      <c r="L205" s="123"/>
    </row>
    <row r="206" spans="1:12" ht="16.5" thickBot="1" x14ac:dyDescent="0.3">
      <c r="A206" s="636" t="s">
        <v>149</v>
      </c>
      <c r="B206" s="637"/>
      <c r="C206" s="98">
        <f t="shared" ref="C206:E206" si="37">C204-C205</f>
        <v>391200</v>
      </c>
      <c r="D206" s="98">
        <f t="shared" si="37"/>
        <v>391140</v>
      </c>
      <c r="E206" s="98">
        <f t="shared" si="37"/>
        <v>6571</v>
      </c>
      <c r="J206" s="123"/>
      <c r="K206" s="123"/>
      <c r="L206" s="123"/>
    </row>
    <row r="207" spans="1:12" ht="16.5" thickBot="1" x14ac:dyDescent="0.3">
      <c r="A207" s="160" t="s">
        <v>150</v>
      </c>
      <c r="B207" s="99"/>
      <c r="C207" s="161">
        <f t="shared" ref="C207:E207" si="38">C200+C203+C206</f>
        <v>0</v>
      </c>
      <c r="D207" s="161">
        <f t="shared" si="38"/>
        <v>0</v>
      </c>
      <c r="E207" s="161">
        <f t="shared" si="38"/>
        <v>133215.69</v>
      </c>
      <c r="H207" s="123"/>
      <c r="I207" s="123"/>
      <c r="J207" s="123"/>
      <c r="K207" s="123"/>
      <c r="L207" s="123"/>
    </row>
    <row r="208" spans="1:12" x14ac:dyDescent="0.25">
      <c r="F208" s="123"/>
      <c r="G208" s="123"/>
      <c r="H208" s="123"/>
      <c r="I208" s="123"/>
      <c r="J208" s="123"/>
      <c r="K208" s="123"/>
      <c r="L208" s="123"/>
    </row>
    <row r="209" spans="1:12" x14ac:dyDescent="0.25">
      <c r="B209" s="162" t="s">
        <v>151</v>
      </c>
      <c r="C209" s="123">
        <f t="shared" ref="C209:E210" si="39">C198+C201+C204</f>
        <v>3183752</v>
      </c>
      <c r="D209" s="123">
        <f t="shared" si="39"/>
        <v>3241820</v>
      </c>
      <c r="E209" s="123">
        <f t="shared" si="39"/>
        <v>563631</v>
      </c>
      <c r="F209" s="123"/>
      <c r="G209" s="123">
        <f>D209-C209</f>
        <v>58068</v>
      </c>
      <c r="H209" s="123"/>
      <c r="I209" s="123"/>
      <c r="J209" s="123"/>
      <c r="K209" s="123"/>
      <c r="L209" s="123"/>
    </row>
    <row r="210" spans="1:12" x14ac:dyDescent="0.25">
      <c r="B210" s="162" t="s">
        <v>152</v>
      </c>
      <c r="C210" s="123">
        <f t="shared" si="39"/>
        <v>3183752</v>
      </c>
      <c r="D210" s="123">
        <f t="shared" si="39"/>
        <v>3241820</v>
      </c>
      <c r="E210" s="123">
        <f t="shared" si="39"/>
        <v>430415.31</v>
      </c>
      <c r="F210" s="123"/>
      <c r="G210" s="123">
        <f t="shared" ref="G210:G213" si="40">D210-C210</f>
        <v>58068</v>
      </c>
      <c r="H210" s="123"/>
      <c r="I210" s="123"/>
      <c r="J210" s="123"/>
      <c r="K210" s="123"/>
    </row>
    <row r="211" spans="1:12" x14ac:dyDescent="0.25">
      <c r="B211" s="162"/>
      <c r="C211" s="123"/>
      <c r="D211" s="123"/>
      <c r="E211" s="123"/>
      <c r="F211" s="123"/>
      <c r="G211" s="123"/>
      <c r="H211" s="123"/>
      <c r="I211" s="123"/>
    </row>
    <row r="212" spans="1:12" x14ac:dyDescent="0.25">
      <c r="B212" s="162" t="s">
        <v>153</v>
      </c>
      <c r="C212" s="123">
        <f>C209-C75</f>
        <v>3115422</v>
      </c>
      <c r="D212" s="123">
        <f>D209-D75</f>
        <v>3173490</v>
      </c>
      <c r="E212" s="123">
        <f>E209-E75</f>
        <v>558399</v>
      </c>
      <c r="F212" s="123"/>
      <c r="G212" s="123">
        <f t="shared" si="40"/>
        <v>58068</v>
      </c>
    </row>
    <row r="213" spans="1:12" x14ac:dyDescent="0.25">
      <c r="B213" s="162" t="s">
        <v>154</v>
      </c>
      <c r="C213" s="123">
        <f>C210-C143</f>
        <v>2413787</v>
      </c>
      <c r="D213" s="123">
        <f>D210-D143</f>
        <v>2458036</v>
      </c>
      <c r="E213" s="123">
        <f>E210-E143</f>
        <v>245387.31</v>
      </c>
      <c r="F213" s="123"/>
      <c r="G213" s="123">
        <f t="shared" si="40"/>
        <v>44249</v>
      </c>
    </row>
    <row r="214" spans="1:12" x14ac:dyDescent="0.25">
      <c r="B214" s="162"/>
      <c r="C214" s="123"/>
      <c r="D214" s="123"/>
      <c r="E214" s="123"/>
    </row>
    <row r="215" spans="1:12" x14ac:dyDescent="0.25">
      <c r="A215" s="236"/>
      <c r="B215" s="237" t="s">
        <v>214</v>
      </c>
    </row>
    <row r="217" spans="1:12" x14ac:dyDescent="0.25">
      <c r="B217" s="110" t="s">
        <v>155</v>
      </c>
    </row>
    <row r="219" spans="1:12" x14ac:dyDescent="0.25">
      <c r="B219" s="100" t="s">
        <v>271</v>
      </c>
    </row>
    <row r="220" spans="1:12" x14ac:dyDescent="0.25">
      <c r="B220" s="215" t="s">
        <v>377</v>
      </c>
    </row>
    <row r="221" spans="1:12" x14ac:dyDescent="0.25">
      <c r="B221" s="215"/>
    </row>
    <row r="222" spans="1:12" x14ac:dyDescent="0.25">
      <c r="B222" s="110" t="s">
        <v>379</v>
      </c>
    </row>
    <row r="223" spans="1:12" x14ac:dyDescent="0.25">
      <c r="B223" s="110" t="s">
        <v>378</v>
      </c>
    </row>
  </sheetData>
  <mergeCells count="42">
    <mergeCell ref="F2:F3"/>
    <mergeCell ref="A1:E1"/>
    <mergeCell ref="A2:B3"/>
    <mergeCell ref="C2:C3"/>
    <mergeCell ref="D2:D3"/>
    <mergeCell ref="E2:E3"/>
    <mergeCell ref="A4:B4"/>
    <mergeCell ref="A12:B12"/>
    <mergeCell ref="A73:B73"/>
    <mergeCell ref="A75:B75"/>
    <mergeCell ref="A79:E79"/>
    <mergeCell ref="A150:B150"/>
    <mergeCell ref="F80:F81"/>
    <mergeCell ref="A98:B98"/>
    <mergeCell ref="A139:B139"/>
    <mergeCell ref="A142:B142"/>
    <mergeCell ref="A143:B143"/>
    <mergeCell ref="A147:E147"/>
    <mergeCell ref="A80:B81"/>
    <mergeCell ref="C80:C81"/>
    <mergeCell ref="D80:D81"/>
    <mergeCell ref="E80:E81"/>
    <mergeCell ref="A148:B149"/>
    <mergeCell ref="C148:C149"/>
    <mergeCell ref="D148:D149"/>
    <mergeCell ref="E148:E149"/>
    <mergeCell ref="F148:F149"/>
    <mergeCell ref="A156:B156"/>
    <mergeCell ref="A180:E180"/>
    <mergeCell ref="A181:B182"/>
    <mergeCell ref="C181:C182"/>
    <mergeCell ref="D181:D182"/>
    <mergeCell ref="E181:E182"/>
    <mergeCell ref="A200:B200"/>
    <mergeCell ref="A203:B203"/>
    <mergeCell ref="A206:B206"/>
    <mergeCell ref="F181:F182"/>
    <mergeCell ref="A195:E195"/>
    <mergeCell ref="A196:B197"/>
    <mergeCell ref="C196:C197"/>
    <mergeCell ref="D196:D197"/>
    <mergeCell ref="E196:E197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 xml:space="preserve">&amp;C&amp;"Arial,Tučné"&amp;14Rozpočet na rok 2019
1. zmena 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7"/>
  <sheetViews>
    <sheetView zoomScale="95" zoomScaleNormal="95" workbookViewId="0">
      <selection sqref="A1:G1"/>
    </sheetView>
  </sheetViews>
  <sheetFormatPr defaultRowHeight="15" x14ac:dyDescent="0.25"/>
  <cols>
    <col min="2" max="2" width="44.85546875" customWidth="1"/>
    <col min="3" max="3" width="13" customWidth="1"/>
    <col min="4" max="4" width="11.140625" customWidth="1"/>
    <col min="5" max="5" width="15.7109375" customWidth="1"/>
    <col min="6" max="6" width="12.85546875" customWidth="1"/>
    <col min="7" max="7" width="12.5703125" customWidth="1"/>
    <col min="8" max="8" width="11.5703125" customWidth="1"/>
    <col min="9" max="9" width="10.85546875" customWidth="1"/>
    <col min="13" max="13" width="54" customWidth="1"/>
    <col min="14" max="14" width="17.5703125" customWidth="1"/>
    <col min="15" max="15" width="42.7109375" customWidth="1"/>
    <col min="16" max="16" width="12" customWidth="1"/>
  </cols>
  <sheetData>
    <row r="1" spans="1:15" ht="18" x14ac:dyDescent="0.25">
      <c r="A1" s="678" t="s">
        <v>249</v>
      </c>
      <c r="B1" s="678"/>
      <c r="C1" s="678"/>
      <c r="D1" s="678"/>
      <c r="E1" s="678"/>
      <c r="F1" s="678"/>
      <c r="G1" s="678"/>
      <c r="L1" s="507"/>
    </row>
    <row r="2" spans="1:15" ht="15.75" thickBot="1" x14ac:dyDescent="0.3">
      <c r="A2" s="507"/>
      <c r="B2" s="507"/>
      <c r="C2" s="507"/>
      <c r="D2" s="507"/>
      <c r="E2" s="507"/>
      <c r="F2" s="507"/>
      <c r="G2" s="507"/>
      <c r="H2" s="507"/>
      <c r="I2" s="507"/>
      <c r="L2" s="507"/>
      <c r="M2" s="507"/>
      <c r="N2" s="507"/>
      <c r="O2" s="507"/>
    </row>
    <row r="3" spans="1:15" ht="30.75" thickBot="1" x14ac:dyDescent="0.3">
      <c r="A3" s="508" t="s">
        <v>205</v>
      </c>
      <c r="B3" s="508" t="s">
        <v>211</v>
      </c>
      <c r="C3" s="509" t="s">
        <v>232</v>
      </c>
      <c r="D3" s="510" t="s">
        <v>199</v>
      </c>
      <c r="E3" s="510" t="s">
        <v>200</v>
      </c>
      <c r="F3" s="509" t="s">
        <v>209</v>
      </c>
      <c r="G3" s="510" t="s">
        <v>201</v>
      </c>
      <c r="H3" s="511" t="s">
        <v>217</v>
      </c>
      <c r="I3" s="507"/>
      <c r="L3" s="507"/>
      <c r="M3" s="682" t="s">
        <v>450</v>
      </c>
      <c r="N3" s="683"/>
      <c r="O3" s="684"/>
    </row>
    <row r="4" spans="1:15" ht="16.5" thickBot="1" x14ac:dyDescent="0.3">
      <c r="A4" s="280" t="s">
        <v>50</v>
      </c>
      <c r="B4" s="292" t="s">
        <v>158</v>
      </c>
      <c r="C4" s="303">
        <f>126365+3078+7+6000</f>
        <v>135450</v>
      </c>
      <c r="D4" s="303">
        <f>122300-55000+30700</f>
        <v>98000</v>
      </c>
      <c r="E4" s="303">
        <f>7150+6000+24300</f>
        <v>37450</v>
      </c>
      <c r="F4" s="303"/>
      <c r="G4" s="303">
        <f>55000-55000</f>
        <v>0</v>
      </c>
      <c r="H4" s="512">
        <f t="shared" ref="H4:H27" si="0">SUM(D4:G4)</f>
        <v>135450</v>
      </c>
      <c r="I4" s="513">
        <f t="shared" ref="I4:I28" si="1">C4-H4</f>
        <v>0</v>
      </c>
      <c r="L4" s="507"/>
      <c r="M4" s="530" t="s">
        <v>451</v>
      </c>
      <c r="N4" s="531" t="s">
        <v>459</v>
      </c>
      <c r="O4" s="532" t="s">
        <v>452</v>
      </c>
    </row>
    <row r="5" spans="1:15" ht="15.75" x14ac:dyDescent="0.25">
      <c r="A5" s="283" t="s">
        <v>50</v>
      </c>
      <c r="B5" s="293" t="s">
        <v>399</v>
      </c>
      <c r="C5" s="230">
        <f>37500-12500</f>
        <v>25000</v>
      </c>
      <c r="D5" s="230"/>
      <c r="E5" s="230">
        <f>37500-12500</f>
        <v>25000</v>
      </c>
      <c r="F5" s="230"/>
      <c r="G5" s="230"/>
      <c r="H5" s="514">
        <f t="shared" si="0"/>
        <v>25000</v>
      </c>
      <c r="I5" s="513">
        <f t="shared" si="1"/>
        <v>0</v>
      </c>
      <c r="L5" s="507"/>
      <c r="M5" s="523" t="s">
        <v>454</v>
      </c>
      <c r="N5" s="536">
        <f>800+200+410</f>
        <v>1410</v>
      </c>
      <c r="O5" s="525" t="s">
        <v>477</v>
      </c>
    </row>
    <row r="6" spans="1:15" ht="16.5" thickBot="1" x14ac:dyDescent="0.3">
      <c r="A6" s="281" t="s">
        <v>50</v>
      </c>
      <c r="B6" s="294" t="s">
        <v>244</v>
      </c>
      <c r="C6" s="228">
        <f>37600-11160</f>
        <v>26440</v>
      </c>
      <c r="D6" s="228"/>
      <c r="E6" s="228">
        <v>26440</v>
      </c>
      <c r="F6" s="228"/>
      <c r="G6" s="228">
        <v>0</v>
      </c>
      <c r="H6" s="515">
        <f t="shared" si="0"/>
        <v>26440</v>
      </c>
      <c r="I6" s="513">
        <f t="shared" si="1"/>
        <v>0</v>
      </c>
      <c r="J6" s="433">
        <f>SUM(H4:H6)</f>
        <v>186890</v>
      </c>
      <c r="L6" s="507"/>
      <c r="M6" s="523" t="s">
        <v>473</v>
      </c>
      <c r="N6" s="536">
        <v>2250</v>
      </c>
      <c r="O6" s="525" t="s">
        <v>469</v>
      </c>
    </row>
    <row r="7" spans="1:15" ht="15.75" x14ac:dyDescent="0.25">
      <c r="A7" s="280" t="s">
        <v>62</v>
      </c>
      <c r="B7" s="292" t="s">
        <v>245</v>
      </c>
      <c r="C7" s="303">
        <v>30000</v>
      </c>
      <c r="D7" s="303"/>
      <c r="E7" s="303"/>
      <c r="F7" s="303"/>
      <c r="G7" s="303">
        <v>30000</v>
      </c>
      <c r="H7" s="538">
        <f t="shared" si="0"/>
        <v>30000</v>
      </c>
      <c r="I7" s="513">
        <f t="shared" si="1"/>
        <v>0</v>
      </c>
      <c r="L7" s="507"/>
      <c r="M7" s="523" t="s">
        <v>372</v>
      </c>
      <c r="N7" s="536">
        <v>100</v>
      </c>
      <c r="O7" s="525" t="s">
        <v>469</v>
      </c>
    </row>
    <row r="8" spans="1:15" ht="16.5" thickBot="1" x14ac:dyDescent="0.3">
      <c r="A8" s="281" t="s">
        <v>64</v>
      </c>
      <c r="B8" s="294" t="s">
        <v>465</v>
      </c>
      <c r="C8" s="228">
        <f>45000-45000</f>
        <v>0</v>
      </c>
      <c r="D8" s="228">
        <f>42000-42000</f>
        <v>0</v>
      </c>
      <c r="E8" s="228"/>
      <c r="F8" s="228"/>
      <c r="G8" s="228">
        <f>3000-3000</f>
        <v>0</v>
      </c>
      <c r="H8" s="515">
        <f t="shared" si="0"/>
        <v>0</v>
      </c>
      <c r="I8" s="513">
        <f t="shared" si="1"/>
        <v>0</v>
      </c>
      <c r="L8" s="507"/>
      <c r="M8" s="526" t="s">
        <v>474</v>
      </c>
      <c r="N8" s="544">
        <v>1350</v>
      </c>
      <c r="O8" s="525" t="s">
        <v>469</v>
      </c>
    </row>
    <row r="9" spans="1:15" ht="15.75" x14ac:dyDescent="0.25">
      <c r="A9" s="282" t="s">
        <v>69</v>
      </c>
      <c r="B9" s="295" t="s">
        <v>186</v>
      </c>
      <c r="C9" s="229">
        <v>6870</v>
      </c>
      <c r="D9" s="229"/>
      <c r="E9" s="229">
        <v>6870</v>
      </c>
      <c r="F9" s="229"/>
      <c r="G9" s="229"/>
      <c r="H9" s="512">
        <f t="shared" si="0"/>
        <v>6870</v>
      </c>
      <c r="I9" s="513">
        <f t="shared" si="1"/>
        <v>0</v>
      </c>
      <c r="L9" s="507"/>
      <c r="M9" s="523" t="s">
        <v>455</v>
      </c>
      <c r="N9" s="591">
        <f>2930+430</f>
        <v>3360</v>
      </c>
      <c r="O9" s="527" t="s">
        <v>475</v>
      </c>
    </row>
    <row r="10" spans="1:15" ht="16.5" thickBot="1" x14ac:dyDescent="0.3">
      <c r="A10" s="281" t="s">
        <v>71</v>
      </c>
      <c r="B10" s="294" t="s">
        <v>255</v>
      </c>
      <c r="C10" s="228">
        <v>5000</v>
      </c>
      <c r="D10" s="228"/>
      <c r="E10" s="228"/>
      <c r="F10" s="228"/>
      <c r="G10" s="228">
        <v>5000</v>
      </c>
      <c r="H10" s="515">
        <f t="shared" si="0"/>
        <v>5000</v>
      </c>
      <c r="I10" s="513">
        <f t="shared" si="1"/>
        <v>0</v>
      </c>
      <c r="L10" s="507"/>
      <c r="M10" s="523" t="s">
        <v>601</v>
      </c>
      <c r="N10" s="544">
        <f>120+270</f>
        <v>390</v>
      </c>
      <c r="O10" s="527" t="s">
        <v>469</v>
      </c>
    </row>
    <row r="11" spans="1:15" ht="15.75" x14ac:dyDescent="0.25">
      <c r="A11" s="282" t="s">
        <v>77</v>
      </c>
      <c r="B11" s="299" t="s">
        <v>579</v>
      </c>
      <c r="C11" s="229">
        <f>206000-2300+1500+10000</f>
        <v>215200</v>
      </c>
      <c r="D11" s="229">
        <f>195000-1500</f>
        <v>193500</v>
      </c>
      <c r="E11" s="229">
        <f>10200+1500+10000</f>
        <v>21700</v>
      </c>
      <c r="F11" s="229"/>
      <c r="G11" s="229">
        <v>0</v>
      </c>
      <c r="H11" s="512">
        <f t="shared" si="0"/>
        <v>215200</v>
      </c>
      <c r="I11" s="513">
        <f t="shared" si="1"/>
        <v>0</v>
      </c>
      <c r="L11" s="507"/>
      <c r="M11" s="523" t="s">
        <v>531</v>
      </c>
      <c r="N11" s="544">
        <v>200</v>
      </c>
      <c r="O11" s="527" t="s">
        <v>475</v>
      </c>
    </row>
    <row r="12" spans="1:15" ht="16.5" thickBot="1" x14ac:dyDescent="0.3">
      <c r="A12" s="281" t="s">
        <v>81</v>
      </c>
      <c r="B12" s="298" t="s">
        <v>251</v>
      </c>
      <c r="C12" s="228">
        <v>10000</v>
      </c>
      <c r="D12" s="228"/>
      <c r="E12" s="228"/>
      <c r="F12" s="228"/>
      <c r="G12" s="228">
        <v>10000</v>
      </c>
      <c r="H12" s="515">
        <f t="shared" si="0"/>
        <v>10000</v>
      </c>
      <c r="I12" s="513">
        <f t="shared" si="1"/>
        <v>0</v>
      </c>
      <c r="L12" s="507"/>
      <c r="M12" s="523" t="s">
        <v>580</v>
      </c>
      <c r="N12" s="544">
        <v>600</v>
      </c>
      <c r="O12" s="527" t="s">
        <v>469</v>
      </c>
    </row>
    <row r="13" spans="1:15" ht="15.75" x14ac:dyDescent="0.25">
      <c r="A13" s="284" t="s">
        <v>132</v>
      </c>
      <c r="B13" s="297" t="s">
        <v>159</v>
      </c>
      <c r="C13" s="232">
        <f>6000</f>
        <v>6000</v>
      </c>
      <c r="D13" s="232"/>
      <c r="E13" s="498">
        <f>1000+3000</f>
        <v>4000</v>
      </c>
      <c r="F13" s="498">
        <f>3000-3000</f>
        <v>0</v>
      </c>
      <c r="G13" s="232">
        <v>2000</v>
      </c>
      <c r="H13" s="512">
        <f t="shared" si="0"/>
        <v>6000</v>
      </c>
      <c r="I13" s="513">
        <f t="shared" si="1"/>
        <v>0</v>
      </c>
      <c r="L13" s="507"/>
      <c r="M13" s="523" t="s">
        <v>684</v>
      </c>
      <c r="N13" s="544">
        <f>1100+250</f>
        <v>1350</v>
      </c>
      <c r="O13" s="527"/>
    </row>
    <row r="14" spans="1:15" ht="15.75" x14ac:dyDescent="0.25">
      <c r="A14" s="285" t="s">
        <v>132</v>
      </c>
      <c r="B14" s="296" t="s">
        <v>215</v>
      </c>
      <c r="C14" s="488">
        <f>59360+200</f>
        <v>59560</v>
      </c>
      <c r="D14" s="230"/>
      <c r="E14" s="488">
        <f>8100+330+10000-1800-2270+200-3200</f>
        <v>11360</v>
      </c>
      <c r="F14" s="488">
        <v>3200</v>
      </c>
      <c r="G14" s="230">
        <f>42000+3000</f>
        <v>45000</v>
      </c>
      <c r="H14" s="514">
        <f t="shared" si="0"/>
        <v>59560</v>
      </c>
      <c r="I14" s="513">
        <f t="shared" si="1"/>
        <v>0</v>
      </c>
      <c r="L14" s="507"/>
      <c r="M14" s="552" t="s">
        <v>481</v>
      </c>
      <c r="N14" s="598">
        <f>10000-1800-200-600-2270-430+200-1350</f>
        <v>3550</v>
      </c>
      <c r="O14" s="527"/>
    </row>
    <row r="15" spans="1:15" ht="15.75" x14ac:dyDescent="0.25">
      <c r="A15" s="285" t="s">
        <v>83</v>
      </c>
      <c r="B15" s="296" t="s">
        <v>219</v>
      </c>
      <c r="C15" s="230">
        <v>2000</v>
      </c>
      <c r="D15" s="230"/>
      <c r="E15" s="230"/>
      <c r="F15" s="230"/>
      <c r="G15" s="230">
        <v>2000</v>
      </c>
      <c r="H15" s="514">
        <f t="shared" si="0"/>
        <v>2000</v>
      </c>
      <c r="I15" s="513">
        <f t="shared" si="1"/>
        <v>0</v>
      </c>
      <c r="L15" s="507"/>
      <c r="M15" s="545" t="s">
        <v>479</v>
      </c>
      <c r="N15" s="546">
        <f>SUM(N5:N14)</f>
        <v>14560</v>
      </c>
      <c r="O15" s="547"/>
    </row>
    <row r="16" spans="1:15" ht="15.75" x14ac:dyDescent="0.25">
      <c r="A16" s="285" t="s">
        <v>83</v>
      </c>
      <c r="B16" s="296" t="s">
        <v>256</v>
      </c>
      <c r="C16" s="230">
        <v>10000</v>
      </c>
      <c r="D16" s="230"/>
      <c r="E16" s="230"/>
      <c r="F16" s="230"/>
      <c r="G16" s="230">
        <v>10000</v>
      </c>
      <c r="H16" s="514">
        <f t="shared" si="0"/>
        <v>10000</v>
      </c>
      <c r="I16" s="513">
        <f t="shared" si="1"/>
        <v>0</v>
      </c>
      <c r="L16" s="507"/>
      <c r="M16" s="523" t="s">
        <v>454</v>
      </c>
      <c r="N16" s="536">
        <v>2000</v>
      </c>
      <c r="O16" s="529"/>
    </row>
    <row r="17" spans="1:15" ht="15.75" x14ac:dyDescent="0.25">
      <c r="A17" s="285" t="s">
        <v>83</v>
      </c>
      <c r="B17" s="296" t="s">
        <v>221</v>
      </c>
      <c r="C17" s="230">
        <f>34730+1800</f>
        <v>36530</v>
      </c>
      <c r="D17" s="230"/>
      <c r="E17" s="230">
        <f>34730+1800</f>
        <v>36530</v>
      </c>
      <c r="F17" s="230"/>
      <c r="G17" s="230">
        <v>0</v>
      </c>
      <c r="H17" s="514">
        <f t="shared" si="0"/>
        <v>36530</v>
      </c>
      <c r="I17" s="513">
        <f t="shared" si="1"/>
        <v>0</v>
      </c>
      <c r="L17" s="507"/>
      <c r="M17" s="528" t="s">
        <v>453</v>
      </c>
      <c r="N17" s="535">
        <v>3000</v>
      </c>
      <c r="O17" s="529"/>
    </row>
    <row r="18" spans="1:15" ht="16.5" thickBot="1" x14ac:dyDescent="0.3">
      <c r="A18" s="286" t="s">
        <v>85</v>
      </c>
      <c r="B18" s="298" t="s">
        <v>194</v>
      </c>
      <c r="C18" s="228">
        <f>10000+2500</f>
        <v>12500</v>
      </c>
      <c r="D18" s="228"/>
      <c r="E18" s="228">
        <v>2500</v>
      </c>
      <c r="F18" s="228"/>
      <c r="G18" s="228">
        <v>10000</v>
      </c>
      <c r="H18" s="515">
        <f t="shared" si="0"/>
        <v>12500</v>
      </c>
      <c r="I18" s="513">
        <f t="shared" si="1"/>
        <v>0</v>
      </c>
      <c r="L18" s="507"/>
      <c r="M18" s="523" t="s">
        <v>456</v>
      </c>
      <c r="N18" s="536">
        <v>6000</v>
      </c>
      <c r="O18" s="524"/>
    </row>
    <row r="19" spans="1:15" ht="15.75" x14ac:dyDescent="0.25">
      <c r="A19" s="287" t="s">
        <v>97</v>
      </c>
      <c r="B19" s="299" t="s">
        <v>171</v>
      </c>
      <c r="C19" s="229">
        <v>31000</v>
      </c>
      <c r="D19" s="229"/>
      <c r="E19" s="229"/>
      <c r="F19" s="229"/>
      <c r="G19" s="229">
        <v>31000</v>
      </c>
      <c r="H19" s="512">
        <f t="shared" si="0"/>
        <v>31000</v>
      </c>
      <c r="I19" s="513">
        <f t="shared" si="1"/>
        <v>0</v>
      </c>
      <c r="L19" s="507"/>
      <c r="M19" s="523" t="s">
        <v>457</v>
      </c>
      <c r="N19" s="536">
        <v>2000</v>
      </c>
      <c r="O19" s="524"/>
    </row>
    <row r="20" spans="1:15" ht="15.75" x14ac:dyDescent="0.25">
      <c r="A20" s="288" t="s">
        <v>97</v>
      </c>
      <c r="B20" s="300" t="s">
        <v>193</v>
      </c>
      <c r="C20" s="233">
        <v>20000</v>
      </c>
      <c r="D20" s="233"/>
      <c r="E20" s="233"/>
      <c r="F20" s="233"/>
      <c r="G20" s="233">
        <v>20000</v>
      </c>
      <c r="H20" s="514">
        <f t="shared" si="0"/>
        <v>20000</v>
      </c>
      <c r="I20" s="513">
        <f t="shared" si="1"/>
        <v>0</v>
      </c>
      <c r="L20" s="507"/>
      <c r="M20" s="562" t="s">
        <v>458</v>
      </c>
      <c r="N20" s="563">
        <f>29000+3000</f>
        <v>32000</v>
      </c>
      <c r="O20" s="524"/>
    </row>
    <row r="21" spans="1:15" ht="16.5" thickBot="1" x14ac:dyDescent="0.3">
      <c r="A21" s="288" t="s">
        <v>97</v>
      </c>
      <c r="B21" s="300" t="s">
        <v>498</v>
      </c>
      <c r="C21" s="233">
        <v>3300</v>
      </c>
      <c r="D21" s="233"/>
      <c r="E21" s="233"/>
      <c r="F21" s="233">
        <v>3300</v>
      </c>
      <c r="G21" s="233"/>
      <c r="H21" s="514">
        <f t="shared" si="0"/>
        <v>3300</v>
      </c>
      <c r="I21" s="513">
        <f t="shared" si="1"/>
        <v>0</v>
      </c>
      <c r="L21" s="507"/>
      <c r="M21" s="548" t="s">
        <v>478</v>
      </c>
      <c r="N21" s="549">
        <f>SUM(N16:N20)</f>
        <v>45000</v>
      </c>
      <c r="O21" s="550"/>
    </row>
    <row r="22" spans="1:15" ht="16.5" thickBot="1" x14ac:dyDescent="0.3">
      <c r="A22" s="285" t="s">
        <v>102</v>
      </c>
      <c r="B22" s="293" t="s">
        <v>341</v>
      </c>
      <c r="C22" s="230">
        <v>45000</v>
      </c>
      <c r="D22" s="230"/>
      <c r="E22" s="230"/>
      <c r="F22" s="230"/>
      <c r="G22" s="230">
        <v>45000</v>
      </c>
      <c r="H22" s="514">
        <f t="shared" si="0"/>
        <v>45000</v>
      </c>
      <c r="I22" s="513">
        <f t="shared" si="1"/>
        <v>0</v>
      </c>
      <c r="L22" s="507"/>
      <c r="M22" s="533" t="s">
        <v>470</v>
      </c>
      <c r="N22" s="537">
        <f>N15+N21</f>
        <v>59560</v>
      </c>
      <c r="O22" s="534"/>
    </row>
    <row r="23" spans="1:15" ht="15.75" thickBot="1" x14ac:dyDescent="0.3">
      <c r="A23" s="285" t="s">
        <v>102</v>
      </c>
      <c r="B23" s="293" t="s">
        <v>342</v>
      </c>
      <c r="C23" s="230">
        <v>35000</v>
      </c>
      <c r="D23" s="230"/>
      <c r="E23" s="230"/>
      <c r="F23" s="230"/>
      <c r="G23" s="231">
        <v>35000</v>
      </c>
      <c r="H23" s="516">
        <f t="shared" si="0"/>
        <v>35000</v>
      </c>
      <c r="I23" s="513">
        <f t="shared" si="1"/>
        <v>0</v>
      </c>
      <c r="L23" s="507"/>
      <c r="M23" s="507"/>
      <c r="N23" s="551"/>
      <c r="O23" s="507"/>
    </row>
    <row r="24" spans="1:15" ht="15.75" x14ac:dyDescent="0.25">
      <c r="A24" s="289" t="s">
        <v>106</v>
      </c>
      <c r="B24" s="292" t="s">
        <v>165</v>
      </c>
      <c r="C24" s="303">
        <f>127000-1800</f>
        <v>125200</v>
      </c>
      <c r="D24" s="303">
        <f>114850-73350+12150+63050</f>
        <v>116700</v>
      </c>
      <c r="E24" s="303">
        <f>6400+5750+73350-12150-64850</f>
        <v>8500</v>
      </c>
      <c r="F24" s="303"/>
      <c r="G24" s="229"/>
      <c r="H24" s="512">
        <f t="shared" si="0"/>
        <v>125200</v>
      </c>
      <c r="I24" s="513">
        <f t="shared" si="1"/>
        <v>0</v>
      </c>
      <c r="L24" s="507"/>
      <c r="M24" s="517"/>
      <c r="N24" s="507"/>
      <c r="O24" s="507"/>
    </row>
    <row r="25" spans="1:15" ht="15.75" x14ac:dyDescent="0.25">
      <c r="A25" s="285" t="s">
        <v>445</v>
      </c>
      <c r="B25" s="293" t="s">
        <v>585</v>
      </c>
      <c r="C25" s="230">
        <v>10000</v>
      </c>
      <c r="D25" s="230"/>
      <c r="E25" s="230">
        <v>10000</v>
      </c>
      <c r="F25" s="230"/>
      <c r="G25" s="230"/>
      <c r="H25" s="512">
        <f t="shared" si="0"/>
        <v>10000</v>
      </c>
      <c r="I25" s="513">
        <f t="shared" si="1"/>
        <v>0</v>
      </c>
      <c r="L25" s="507"/>
      <c r="M25" s="517"/>
      <c r="N25" s="507"/>
      <c r="O25" s="507"/>
    </row>
    <row r="26" spans="1:15" ht="15.75" thickBot="1" x14ac:dyDescent="0.3">
      <c r="A26" s="290" t="s">
        <v>115</v>
      </c>
      <c r="B26" s="301" t="s">
        <v>578</v>
      </c>
      <c r="C26" s="231">
        <f>2400+1200-1200</f>
        <v>2400</v>
      </c>
      <c r="D26" s="231"/>
      <c r="E26" s="231">
        <f>3600-1200</f>
        <v>2400</v>
      </c>
      <c r="F26" s="231"/>
      <c r="G26" s="231"/>
      <c r="H26" s="516">
        <f t="shared" si="0"/>
        <v>2400</v>
      </c>
      <c r="I26" s="513">
        <f t="shared" si="1"/>
        <v>0</v>
      </c>
      <c r="L26" s="507"/>
      <c r="M26" s="507"/>
      <c r="N26" s="507"/>
      <c r="O26" s="507"/>
    </row>
    <row r="27" spans="1:15" ht="15.75" thickBot="1" x14ac:dyDescent="0.3">
      <c r="A27" s="285" t="s">
        <v>248</v>
      </c>
      <c r="B27" s="293" t="s">
        <v>247</v>
      </c>
      <c r="C27" s="230">
        <f>204300-2230-10000</f>
        <v>192070</v>
      </c>
      <c r="D27" s="230">
        <f>202070-93750</f>
        <v>108320</v>
      </c>
      <c r="E27" s="230">
        <f>2230-2230+38750-10000</f>
        <v>28750</v>
      </c>
      <c r="F27" s="230"/>
      <c r="G27" s="230">
        <v>55000</v>
      </c>
      <c r="H27" s="514">
        <f t="shared" si="0"/>
        <v>192070</v>
      </c>
      <c r="I27" s="513">
        <f t="shared" si="1"/>
        <v>0</v>
      </c>
      <c r="L27" s="507"/>
      <c r="M27" s="507"/>
      <c r="N27" s="507"/>
      <c r="O27" s="507"/>
    </row>
    <row r="28" spans="1:15" ht="15.75" thickBot="1" x14ac:dyDescent="0.3">
      <c r="A28" s="679" t="s">
        <v>202</v>
      </c>
      <c r="B28" s="680"/>
      <c r="C28" s="518">
        <f t="shared" ref="C28:G28" si="2">SUM(C4:C27)</f>
        <v>1044520</v>
      </c>
      <c r="D28" s="518">
        <f t="shared" si="2"/>
        <v>516520</v>
      </c>
      <c r="E28" s="518">
        <f t="shared" si="2"/>
        <v>221500</v>
      </c>
      <c r="F28" s="518">
        <f t="shared" si="2"/>
        <v>6500</v>
      </c>
      <c r="G28" s="518">
        <f t="shared" si="2"/>
        <v>300000</v>
      </c>
      <c r="H28" s="519">
        <f t="shared" ref="H28" si="3">SUM(H4:H27)</f>
        <v>1044520</v>
      </c>
      <c r="I28" s="513">
        <f t="shared" si="1"/>
        <v>0</v>
      </c>
      <c r="L28" s="507"/>
      <c r="M28" s="507"/>
      <c r="N28" s="507"/>
      <c r="O28" s="507"/>
    </row>
    <row r="29" spans="1:15" x14ac:dyDescent="0.25">
      <c r="A29" s="507"/>
      <c r="B29" s="507"/>
      <c r="C29" s="507"/>
      <c r="D29" s="507"/>
      <c r="E29" s="336">
        <v>221500</v>
      </c>
      <c r="F29" s="507"/>
      <c r="G29" s="520">
        <v>300000</v>
      </c>
      <c r="H29" s="507"/>
      <c r="I29" s="507"/>
      <c r="L29" s="507"/>
      <c r="M29" s="507"/>
      <c r="N29" s="507"/>
      <c r="O29" s="507"/>
    </row>
    <row r="30" spans="1:15" x14ac:dyDescent="0.25">
      <c r="A30" s="507"/>
      <c r="B30" s="507"/>
      <c r="C30" s="507"/>
      <c r="D30" s="521"/>
      <c r="E30" s="520">
        <f>E29-E28</f>
        <v>0</v>
      </c>
      <c r="F30" s="507"/>
      <c r="G30" s="521">
        <f>G29-G28</f>
        <v>0</v>
      </c>
      <c r="H30" s="507"/>
      <c r="I30" s="507"/>
      <c r="L30" s="507"/>
      <c r="M30" s="507"/>
      <c r="N30" s="507"/>
      <c r="O30" s="507"/>
    </row>
    <row r="31" spans="1:15" x14ac:dyDescent="0.25">
      <c r="A31" s="522"/>
      <c r="B31" s="240" t="s">
        <v>218</v>
      </c>
      <c r="C31" s="507"/>
      <c r="D31" s="507"/>
      <c r="E31" s="507"/>
      <c r="F31" s="507"/>
      <c r="G31" s="507"/>
      <c r="H31" s="507"/>
      <c r="I31" s="507"/>
      <c r="L31" s="507"/>
      <c r="M31" s="507"/>
      <c r="N31" s="507"/>
      <c r="O31" s="507"/>
    </row>
    <row r="32" spans="1:15" x14ac:dyDescent="0.25">
      <c r="A32" s="507"/>
      <c r="B32" s="507"/>
      <c r="C32" s="507"/>
      <c r="D32" s="507"/>
      <c r="E32" s="507"/>
      <c r="F32" s="507"/>
      <c r="G32" s="507"/>
      <c r="H32" s="507"/>
      <c r="I32" s="507"/>
      <c r="M32" s="507"/>
      <c r="N32" s="507"/>
      <c r="O32" s="507"/>
    </row>
    <row r="33" spans="1:16" x14ac:dyDescent="0.25">
      <c r="A33" s="507"/>
      <c r="B33" s="507" t="s">
        <v>155</v>
      </c>
      <c r="C33" s="507"/>
      <c r="D33" s="507"/>
      <c r="E33" s="507"/>
      <c r="F33" s="507"/>
      <c r="G33" s="507"/>
      <c r="H33" s="507"/>
      <c r="I33" s="507"/>
      <c r="M33" s="507"/>
      <c r="N33" s="507"/>
      <c r="O33" s="507"/>
    </row>
    <row r="34" spans="1:16" x14ac:dyDescent="0.25">
      <c r="A34" s="507"/>
      <c r="B34" s="507" t="s">
        <v>650</v>
      </c>
      <c r="C34" s="507"/>
      <c r="D34" s="507"/>
      <c r="E34" s="507"/>
      <c r="F34" s="507"/>
      <c r="G34" s="507"/>
      <c r="H34" s="507"/>
      <c r="I34" s="507"/>
      <c r="M34" s="507"/>
      <c r="N34" s="507"/>
      <c r="O34" s="507"/>
    </row>
    <row r="39" spans="1:16" x14ac:dyDescent="0.25">
      <c r="P39" s="507"/>
    </row>
    <row r="40" spans="1:16" ht="18" x14ac:dyDescent="0.25">
      <c r="A40" s="678" t="s">
        <v>249</v>
      </c>
      <c r="B40" s="678"/>
      <c r="C40" s="678"/>
      <c r="D40" s="678"/>
      <c r="E40" s="678"/>
      <c r="F40" s="678"/>
      <c r="G40" s="678"/>
      <c r="L40" s="507"/>
      <c r="P40" s="507"/>
    </row>
    <row r="41" spans="1:16" ht="15.75" thickBot="1" x14ac:dyDescent="0.3">
      <c r="A41" s="507"/>
      <c r="B41" s="507"/>
      <c r="C41" s="507"/>
      <c r="D41" s="507"/>
      <c r="E41" s="507"/>
      <c r="F41" s="507"/>
      <c r="G41" s="507"/>
      <c r="H41" s="507"/>
      <c r="I41" s="507"/>
      <c r="L41" s="507"/>
      <c r="M41" s="507"/>
      <c r="N41" s="507"/>
      <c r="O41" s="507"/>
      <c r="P41" s="507"/>
    </row>
    <row r="42" spans="1:16" ht="30.75" thickBot="1" x14ac:dyDescent="0.3">
      <c r="A42" s="508" t="s">
        <v>205</v>
      </c>
      <c r="B42" s="508" t="s">
        <v>211</v>
      </c>
      <c r="C42" s="509" t="s">
        <v>232</v>
      </c>
      <c r="D42" s="510" t="s">
        <v>199</v>
      </c>
      <c r="E42" s="510" t="s">
        <v>200</v>
      </c>
      <c r="F42" s="509" t="s">
        <v>209</v>
      </c>
      <c r="G42" s="510" t="s">
        <v>201</v>
      </c>
      <c r="H42" s="511" t="s">
        <v>217</v>
      </c>
      <c r="I42" s="507"/>
      <c r="L42" s="507"/>
      <c r="M42" s="682" t="s">
        <v>450</v>
      </c>
      <c r="N42" s="683"/>
      <c r="O42" s="684"/>
      <c r="P42" s="507"/>
    </row>
    <row r="43" spans="1:16" ht="16.5" thickBot="1" x14ac:dyDescent="0.3">
      <c r="A43" s="280" t="s">
        <v>50</v>
      </c>
      <c r="B43" s="292" t="s">
        <v>158</v>
      </c>
      <c r="C43" s="303">
        <f>126365+3078+7+6000</f>
        <v>135450</v>
      </c>
      <c r="D43" s="303">
        <f>122300-55000+30700</f>
        <v>98000</v>
      </c>
      <c r="E43" s="303">
        <f>7150+6000+24300</f>
        <v>37450</v>
      </c>
      <c r="F43" s="303"/>
      <c r="G43" s="303">
        <f>55000-55000</f>
        <v>0</v>
      </c>
      <c r="H43" s="512">
        <f t="shared" ref="H43:H66" si="4">SUM(D43:G43)</f>
        <v>135450</v>
      </c>
      <c r="I43" s="513">
        <f t="shared" ref="I43:I67" si="5">C43-H43</f>
        <v>0</v>
      </c>
      <c r="L43" s="507"/>
      <c r="M43" s="530" t="s">
        <v>451</v>
      </c>
      <c r="N43" s="531" t="s">
        <v>459</v>
      </c>
      <c r="O43" s="532" t="s">
        <v>452</v>
      </c>
      <c r="P43" s="507"/>
    </row>
    <row r="44" spans="1:16" ht="15.75" x14ac:dyDescent="0.25">
      <c r="A44" s="283" t="s">
        <v>50</v>
      </c>
      <c r="B44" s="293" t="s">
        <v>399</v>
      </c>
      <c r="C44" s="230">
        <f>37500-12500</f>
        <v>25000</v>
      </c>
      <c r="D44" s="230"/>
      <c r="E44" s="230">
        <f>37500-12500</f>
        <v>25000</v>
      </c>
      <c r="F44" s="230"/>
      <c r="G44" s="230"/>
      <c r="H44" s="514">
        <f t="shared" si="4"/>
        <v>25000</v>
      </c>
      <c r="I44" s="513">
        <f t="shared" si="5"/>
        <v>0</v>
      </c>
      <c r="L44" s="507"/>
      <c r="M44" s="523" t="s">
        <v>454</v>
      </c>
      <c r="N44" s="536">
        <f>800+200+410</f>
        <v>1410</v>
      </c>
      <c r="O44" s="525" t="s">
        <v>477</v>
      </c>
      <c r="P44" s="507"/>
    </row>
    <row r="45" spans="1:16" ht="16.5" thickBot="1" x14ac:dyDescent="0.3">
      <c r="A45" s="281" t="s">
        <v>50</v>
      </c>
      <c r="B45" s="294" t="s">
        <v>244</v>
      </c>
      <c r="C45" s="228">
        <f>37600-11160</f>
        <v>26440</v>
      </c>
      <c r="D45" s="228"/>
      <c r="E45" s="228">
        <v>26440</v>
      </c>
      <c r="F45" s="228"/>
      <c r="G45" s="228">
        <v>0</v>
      </c>
      <c r="H45" s="515">
        <f t="shared" si="4"/>
        <v>26440</v>
      </c>
      <c r="I45" s="513">
        <f t="shared" si="5"/>
        <v>0</v>
      </c>
      <c r="J45" s="433">
        <f>SUM(H43:H45)</f>
        <v>186890</v>
      </c>
      <c r="L45" s="507"/>
      <c r="M45" s="523" t="s">
        <v>473</v>
      </c>
      <c r="N45" s="536">
        <v>2250</v>
      </c>
      <c r="O45" s="525" t="s">
        <v>469</v>
      </c>
      <c r="P45" s="507"/>
    </row>
    <row r="46" spans="1:16" ht="15.75" x14ac:dyDescent="0.25">
      <c r="A46" s="280" t="s">
        <v>62</v>
      </c>
      <c r="B46" s="292" t="s">
        <v>245</v>
      </c>
      <c r="C46" s="303">
        <v>30000</v>
      </c>
      <c r="D46" s="303"/>
      <c r="E46" s="303"/>
      <c r="F46" s="303"/>
      <c r="G46" s="303">
        <v>30000</v>
      </c>
      <c r="H46" s="538">
        <f t="shared" si="4"/>
        <v>30000</v>
      </c>
      <c r="I46" s="513">
        <f t="shared" si="5"/>
        <v>0</v>
      </c>
      <c r="L46" s="507"/>
      <c r="M46" s="523" t="s">
        <v>372</v>
      </c>
      <c r="N46" s="536">
        <v>100</v>
      </c>
      <c r="O46" s="525" t="s">
        <v>469</v>
      </c>
      <c r="P46" s="507"/>
    </row>
    <row r="47" spans="1:16" ht="16.5" thickBot="1" x14ac:dyDescent="0.3">
      <c r="A47" s="281" t="s">
        <v>64</v>
      </c>
      <c r="B47" s="294" t="s">
        <v>465</v>
      </c>
      <c r="C47" s="228">
        <f>45000-45000</f>
        <v>0</v>
      </c>
      <c r="D47" s="228">
        <f>42000-42000</f>
        <v>0</v>
      </c>
      <c r="E47" s="228"/>
      <c r="F47" s="228"/>
      <c r="G47" s="228">
        <f>3000-3000</f>
        <v>0</v>
      </c>
      <c r="H47" s="515">
        <f t="shared" si="4"/>
        <v>0</v>
      </c>
      <c r="I47" s="513">
        <f t="shared" si="5"/>
        <v>0</v>
      </c>
      <c r="L47" s="507"/>
      <c r="M47" s="526" t="s">
        <v>474</v>
      </c>
      <c r="N47" s="544">
        <v>1350</v>
      </c>
      <c r="O47" s="525" t="s">
        <v>469</v>
      </c>
      <c r="P47" s="507"/>
    </row>
    <row r="48" spans="1:16" ht="15.75" x14ac:dyDescent="0.25">
      <c r="A48" s="282" t="s">
        <v>69</v>
      </c>
      <c r="B48" s="295" t="s">
        <v>186</v>
      </c>
      <c r="C48" s="229">
        <v>6870</v>
      </c>
      <c r="D48" s="229"/>
      <c r="E48" s="229">
        <v>6870</v>
      </c>
      <c r="F48" s="229"/>
      <c r="G48" s="229"/>
      <c r="H48" s="512">
        <f t="shared" si="4"/>
        <v>6870</v>
      </c>
      <c r="I48" s="513">
        <f t="shared" si="5"/>
        <v>0</v>
      </c>
      <c r="L48" s="507"/>
      <c r="M48" s="523" t="s">
        <v>455</v>
      </c>
      <c r="N48" s="597">
        <f>2930</f>
        <v>2930</v>
      </c>
      <c r="O48" s="527" t="s">
        <v>475</v>
      </c>
      <c r="P48" s="507"/>
    </row>
    <row r="49" spans="1:16" ht="16.5" thickBot="1" x14ac:dyDescent="0.3">
      <c r="A49" s="281" t="s">
        <v>71</v>
      </c>
      <c r="B49" s="294" t="s">
        <v>255</v>
      </c>
      <c r="C49" s="228">
        <v>5000</v>
      </c>
      <c r="D49" s="228"/>
      <c r="E49" s="228"/>
      <c r="F49" s="228"/>
      <c r="G49" s="228">
        <v>5000</v>
      </c>
      <c r="H49" s="515">
        <f t="shared" si="4"/>
        <v>5000</v>
      </c>
      <c r="I49" s="513">
        <f t="shared" si="5"/>
        <v>0</v>
      </c>
      <c r="L49" s="507"/>
      <c r="M49" s="523" t="s">
        <v>601</v>
      </c>
      <c r="N49" s="544">
        <f>120+270</f>
        <v>390</v>
      </c>
      <c r="O49" s="527" t="s">
        <v>469</v>
      </c>
      <c r="P49" s="507"/>
    </row>
    <row r="50" spans="1:16" ht="15.75" x14ac:dyDescent="0.25">
      <c r="A50" s="282" t="s">
        <v>77</v>
      </c>
      <c r="B50" s="299" t="s">
        <v>579</v>
      </c>
      <c r="C50" s="503">
        <f>206000-2300+1500+10000</f>
        <v>215200</v>
      </c>
      <c r="D50" s="229">
        <f>195000-1500</f>
        <v>193500</v>
      </c>
      <c r="E50" s="503">
        <f>10200+1500+10000</f>
        <v>21700</v>
      </c>
      <c r="F50" s="229"/>
      <c r="G50" s="229">
        <v>0</v>
      </c>
      <c r="H50" s="512">
        <f t="shared" si="4"/>
        <v>215200</v>
      </c>
      <c r="I50" s="513">
        <f t="shared" si="5"/>
        <v>0</v>
      </c>
      <c r="L50" s="507"/>
      <c r="M50" s="523" t="s">
        <v>531</v>
      </c>
      <c r="N50" s="544">
        <v>200</v>
      </c>
      <c r="O50" s="527" t="s">
        <v>475</v>
      </c>
      <c r="P50" s="507"/>
    </row>
    <row r="51" spans="1:16" ht="16.5" thickBot="1" x14ac:dyDescent="0.3">
      <c r="A51" s="281" t="s">
        <v>81</v>
      </c>
      <c r="B51" s="298" t="s">
        <v>251</v>
      </c>
      <c r="C51" s="228">
        <v>10000</v>
      </c>
      <c r="D51" s="228"/>
      <c r="E51" s="228"/>
      <c r="F51" s="228"/>
      <c r="G51" s="228">
        <v>10000</v>
      </c>
      <c r="H51" s="515">
        <f t="shared" si="4"/>
        <v>10000</v>
      </c>
      <c r="I51" s="513">
        <f t="shared" si="5"/>
        <v>0</v>
      </c>
      <c r="L51" s="507"/>
      <c r="M51" s="523" t="s">
        <v>580</v>
      </c>
      <c r="N51" s="544">
        <v>600</v>
      </c>
      <c r="O51" s="527" t="s">
        <v>469</v>
      </c>
      <c r="P51" s="507"/>
    </row>
    <row r="52" spans="1:16" ht="15.75" x14ac:dyDescent="0.25">
      <c r="A52" s="284" t="s">
        <v>132</v>
      </c>
      <c r="B52" s="297" t="s">
        <v>159</v>
      </c>
      <c r="C52" s="232">
        <f>6000</f>
        <v>6000</v>
      </c>
      <c r="D52" s="232"/>
      <c r="E52" s="232">
        <v>1000</v>
      </c>
      <c r="F52" s="232">
        <f>3000</f>
        <v>3000</v>
      </c>
      <c r="G52" s="232">
        <v>2000</v>
      </c>
      <c r="H52" s="512">
        <f t="shared" si="4"/>
        <v>6000</v>
      </c>
      <c r="I52" s="513">
        <f t="shared" si="5"/>
        <v>0</v>
      </c>
      <c r="L52" s="507"/>
      <c r="M52" s="523" t="s">
        <v>598</v>
      </c>
      <c r="N52" s="544"/>
      <c r="O52" s="527"/>
      <c r="P52" s="507"/>
    </row>
    <row r="53" spans="1:16" ht="15.75" x14ac:dyDescent="0.25">
      <c r="A53" s="285" t="s">
        <v>132</v>
      </c>
      <c r="B53" s="296" t="s">
        <v>215</v>
      </c>
      <c r="C53" s="230">
        <v>59360</v>
      </c>
      <c r="D53" s="230"/>
      <c r="E53" s="230">
        <f>8100+330+10000-1800-2270</f>
        <v>14360</v>
      </c>
      <c r="F53" s="230"/>
      <c r="G53" s="230">
        <f>42000+3000</f>
        <v>45000</v>
      </c>
      <c r="H53" s="514">
        <f t="shared" si="4"/>
        <v>59360</v>
      </c>
      <c r="I53" s="513">
        <f t="shared" si="5"/>
        <v>0</v>
      </c>
      <c r="L53" s="507"/>
      <c r="M53" s="552" t="s">
        <v>481</v>
      </c>
      <c r="N53" s="553">
        <f>10000-1800-200-600-2270</f>
        <v>5130</v>
      </c>
      <c r="O53" s="527"/>
      <c r="P53" s="507"/>
    </row>
    <row r="54" spans="1:16" ht="15.75" x14ac:dyDescent="0.25">
      <c r="A54" s="285" t="s">
        <v>83</v>
      </c>
      <c r="B54" s="296" t="s">
        <v>219</v>
      </c>
      <c r="C54" s="230">
        <v>2000</v>
      </c>
      <c r="D54" s="230"/>
      <c r="E54" s="230"/>
      <c r="F54" s="230"/>
      <c r="G54" s="230">
        <v>2000</v>
      </c>
      <c r="H54" s="514">
        <f t="shared" si="4"/>
        <v>2000</v>
      </c>
      <c r="I54" s="513">
        <f t="shared" si="5"/>
        <v>0</v>
      </c>
      <c r="L54" s="507"/>
      <c r="M54" s="545" t="s">
        <v>479</v>
      </c>
      <c r="N54" s="546">
        <f>SUM(N44:N53)</f>
        <v>14360</v>
      </c>
      <c r="O54" s="547"/>
      <c r="P54" s="507"/>
    </row>
    <row r="55" spans="1:16" ht="15.75" x14ac:dyDescent="0.25">
      <c r="A55" s="285" t="s">
        <v>83</v>
      </c>
      <c r="B55" s="296" t="s">
        <v>256</v>
      </c>
      <c r="C55" s="230">
        <v>10000</v>
      </c>
      <c r="D55" s="230"/>
      <c r="E55" s="230"/>
      <c r="F55" s="230"/>
      <c r="G55" s="230">
        <v>10000</v>
      </c>
      <c r="H55" s="514">
        <f t="shared" si="4"/>
        <v>10000</v>
      </c>
      <c r="I55" s="513">
        <f t="shared" si="5"/>
        <v>0</v>
      </c>
      <c r="L55" s="507"/>
      <c r="M55" s="523" t="s">
        <v>454</v>
      </c>
      <c r="N55" s="536">
        <v>2000</v>
      </c>
      <c r="O55" s="529"/>
      <c r="P55" s="507"/>
    </row>
    <row r="56" spans="1:16" ht="15.75" x14ac:dyDescent="0.25">
      <c r="A56" s="285" t="s">
        <v>83</v>
      </c>
      <c r="B56" s="296" t="s">
        <v>221</v>
      </c>
      <c r="C56" s="230">
        <f>34730+1800</f>
        <v>36530</v>
      </c>
      <c r="D56" s="230"/>
      <c r="E56" s="230">
        <f>34730+1800</f>
        <v>36530</v>
      </c>
      <c r="F56" s="230"/>
      <c r="G56" s="230">
        <v>0</v>
      </c>
      <c r="H56" s="514">
        <f t="shared" si="4"/>
        <v>36530</v>
      </c>
      <c r="I56" s="513">
        <f t="shared" si="5"/>
        <v>0</v>
      </c>
      <c r="L56" s="507"/>
      <c r="M56" s="528" t="s">
        <v>453</v>
      </c>
      <c r="N56" s="535">
        <v>3000</v>
      </c>
      <c r="O56" s="529"/>
      <c r="P56" s="507"/>
    </row>
    <row r="57" spans="1:16" ht="16.5" thickBot="1" x14ac:dyDescent="0.3">
      <c r="A57" s="286" t="s">
        <v>85</v>
      </c>
      <c r="B57" s="298" t="s">
        <v>194</v>
      </c>
      <c r="C57" s="228">
        <f>10000+2500</f>
        <v>12500</v>
      </c>
      <c r="D57" s="228"/>
      <c r="E57" s="228">
        <v>2500</v>
      </c>
      <c r="F57" s="228"/>
      <c r="G57" s="228">
        <v>10000</v>
      </c>
      <c r="H57" s="515">
        <f t="shared" si="4"/>
        <v>12500</v>
      </c>
      <c r="I57" s="513">
        <f t="shared" si="5"/>
        <v>0</v>
      </c>
      <c r="L57" s="507"/>
      <c r="M57" s="523" t="s">
        <v>456</v>
      </c>
      <c r="N57" s="536">
        <v>6000</v>
      </c>
      <c r="O57" s="524"/>
      <c r="P57" s="507"/>
    </row>
    <row r="58" spans="1:16" ht="15.75" x14ac:dyDescent="0.25">
      <c r="A58" s="287" t="s">
        <v>97</v>
      </c>
      <c r="B58" s="299" t="s">
        <v>171</v>
      </c>
      <c r="C58" s="229">
        <v>31000</v>
      </c>
      <c r="D58" s="229"/>
      <c r="E58" s="229"/>
      <c r="F58" s="229"/>
      <c r="G58" s="229">
        <v>31000</v>
      </c>
      <c r="H58" s="512">
        <f t="shared" si="4"/>
        <v>31000</v>
      </c>
      <c r="I58" s="513">
        <f t="shared" si="5"/>
        <v>0</v>
      </c>
      <c r="L58" s="507"/>
      <c r="M58" s="523" t="s">
        <v>457</v>
      </c>
      <c r="N58" s="536">
        <v>2000</v>
      </c>
      <c r="O58" s="524"/>
      <c r="P58" s="507"/>
    </row>
    <row r="59" spans="1:16" ht="15.75" x14ac:dyDescent="0.25">
      <c r="A59" s="288" t="s">
        <v>97</v>
      </c>
      <c r="B59" s="300" t="s">
        <v>193</v>
      </c>
      <c r="C59" s="233">
        <v>20000</v>
      </c>
      <c r="D59" s="233"/>
      <c r="E59" s="233"/>
      <c r="F59" s="233"/>
      <c r="G59" s="233">
        <v>20000</v>
      </c>
      <c r="H59" s="514">
        <f t="shared" si="4"/>
        <v>20000</v>
      </c>
      <c r="I59" s="513">
        <f t="shared" si="5"/>
        <v>0</v>
      </c>
      <c r="L59" s="507"/>
      <c r="M59" s="562" t="s">
        <v>458</v>
      </c>
      <c r="N59" s="563">
        <f>29000+3000</f>
        <v>32000</v>
      </c>
      <c r="O59" s="524"/>
      <c r="P59" s="507"/>
    </row>
    <row r="60" spans="1:16" ht="16.5" thickBot="1" x14ac:dyDescent="0.3">
      <c r="A60" s="288" t="s">
        <v>97</v>
      </c>
      <c r="B60" s="300" t="s">
        <v>498</v>
      </c>
      <c r="C60" s="233">
        <v>3300</v>
      </c>
      <c r="D60" s="233"/>
      <c r="E60" s="233"/>
      <c r="F60" s="233">
        <v>3300</v>
      </c>
      <c r="G60" s="233"/>
      <c r="H60" s="514">
        <f t="shared" si="4"/>
        <v>3300</v>
      </c>
      <c r="I60" s="513">
        <f t="shared" si="5"/>
        <v>0</v>
      </c>
      <c r="L60" s="507"/>
      <c r="M60" s="548" t="s">
        <v>478</v>
      </c>
      <c r="N60" s="549">
        <f>SUM(N55:N59)</f>
        <v>45000</v>
      </c>
      <c r="O60" s="550"/>
      <c r="P60" s="507"/>
    </row>
    <row r="61" spans="1:16" ht="16.5" thickBot="1" x14ac:dyDescent="0.3">
      <c r="A61" s="285" t="s">
        <v>102</v>
      </c>
      <c r="B61" s="293" t="s">
        <v>341</v>
      </c>
      <c r="C61" s="230">
        <v>45000</v>
      </c>
      <c r="D61" s="230"/>
      <c r="E61" s="230"/>
      <c r="F61" s="230"/>
      <c r="G61" s="230">
        <v>45000</v>
      </c>
      <c r="H61" s="514">
        <f t="shared" si="4"/>
        <v>45000</v>
      </c>
      <c r="I61" s="513">
        <f t="shared" si="5"/>
        <v>0</v>
      </c>
      <c r="L61" s="507"/>
      <c r="M61" s="533" t="s">
        <v>470</v>
      </c>
      <c r="N61" s="537">
        <f>N54+N60</f>
        <v>59360</v>
      </c>
      <c r="O61" s="534"/>
      <c r="P61" s="507"/>
    </row>
    <row r="62" spans="1:16" ht="15.75" thickBot="1" x14ac:dyDescent="0.3">
      <c r="A62" s="285" t="s">
        <v>102</v>
      </c>
      <c r="B62" s="293" t="s">
        <v>342</v>
      </c>
      <c r="C62" s="230">
        <v>35000</v>
      </c>
      <c r="D62" s="230"/>
      <c r="E62" s="230"/>
      <c r="F62" s="230"/>
      <c r="G62" s="231">
        <v>35000</v>
      </c>
      <c r="H62" s="516">
        <f t="shared" si="4"/>
        <v>35000</v>
      </c>
      <c r="I62" s="513">
        <f t="shared" si="5"/>
        <v>0</v>
      </c>
      <c r="L62" s="507"/>
      <c r="M62" s="507"/>
      <c r="N62" s="551"/>
      <c r="O62" s="507"/>
      <c r="P62" s="507"/>
    </row>
    <row r="63" spans="1:16" ht="15.75" x14ac:dyDescent="0.25">
      <c r="A63" s="289" t="s">
        <v>106</v>
      </c>
      <c r="B63" s="292" t="s">
        <v>165</v>
      </c>
      <c r="C63" s="303">
        <f>127000-1800</f>
        <v>125200</v>
      </c>
      <c r="D63" s="303">
        <f>114850-73350+12150+63050</f>
        <v>116700</v>
      </c>
      <c r="E63" s="303">
        <f>6400+5750+73350-12150-64850</f>
        <v>8500</v>
      </c>
      <c r="F63" s="303"/>
      <c r="G63" s="229"/>
      <c r="H63" s="512">
        <f t="shared" si="4"/>
        <v>125200</v>
      </c>
      <c r="I63" s="513">
        <f t="shared" si="5"/>
        <v>0</v>
      </c>
      <c r="L63" s="507"/>
      <c r="M63" s="517"/>
      <c r="N63" s="507"/>
      <c r="O63" s="507"/>
      <c r="P63" s="507"/>
    </row>
    <row r="64" spans="1:16" ht="15.75" x14ac:dyDescent="0.25">
      <c r="A64" s="285" t="s">
        <v>445</v>
      </c>
      <c r="B64" s="293" t="s">
        <v>585</v>
      </c>
      <c r="C64" s="230">
        <v>10000</v>
      </c>
      <c r="D64" s="230"/>
      <c r="E64" s="230">
        <v>10000</v>
      </c>
      <c r="F64" s="230"/>
      <c r="G64" s="230"/>
      <c r="H64" s="512">
        <f t="shared" si="4"/>
        <v>10000</v>
      </c>
      <c r="I64" s="513">
        <f t="shared" si="5"/>
        <v>0</v>
      </c>
      <c r="L64" s="507"/>
      <c r="M64" s="517"/>
      <c r="N64" s="507"/>
      <c r="O64" s="507"/>
      <c r="P64" s="507"/>
    </row>
    <row r="65" spans="1:16" ht="15.75" thickBot="1" x14ac:dyDescent="0.3">
      <c r="A65" s="290" t="s">
        <v>115</v>
      </c>
      <c r="B65" s="301" t="s">
        <v>578</v>
      </c>
      <c r="C65" s="231">
        <f>2400+1200-1200</f>
        <v>2400</v>
      </c>
      <c r="D65" s="231"/>
      <c r="E65" s="231">
        <f>3600-1200</f>
        <v>2400</v>
      </c>
      <c r="F65" s="231"/>
      <c r="G65" s="231"/>
      <c r="H65" s="516">
        <f t="shared" si="4"/>
        <v>2400</v>
      </c>
      <c r="I65" s="513">
        <f t="shared" si="5"/>
        <v>0</v>
      </c>
      <c r="L65" s="507"/>
      <c r="M65" s="507"/>
      <c r="N65" s="507"/>
      <c r="O65" s="507"/>
      <c r="P65" s="507"/>
    </row>
    <row r="66" spans="1:16" ht="15.75" thickBot="1" x14ac:dyDescent="0.3">
      <c r="A66" s="285" t="s">
        <v>248</v>
      </c>
      <c r="B66" s="293" t="s">
        <v>247</v>
      </c>
      <c r="C66" s="488">
        <f>204300-2230-10000</f>
        <v>192070</v>
      </c>
      <c r="D66" s="230">
        <f>202070-93750</f>
        <v>108320</v>
      </c>
      <c r="E66" s="488">
        <f>2230-2230+38750-10000</f>
        <v>28750</v>
      </c>
      <c r="F66" s="230"/>
      <c r="G66" s="230">
        <v>55000</v>
      </c>
      <c r="H66" s="514">
        <f t="shared" si="4"/>
        <v>192070</v>
      </c>
      <c r="I66" s="513">
        <f t="shared" si="5"/>
        <v>0</v>
      </c>
      <c r="L66" s="507"/>
      <c r="M66" s="507"/>
      <c r="N66" s="507"/>
      <c r="O66" s="507"/>
      <c r="P66" s="507"/>
    </row>
    <row r="67" spans="1:16" ht="15.75" thickBot="1" x14ac:dyDescent="0.3">
      <c r="A67" s="679" t="s">
        <v>202</v>
      </c>
      <c r="B67" s="680"/>
      <c r="C67" s="518">
        <f t="shared" ref="C67:G67" si="6">SUM(C43:C66)</f>
        <v>1044320</v>
      </c>
      <c r="D67" s="518">
        <f t="shared" si="6"/>
        <v>516520</v>
      </c>
      <c r="E67" s="518">
        <f t="shared" si="6"/>
        <v>221500</v>
      </c>
      <c r="F67" s="518">
        <f t="shared" si="6"/>
        <v>6300</v>
      </c>
      <c r="G67" s="518">
        <f t="shared" si="6"/>
        <v>300000</v>
      </c>
      <c r="H67" s="519">
        <f t="shared" ref="H67" si="7">SUM(H43:H66)</f>
        <v>1044320</v>
      </c>
      <c r="I67" s="513">
        <f t="shared" si="5"/>
        <v>0</v>
      </c>
      <c r="L67" s="507"/>
      <c r="M67" s="507"/>
      <c r="N67" s="507"/>
      <c r="O67" s="507"/>
      <c r="P67" s="507"/>
    </row>
    <row r="68" spans="1:16" x14ac:dyDescent="0.25">
      <c r="A68" s="507"/>
      <c r="B68" s="507"/>
      <c r="C68" s="507"/>
      <c r="D68" s="507"/>
      <c r="E68" s="336">
        <v>221500</v>
      </c>
      <c r="F68" s="507"/>
      <c r="G68" s="520">
        <v>300000</v>
      </c>
      <c r="H68" s="507"/>
      <c r="I68" s="507"/>
      <c r="L68" s="507"/>
      <c r="M68" s="507"/>
      <c r="N68" s="507"/>
      <c r="O68" s="507"/>
      <c r="P68" s="507"/>
    </row>
    <row r="69" spans="1:16" x14ac:dyDescent="0.25">
      <c r="A69" s="507"/>
      <c r="B69" s="507"/>
      <c r="C69" s="507"/>
      <c r="D69" s="521"/>
      <c r="E69" s="520">
        <f>E68-E67</f>
        <v>0</v>
      </c>
      <c r="F69" s="507"/>
      <c r="G69" s="521">
        <f>G68-G67</f>
        <v>0</v>
      </c>
      <c r="H69" s="507"/>
      <c r="I69" s="507"/>
      <c r="L69" s="507"/>
      <c r="M69" s="507"/>
      <c r="N69" s="507"/>
      <c r="O69" s="507"/>
      <c r="P69" s="507"/>
    </row>
    <row r="70" spans="1:16" x14ac:dyDescent="0.25">
      <c r="A70" s="522"/>
      <c r="B70" s="240" t="s">
        <v>218</v>
      </c>
      <c r="C70" s="507"/>
      <c r="D70" s="507"/>
      <c r="E70" s="507"/>
      <c r="F70" s="507"/>
      <c r="G70" s="507"/>
      <c r="H70" s="507"/>
      <c r="I70" s="507"/>
      <c r="L70" s="507"/>
      <c r="M70" s="507"/>
      <c r="N70" s="507"/>
      <c r="O70" s="507"/>
      <c r="P70" s="507"/>
    </row>
    <row r="71" spans="1:16" x14ac:dyDescent="0.25">
      <c r="A71" s="507"/>
      <c r="B71" s="507"/>
      <c r="C71" s="507"/>
      <c r="D71" s="507"/>
      <c r="E71" s="507"/>
      <c r="F71" s="507"/>
      <c r="G71" s="507"/>
      <c r="H71" s="507"/>
      <c r="I71" s="507"/>
      <c r="M71" s="507"/>
      <c r="N71" s="507"/>
      <c r="O71" s="507"/>
    </row>
    <row r="72" spans="1:16" x14ac:dyDescent="0.25">
      <c r="A72" s="507"/>
      <c r="B72" s="507" t="s">
        <v>155</v>
      </c>
      <c r="C72" s="507"/>
      <c r="D72" s="507"/>
      <c r="E72" s="507"/>
      <c r="F72" s="507"/>
      <c r="G72" s="507"/>
      <c r="H72" s="507"/>
      <c r="I72" s="507"/>
      <c r="M72" s="507"/>
      <c r="N72" s="507"/>
      <c r="O72" s="507"/>
    </row>
    <row r="73" spans="1:16" x14ac:dyDescent="0.25">
      <c r="A73" s="507"/>
      <c r="B73" s="507" t="s">
        <v>623</v>
      </c>
      <c r="C73" s="507"/>
      <c r="D73" s="507"/>
      <c r="E73" s="507"/>
      <c r="F73" s="507"/>
      <c r="G73" s="507"/>
      <c r="H73" s="507"/>
      <c r="I73" s="507"/>
      <c r="M73" s="507"/>
      <c r="N73" s="507"/>
      <c r="O73" s="507"/>
    </row>
    <row r="79" spans="1:16" ht="18" x14ac:dyDescent="0.25">
      <c r="A79" s="678" t="s">
        <v>249</v>
      </c>
      <c r="B79" s="678"/>
      <c r="C79" s="678"/>
      <c r="D79" s="678"/>
      <c r="E79" s="678"/>
      <c r="F79" s="678"/>
      <c r="G79" s="678"/>
      <c r="L79" s="507"/>
    </row>
    <row r="80" spans="1:16" ht="15.75" thickBot="1" x14ac:dyDescent="0.3">
      <c r="A80" s="507"/>
      <c r="B80" s="507"/>
      <c r="C80" s="507"/>
      <c r="D80" s="507"/>
      <c r="E80" s="507"/>
      <c r="F80" s="507"/>
      <c r="G80" s="507"/>
      <c r="H80" s="507"/>
      <c r="I80" s="507"/>
      <c r="L80" s="507"/>
      <c r="M80" s="507"/>
      <c r="N80" s="507"/>
      <c r="O80" s="507"/>
    </row>
    <row r="81" spans="1:15" ht="30.75" thickBot="1" x14ac:dyDescent="0.3">
      <c r="A81" s="508" t="s">
        <v>205</v>
      </c>
      <c r="B81" s="508" t="s">
        <v>211</v>
      </c>
      <c r="C81" s="509" t="s">
        <v>232</v>
      </c>
      <c r="D81" s="510" t="s">
        <v>199</v>
      </c>
      <c r="E81" s="510" t="s">
        <v>200</v>
      </c>
      <c r="F81" s="509" t="s">
        <v>209</v>
      </c>
      <c r="G81" s="510" t="s">
        <v>201</v>
      </c>
      <c r="H81" s="511" t="s">
        <v>217</v>
      </c>
      <c r="I81" s="507"/>
      <c r="L81" s="507"/>
      <c r="M81" s="682" t="s">
        <v>450</v>
      </c>
      <c r="N81" s="683"/>
      <c r="O81" s="684"/>
    </row>
    <row r="82" spans="1:15" ht="16.5" thickBot="1" x14ac:dyDescent="0.3">
      <c r="A82" s="280" t="s">
        <v>50</v>
      </c>
      <c r="B82" s="292" t="s">
        <v>158</v>
      </c>
      <c r="C82" s="486">
        <f>126365+3078+7+6000</f>
        <v>135450</v>
      </c>
      <c r="D82" s="486">
        <f>122300-55000+30700</f>
        <v>98000</v>
      </c>
      <c r="E82" s="486">
        <f>7150+6000+24300</f>
        <v>37450</v>
      </c>
      <c r="F82" s="303"/>
      <c r="G82" s="486">
        <f>55000-55000</f>
        <v>0</v>
      </c>
      <c r="H82" s="512">
        <f t="shared" ref="H82:H105" si="8">SUM(D82:G82)</f>
        <v>135450</v>
      </c>
      <c r="I82" s="513">
        <f t="shared" ref="I82:I106" si="9">C82-H82</f>
        <v>0</v>
      </c>
      <c r="L82" s="507"/>
      <c r="M82" s="530" t="s">
        <v>451</v>
      </c>
      <c r="N82" s="531" t="s">
        <v>459</v>
      </c>
      <c r="O82" s="532" t="s">
        <v>452</v>
      </c>
    </row>
    <row r="83" spans="1:15" ht="15.75" x14ac:dyDescent="0.25">
      <c r="A83" s="283" t="s">
        <v>50</v>
      </c>
      <c r="B83" s="293" t="s">
        <v>399</v>
      </c>
      <c r="C83" s="488">
        <f>37500-12500</f>
        <v>25000</v>
      </c>
      <c r="D83" s="230"/>
      <c r="E83" s="488">
        <f>37500-12500</f>
        <v>25000</v>
      </c>
      <c r="F83" s="230"/>
      <c r="G83" s="230"/>
      <c r="H83" s="514">
        <f t="shared" si="8"/>
        <v>25000</v>
      </c>
      <c r="I83" s="513">
        <f t="shared" si="9"/>
        <v>0</v>
      </c>
      <c r="L83" s="507"/>
      <c r="M83" s="523" t="s">
        <v>454</v>
      </c>
      <c r="N83" s="536">
        <f>800+200+410</f>
        <v>1410</v>
      </c>
      <c r="O83" s="525" t="s">
        <v>477</v>
      </c>
    </row>
    <row r="84" spans="1:15" ht="16.5" thickBot="1" x14ac:dyDescent="0.3">
      <c r="A84" s="281" t="s">
        <v>50</v>
      </c>
      <c r="B84" s="294" t="s">
        <v>244</v>
      </c>
      <c r="C84" s="228">
        <f>37600-11160</f>
        <v>26440</v>
      </c>
      <c r="D84" s="228"/>
      <c r="E84" s="228">
        <v>26440</v>
      </c>
      <c r="F84" s="228"/>
      <c r="G84" s="228">
        <v>0</v>
      </c>
      <c r="H84" s="515">
        <f t="shared" si="8"/>
        <v>26440</v>
      </c>
      <c r="I84" s="513">
        <f t="shared" si="9"/>
        <v>0</v>
      </c>
      <c r="J84" s="433">
        <f>SUM(H82:H84)</f>
        <v>186890</v>
      </c>
      <c r="L84" s="507"/>
      <c r="M84" s="523" t="s">
        <v>473</v>
      </c>
      <c r="N84" s="536">
        <v>2250</v>
      </c>
      <c r="O84" s="525" t="s">
        <v>469</v>
      </c>
    </row>
    <row r="85" spans="1:15" ht="15.75" x14ac:dyDescent="0.25">
      <c r="A85" s="280" t="s">
        <v>62</v>
      </c>
      <c r="B85" s="292" t="s">
        <v>245</v>
      </c>
      <c r="C85" s="303">
        <v>30000</v>
      </c>
      <c r="D85" s="303"/>
      <c r="E85" s="303"/>
      <c r="F85" s="303"/>
      <c r="G85" s="303">
        <v>30000</v>
      </c>
      <c r="H85" s="538">
        <f t="shared" si="8"/>
        <v>30000</v>
      </c>
      <c r="I85" s="513">
        <f t="shared" si="9"/>
        <v>0</v>
      </c>
      <c r="L85" s="507"/>
      <c r="M85" s="523" t="s">
        <v>372</v>
      </c>
      <c r="N85" s="536">
        <v>100</v>
      </c>
      <c r="O85" s="525" t="s">
        <v>469</v>
      </c>
    </row>
    <row r="86" spans="1:15" ht="16.5" thickBot="1" x14ac:dyDescent="0.3">
      <c r="A86" s="281" t="s">
        <v>64</v>
      </c>
      <c r="B86" s="294" t="s">
        <v>465</v>
      </c>
      <c r="C86" s="228">
        <f>45000-45000</f>
        <v>0</v>
      </c>
      <c r="D86" s="228">
        <f>42000-42000</f>
        <v>0</v>
      </c>
      <c r="E86" s="228"/>
      <c r="F86" s="228"/>
      <c r="G86" s="228">
        <f>3000-3000</f>
        <v>0</v>
      </c>
      <c r="H86" s="515">
        <f t="shared" si="8"/>
        <v>0</v>
      </c>
      <c r="I86" s="513">
        <f t="shared" si="9"/>
        <v>0</v>
      </c>
      <c r="L86" s="507"/>
      <c r="M86" s="526" t="s">
        <v>474</v>
      </c>
      <c r="N86" s="544">
        <v>1350</v>
      </c>
      <c r="O86" s="525" t="s">
        <v>469</v>
      </c>
    </row>
    <row r="87" spans="1:15" ht="15.75" x14ac:dyDescent="0.25">
      <c r="A87" s="282" t="s">
        <v>69</v>
      </c>
      <c r="B87" s="295" t="s">
        <v>186</v>
      </c>
      <c r="C87" s="229">
        <v>6870</v>
      </c>
      <c r="D87" s="229"/>
      <c r="E87" s="229">
        <v>6870</v>
      </c>
      <c r="F87" s="229"/>
      <c r="G87" s="229"/>
      <c r="H87" s="512">
        <f t="shared" si="8"/>
        <v>6870</v>
      </c>
      <c r="I87" s="513">
        <f t="shared" si="9"/>
        <v>0</v>
      </c>
      <c r="L87" s="507"/>
      <c r="M87" s="523" t="s">
        <v>455</v>
      </c>
      <c r="N87" s="544">
        <v>2930</v>
      </c>
      <c r="O87" s="527" t="s">
        <v>475</v>
      </c>
    </row>
    <row r="88" spans="1:15" ht="16.5" thickBot="1" x14ac:dyDescent="0.3">
      <c r="A88" s="281" t="s">
        <v>71</v>
      </c>
      <c r="B88" s="294" t="s">
        <v>255</v>
      </c>
      <c r="C88" s="228">
        <v>5000</v>
      </c>
      <c r="D88" s="228"/>
      <c r="E88" s="228"/>
      <c r="F88" s="228"/>
      <c r="G88" s="228">
        <v>5000</v>
      </c>
      <c r="H88" s="515">
        <f t="shared" si="8"/>
        <v>5000</v>
      </c>
      <c r="I88" s="513">
        <f t="shared" si="9"/>
        <v>0</v>
      </c>
      <c r="L88" s="507"/>
      <c r="M88" s="523" t="s">
        <v>601</v>
      </c>
      <c r="N88" s="544">
        <f>120+270</f>
        <v>390</v>
      </c>
      <c r="O88" s="527" t="s">
        <v>469</v>
      </c>
    </row>
    <row r="89" spans="1:15" ht="15.75" x14ac:dyDescent="0.25">
      <c r="A89" s="282" t="s">
        <v>77</v>
      </c>
      <c r="B89" s="299" t="s">
        <v>579</v>
      </c>
      <c r="C89" s="503">
        <f>206000-2300+1500</f>
        <v>205200</v>
      </c>
      <c r="D89" s="229">
        <f>195000-1500</f>
        <v>193500</v>
      </c>
      <c r="E89" s="503">
        <f>10200+1500</f>
        <v>11700</v>
      </c>
      <c r="F89" s="229"/>
      <c r="G89" s="229">
        <v>0</v>
      </c>
      <c r="H89" s="512">
        <f t="shared" si="8"/>
        <v>205200</v>
      </c>
      <c r="I89" s="513">
        <f t="shared" si="9"/>
        <v>0</v>
      </c>
      <c r="L89" s="507"/>
      <c r="M89" s="523" t="s">
        <v>531</v>
      </c>
      <c r="N89" s="544">
        <v>200</v>
      </c>
      <c r="O89" s="527" t="s">
        <v>475</v>
      </c>
    </row>
    <row r="90" spans="1:15" ht="16.5" thickBot="1" x14ac:dyDescent="0.3">
      <c r="A90" s="281" t="s">
        <v>81</v>
      </c>
      <c r="B90" s="298" t="s">
        <v>251</v>
      </c>
      <c r="C90" s="228">
        <v>10000</v>
      </c>
      <c r="D90" s="228"/>
      <c r="E90" s="228"/>
      <c r="F90" s="228"/>
      <c r="G90" s="228">
        <v>10000</v>
      </c>
      <c r="H90" s="515">
        <f t="shared" si="8"/>
        <v>10000</v>
      </c>
      <c r="I90" s="513">
        <f t="shared" si="9"/>
        <v>0</v>
      </c>
      <c r="L90" s="507"/>
      <c r="M90" s="523" t="s">
        <v>580</v>
      </c>
      <c r="N90" s="544">
        <v>600</v>
      </c>
      <c r="O90" s="527" t="s">
        <v>469</v>
      </c>
    </row>
    <row r="91" spans="1:15" ht="15.75" x14ac:dyDescent="0.25">
      <c r="A91" s="284" t="s">
        <v>132</v>
      </c>
      <c r="B91" s="297" t="s">
        <v>159</v>
      </c>
      <c r="C91" s="498">
        <f>6000</f>
        <v>6000</v>
      </c>
      <c r="D91" s="232"/>
      <c r="E91" s="232">
        <v>1000</v>
      </c>
      <c r="F91" s="498">
        <f>3000</f>
        <v>3000</v>
      </c>
      <c r="G91" s="232">
        <v>2000</v>
      </c>
      <c r="H91" s="512">
        <f t="shared" si="8"/>
        <v>6000</v>
      </c>
      <c r="I91" s="513">
        <f t="shared" si="9"/>
        <v>0</v>
      </c>
      <c r="L91" s="507"/>
      <c r="M91" s="523" t="s">
        <v>598</v>
      </c>
      <c r="N91" s="544"/>
      <c r="O91" s="527"/>
    </row>
    <row r="92" spans="1:15" ht="15.75" x14ac:dyDescent="0.25">
      <c r="A92" s="285" t="s">
        <v>132</v>
      </c>
      <c r="B92" s="296" t="s">
        <v>215</v>
      </c>
      <c r="C92" s="488">
        <v>59360</v>
      </c>
      <c r="D92" s="230"/>
      <c r="E92" s="488">
        <f>8100+330+10000-1800-2270</f>
        <v>14360</v>
      </c>
      <c r="F92" s="230"/>
      <c r="G92" s="230">
        <f>42000+3000</f>
        <v>45000</v>
      </c>
      <c r="H92" s="514">
        <f t="shared" si="8"/>
        <v>59360</v>
      </c>
      <c r="I92" s="513">
        <f t="shared" si="9"/>
        <v>0</v>
      </c>
      <c r="L92" s="507"/>
      <c r="M92" s="552" t="s">
        <v>481</v>
      </c>
      <c r="N92" s="553">
        <f>10000-1800-200-600-2270</f>
        <v>5130</v>
      </c>
      <c r="O92" s="527"/>
    </row>
    <row r="93" spans="1:15" ht="15.75" x14ac:dyDescent="0.25">
      <c r="A93" s="285" t="s">
        <v>83</v>
      </c>
      <c r="B93" s="296" t="s">
        <v>219</v>
      </c>
      <c r="C93" s="230">
        <v>2000</v>
      </c>
      <c r="D93" s="230"/>
      <c r="E93" s="230"/>
      <c r="F93" s="230"/>
      <c r="G93" s="230">
        <v>2000</v>
      </c>
      <c r="H93" s="514">
        <f t="shared" si="8"/>
        <v>2000</v>
      </c>
      <c r="I93" s="513">
        <f t="shared" si="9"/>
        <v>0</v>
      </c>
      <c r="L93" s="507"/>
      <c r="M93" s="545" t="s">
        <v>479</v>
      </c>
      <c r="N93" s="546">
        <f>SUM(N83:N92)</f>
        <v>14360</v>
      </c>
      <c r="O93" s="547"/>
    </row>
    <row r="94" spans="1:15" ht="15.75" x14ac:dyDescent="0.25">
      <c r="A94" s="285" t="s">
        <v>83</v>
      </c>
      <c r="B94" s="296" t="s">
        <v>256</v>
      </c>
      <c r="C94" s="230">
        <v>10000</v>
      </c>
      <c r="D94" s="230"/>
      <c r="E94" s="230"/>
      <c r="F94" s="230"/>
      <c r="G94" s="230">
        <v>10000</v>
      </c>
      <c r="H94" s="514">
        <f t="shared" si="8"/>
        <v>10000</v>
      </c>
      <c r="I94" s="513">
        <f t="shared" si="9"/>
        <v>0</v>
      </c>
      <c r="L94" s="507"/>
      <c r="M94" s="523" t="s">
        <v>454</v>
      </c>
      <c r="N94" s="536">
        <v>2000</v>
      </c>
      <c r="O94" s="529"/>
    </row>
    <row r="95" spans="1:15" ht="15.75" x14ac:dyDescent="0.25">
      <c r="A95" s="285" t="s">
        <v>83</v>
      </c>
      <c r="B95" s="296" t="s">
        <v>221</v>
      </c>
      <c r="C95" s="230">
        <f>34730+1800</f>
        <v>36530</v>
      </c>
      <c r="D95" s="230"/>
      <c r="E95" s="230">
        <f>34730+1800</f>
        <v>36530</v>
      </c>
      <c r="F95" s="230"/>
      <c r="G95" s="230">
        <v>0</v>
      </c>
      <c r="H95" s="514">
        <f t="shared" si="8"/>
        <v>36530</v>
      </c>
      <c r="I95" s="513">
        <f t="shared" si="9"/>
        <v>0</v>
      </c>
      <c r="L95" s="507"/>
      <c r="M95" s="528" t="s">
        <v>453</v>
      </c>
      <c r="N95" s="535">
        <v>3000</v>
      </c>
      <c r="O95" s="529"/>
    </row>
    <row r="96" spans="1:15" ht="16.5" thickBot="1" x14ac:dyDescent="0.3">
      <c r="A96" s="286" t="s">
        <v>85</v>
      </c>
      <c r="B96" s="298" t="s">
        <v>194</v>
      </c>
      <c r="C96" s="484">
        <f>10000+2500</f>
        <v>12500</v>
      </c>
      <c r="D96" s="228"/>
      <c r="E96" s="484">
        <v>2500</v>
      </c>
      <c r="F96" s="228"/>
      <c r="G96" s="228">
        <v>10000</v>
      </c>
      <c r="H96" s="515">
        <f t="shared" si="8"/>
        <v>12500</v>
      </c>
      <c r="I96" s="513">
        <f t="shared" si="9"/>
        <v>0</v>
      </c>
      <c r="L96" s="507"/>
      <c r="M96" s="523" t="s">
        <v>456</v>
      </c>
      <c r="N96" s="536">
        <v>6000</v>
      </c>
      <c r="O96" s="524"/>
    </row>
    <row r="97" spans="1:15" ht="15.75" x14ac:dyDescent="0.25">
      <c r="A97" s="287" t="s">
        <v>97</v>
      </c>
      <c r="B97" s="299" t="s">
        <v>171</v>
      </c>
      <c r="C97" s="229">
        <v>31000</v>
      </c>
      <c r="D97" s="229"/>
      <c r="E97" s="229"/>
      <c r="F97" s="229"/>
      <c r="G97" s="229">
        <v>31000</v>
      </c>
      <c r="H97" s="512">
        <f t="shared" si="8"/>
        <v>31000</v>
      </c>
      <c r="I97" s="513">
        <f t="shared" si="9"/>
        <v>0</v>
      </c>
      <c r="L97" s="507"/>
      <c r="M97" s="523" t="s">
        <v>457</v>
      </c>
      <c r="N97" s="536">
        <v>2000</v>
      </c>
      <c r="O97" s="524"/>
    </row>
    <row r="98" spans="1:15" ht="15.75" x14ac:dyDescent="0.25">
      <c r="A98" s="288" t="s">
        <v>97</v>
      </c>
      <c r="B98" s="300" t="s">
        <v>193</v>
      </c>
      <c r="C98" s="233">
        <v>20000</v>
      </c>
      <c r="D98" s="233"/>
      <c r="E98" s="233"/>
      <c r="F98" s="233"/>
      <c r="G98" s="233">
        <v>20000</v>
      </c>
      <c r="H98" s="514">
        <f t="shared" si="8"/>
        <v>20000</v>
      </c>
      <c r="I98" s="513">
        <f t="shared" si="9"/>
        <v>0</v>
      </c>
      <c r="L98" s="507"/>
      <c r="M98" s="562" t="s">
        <v>458</v>
      </c>
      <c r="N98" s="563">
        <f>29000+3000</f>
        <v>32000</v>
      </c>
      <c r="O98" s="524"/>
    </row>
    <row r="99" spans="1:15" ht="16.5" thickBot="1" x14ac:dyDescent="0.3">
      <c r="A99" s="288" t="s">
        <v>97</v>
      </c>
      <c r="B99" s="300" t="s">
        <v>498</v>
      </c>
      <c r="C99" s="233">
        <v>3300</v>
      </c>
      <c r="D99" s="233"/>
      <c r="E99" s="233"/>
      <c r="F99" s="233">
        <v>3300</v>
      </c>
      <c r="G99" s="233"/>
      <c r="H99" s="514">
        <f t="shared" si="8"/>
        <v>3300</v>
      </c>
      <c r="I99" s="513">
        <f t="shared" si="9"/>
        <v>0</v>
      </c>
      <c r="L99" s="507"/>
      <c r="M99" s="548" t="s">
        <v>478</v>
      </c>
      <c r="N99" s="549">
        <f>SUM(N94:N98)</f>
        <v>45000</v>
      </c>
      <c r="O99" s="550"/>
    </row>
    <row r="100" spans="1:15" ht="16.5" thickBot="1" x14ac:dyDescent="0.3">
      <c r="A100" s="285" t="s">
        <v>102</v>
      </c>
      <c r="B100" s="293" t="s">
        <v>341</v>
      </c>
      <c r="C100" s="230">
        <v>45000</v>
      </c>
      <c r="D100" s="230"/>
      <c r="E100" s="230"/>
      <c r="F100" s="230"/>
      <c r="G100" s="230">
        <v>45000</v>
      </c>
      <c r="H100" s="514">
        <f t="shared" si="8"/>
        <v>45000</v>
      </c>
      <c r="I100" s="513">
        <f t="shared" si="9"/>
        <v>0</v>
      </c>
      <c r="L100" s="507"/>
      <c r="M100" s="533" t="s">
        <v>470</v>
      </c>
      <c r="N100" s="537">
        <f>N93+N99</f>
        <v>59360</v>
      </c>
      <c r="O100" s="534"/>
    </row>
    <row r="101" spans="1:15" ht="15.75" thickBot="1" x14ac:dyDescent="0.3">
      <c r="A101" s="285" t="s">
        <v>102</v>
      </c>
      <c r="B101" s="293" t="s">
        <v>342</v>
      </c>
      <c r="C101" s="230">
        <v>35000</v>
      </c>
      <c r="D101" s="230"/>
      <c r="E101" s="230"/>
      <c r="F101" s="230"/>
      <c r="G101" s="231">
        <v>35000</v>
      </c>
      <c r="H101" s="516">
        <f t="shared" si="8"/>
        <v>35000</v>
      </c>
      <c r="I101" s="513">
        <f t="shared" si="9"/>
        <v>0</v>
      </c>
      <c r="L101" s="507"/>
      <c r="M101" s="507"/>
      <c r="N101" s="551"/>
      <c r="O101" s="507"/>
    </row>
    <row r="102" spans="1:15" ht="15.75" x14ac:dyDescent="0.25">
      <c r="A102" s="289" t="s">
        <v>106</v>
      </c>
      <c r="B102" s="292" t="s">
        <v>165</v>
      </c>
      <c r="C102" s="486">
        <f>127000-1800</f>
        <v>125200</v>
      </c>
      <c r="D102" s="486">
        <f>114850-73350+12150+63050</f>
        <v>116700</v>
      </c>
      <c r="E102" s="486">
        <f>6400+5750+73350-12150-64850</f>
        <v>8500</v>
      </c>
      <c r="F102" s="303"/>
      <c r="G102" s="229"/>
      <c r="H102" s="512">
        <f t="shared" si="8"/>
        <v>125200</v>
      </c>
      <c r="I102" s="513">
        <f t="shared" si="9"/>
        <v>0</v>
      </c>
      <c r="L102" s="507"/>
      <c r="M102" s="517"/>
      <c r="N102" s="507"/>
      <c r="O102" s="507"/>
    </row>
    <row r="103" spans="1:15" ht="15.75" x14ac:dyDescent="0.25">
      <c r="A103" s="285" t="s">
        <v>445</v>
      </c>
      <c r="B103" s="293" t="s">
        <v>585</v>
      </c>
      <c r="C103" s="488">
        <v>10000</v>
      </c>
      <c r="D103" s="230"/>
      <c r="E103" s="488">
        <v>10000</v>
      </c>
      <c r="F103" s="230"/>
      <c r="G103" s="230"/>
      <c r="H103" s="512">
        <f t="shared" si="8"/>
        <v>10000</v>
      </c>
      <c r="I103" s="513">
        <f t="shared" si="9"/>
        <v>0</v>
      </c>
      <c r="L103" s="507"/>
      <c r="M103" s="517"/>
      <c r="N103" s="507"/>
      <c r="O103" s="507"/>
    </row>
    <row r="104" spans="1:15" ht="15.75" thickBot="1" x14ac:dyDescent="0.3">
      <c r="A104" s="290" t="s">
        <v>115</v>
      </c>
      <c r="B104" s="301" t="s">
        <v>578</v>
      </c>
      <c r="C104" s="489">
        <f>2400+1200-1200</f>
        <v>2400</v>
      </c>
      <c r="D104" s="231"/>
      <c r="E104" s="489">
        <f>3600-1200</f>
        <v>2400</v>
      </c>
      <c r="F104" s="231"/>
      <c r="G104" s="231"/>
      <c r="H104" s="516">
        <f t="shared" si="8"/>
        <v>2400</v>
      </c>
      <c r="I104" s="513">
        <f t="shared" si="9"/>
        <v>0</v>
      </c>
      <c r="L104" s="507"/>
      <c r="M104" s="507"/>
      <c r="N104" s="507"/>
      <c r="O104" s="507"/>
    </row>
    <row r="105" spans="1:15" ht="15.75" thickBot="1" x14ac:dyDescent="0.3">
      <c r="A105" s="285" t="s">
        <v>248</v>
      </c>
      <c r="B105" s="293" t="s">
        <v>247</v>
      </c>
      <c r="C105" s="488">
        <f>204300-2230</f>
        <v>202070</v>
      </c>
      <c r="D105" s="488">
        <f>202070-93750</f>
        <v>108320</v>
      </c>
      <c r="E105" s="488">
        <f>2230-2230+38750</f>
        <v>38750</v>
      </c>
      <c r="F105" s="230"/>
      <c r="G105" s="488">
        <v>55000</v>
      </c>
      <c r="H105" s="514">
        <f t="shared" si="8"/>
        <v>202070</v>
      </c>
      <c r="I105" s="513">
        <f t="shared" si="9"/>
        <v>0</v>
      </c>
      <c r="L105" s="507"/>
      <c r="M105" s="507"/>
      <c r="N105" s="507"/>
      <c r="O105" s="507"/>
    </row>
    <row r="106" spans="1:15" ht="15.75" thickBot="1" x14ac:dyDescent="0.3">
      <c r="A106" s="679" t="s">
        <v>202</v>
      </c>
      <c r="B106" s="680"/>
      <c r="C106" s="518">
        <f t="shared" ref="C106:G106" si="10">SUM(C82:C105)</f>
        <v>1044320</v>
      </c>
      <c r="D106" s="518">
        <f t="shared" si="10"/>
        <v>516520</v>
      </c>
      <c r="E106" s="518">
        <f t="shared" si="10"/>
        <v>221500</v>
      </c>
      <c r="F106" s="518">
        <f t="shared" si="10"/>
        <v>6300</v>
      </c>
      <c r="G106" s="518">
        <f t="shared" si="10"/>
        <v>300000</v>
      </c>
      <c r="H106" s="519">
        <f t="shared" ref="H106" si="11">SUM(H82:H105)</f>
        <v>1044320</v>
      </c>
      <c r="I106" s="513">
        <f t="shared" si="9"/>
        <v>0</v>
      </c>
      <c r="L106" s="507"/>
      <c r="M106" s="507"/>
      <c r="N106" s="507"/>
      <c r="O106" s="507"/>
    </row>
    <row r="107" spans="1:15" x14ac:dyDescent="0.25">
      <c r="A107" s="507"/>
      <c r="B107" s="507"/>
      <c r="C107" s="507"/>
      <c r="D107" s="507"/>
      <c r="E107" s="336">
        <v>221500</v>
      </c>
      <c r="F107" s="507"/>
      <c r="G107" s="520">
        <v>300000</v>
      </c>
      <c r="H107" s="507"/>
      <c r="I107" s="507"/>
      <c r="L107" s="507"/>
      <c r="M107" s="507"/>
      <c r="N107" s="507"/>
      <c r="O107" s="507"/>
    </row>
    <row r="108" spans="1:15" x14ac:dyDescent="0.25">
      <c r="A108" s="507"/>
      <c r="B108" s="507"/>
      <c r="C108" s="507"/>
      <c r="D108" s="521"/>
      <c r="E108" s="520">
        <f>E107-E106</f>
        <v>0</v>
      </c>
      <c r="F108" s="507"/>
      <c r="G108" s="521">
        <f>G107-G106</f>
        <v>0</v>
      </c>
      <c r="H108" s="507"/>
      <c r="I108" s="507"/>
      <c r="L108" s="507"/>
      <c r="M108" s="507"/>
      <c r="N108" s="507"/>
      <c r="O108" s="507"/>
    </row>
    <row r="109" spans="1:15" x14ac:dyDescent="0.25">
      <c r="A109" s="522"/>
      <c r="B109" s="240" t="s">
        <v>218</v>
      </c>
      <c r="C109" s="507"/>
      <c r="D109" s="507"/>
      <c r="E109" s="507"/>
      <c r="F109" s="507"/>
      <c r="G109" s="507"/>
      <c r="H109" s="507"/>
      <c r="I109" s="507"/>
      <c r="L109" s="507"/>
      <c r="M109" s="507"/>
      <c r="N109" s="507"/>
      <c r="O109" s="507"/>
    </row>
    <row r="110" spans="1:15" x14ac:dyDescent="0.25">
      <c r="A110" s="507"/>
      <c r="B110" s="507"/>
      <c r="C110" s="507"/>
      <c r="D110" s="507"/>
      <c r="E110" s="507"/>
      <c r="F110" s="507"/>
      <c r="G110" s="507"/>
      <c r="H110" s="507"/>
      <c r="I110" s="507"/>
      <c r="M110" s="507"/>
      <c r="N110" s="507"/>
      <c r="O110" s="507"/>
    </row>
    <row r="111" spans="1:15" x14ac:dyDescent="0.25">
      <c r="A111" s="507"/>
      <c r="B111" s="507" t="s">
        <v>155</v>
      </c>
      <c r="C111" s="507"/>
      <c r="D111" s="507"/>
      <c r="E111" s="507"/>
      <c r="F111" s="507"/>
      <c r="G111" s="507"/>
      <c r="H111" s="507"/>
      <c r="I111" s="507"/>
      <c r="M111" s="507"/>
      <c r="N111" s="507"/>
      <c r="O111" s="507"/>
    </row>
    <row r="112" spans="1:15" x14ac:dyDescent="0.25">
      <c r="A112" s="507"/>
      <c r="B112" s="507" t="s">
        <v>597</v>
      </c>
      <c r="C112" s="507"/>
      <c r="D112" s="507"/>
      <c r="E112" s="507"/>
      <c r="F112" s="507"/>
      <c r="G112" s="507"/>
      <c r="H112" s="507"/>
      <c r="I112" s="507"/>
      <c r="M112" s="507"/>
      <c r="N112" s="507"/>
      <c r="O112" s="507"/>
    </row>
    <row r="113" spans="1:15" x14ac:dyDescent="0.25">
      <c r="M113" s="507"/>
      <c r="N113" s="507"/>
      <c r="O113" s="507"/>
    </row>
    <row r="114" spans="1:15" x14ac:dyDescent="0.25">
      <c r="M114" s="507"/>
      <c r="N114" s="507"/>
      <c r="O114" s="507"/>
    </row>
    <row r="115" spans="1:15" x14ac:dyDescent="0.25">
      <c r="M115" s="507"/>
      <c r="N115" s="507"/>
      <c r="O115" s="507"/>
    </row>
    <row r="118" spans="1:15" ht="18" x14ac:dyDescent="0.25">
      <c r="A118" s="678" t="s">
        <v>249</v>
      </c>
      <c r="B118" s="678"/>
      <c r="C118" s="678"/>
      <c r="D118" s="678"/>
      <c r="E118" s="678"/>
      <c r="F118" s="678"/>
      <c r="G118" s="678"/>
      <c r="L118" s="507"/>
    </row>
    <row r="119" spans="1:15" ht="15.75" thickBot="1" x14ac:dyDescent="0.3">
      <c r="A119" s="507"/>
      <c r="B119" s="507"/>
      <c r="C119" s="507"/>
      <c r="D119" s="507"/>
      <c r="E119" s="507"/>
      <c r="F119" s="507"/>
      <c r="G119" s="507"/>
      <c r="H119" s="507"/>
      <c r="I119" s="507"/>
      <c r="L119" s="507"/>
      <c r="M119" s="507"/>
      <c r="N119" s="507"/>
      <c r="O119" s="507"/>
    </row>
    <row r="120" spans="1:15" ht="30.75" thickBot="1" x14ac:dyDescent="0.3">
      <c r="A120" s="508" t="s">
        <v>205</v>
      </c>
      <c r="B120" s="508" t="s">
        <v>211</v>
      </c>
      <c r="C120" s="509" t="s">
        <v>232</v>
      </c>
      <c r="D120" s="510" t="s">
        <v>199</v>
      </c>
      <c r="E120" s="510" t="s">
        <v>200</v>
      </c>
      <c r="F120" s="509" t="s">
        <v>209</v>
      </c>
      <c r="G120" s="510" t="s">
        <v>201</v>
      </c>
      <c r="H120" s="511" t="s">
        <v>217</v>
      </c>
      <c r="I120" s="507"/>
      <c r="L120" s="507"/>
      <c r="M120" s="682" t="s">
        <v>450</v>
      </c>
      <c r="N120" s="683"/>
      <c r="O120" s="684"/>
    </row>
    <row r="121" spans="1:15" ht="16.5" thickBot="1" x14ac:dyDescent="0.3">
      <c r="A121" s="280" t="s">
        <v>50</v>
      </c>
      <c r="B121" s="292" t="s">
        <v>158</v>
      </c>
      <c r="C121" s="303">
        <f>126365+3078+7</f>
        <v>129450</v>
      </c>
      <c r="D121" s="303">
        <f>122300-55000</f>
        <v>67300</v>
      </c>
      <c r="E121" s="303">
        <f>7150</f>
        <v>7150</v>
      </c>
      <c r="F121" s="303"/>
      <c r="G121" s="303">
        <v>55000</v>
      </c>
      <c r="H121" s="512">
        <f t="shared" ref="H121:H143" si="12">SUM(D121:G121)</f>
        <v>129450</v>
      </c>
      <c r="I121" s="513">
        <f t="shared" ref="I121:I144" si="13">C121-H121</f>
        <v>0</v>
      </c>
      <c r="L121" s="507"/>
      <c r="M121" s="530" t="s">
        <v>451</v>
      </c>
      <c r="N121" s="531" t="s">
        <v>459</v>
      </c>
      <c r="O121" s="532" t="s">
        <v>452</v>
      </c>
    </row>
    <row r="122" spans="1:15" ht="15.75" x14ac:dyDescent="0.25">
      <c r="A122" s="283" t="s">
        <v>50</v>
      </c>
      <c r="B122" s="293" t="s">
        <v>399</v>
      </c>
      <c r="C122" s="230">
        <f>37500</f>
        <v>37500</v>
      </c>
      <c r="D122" s="230"/>
      <c r="E122" s="230">
        <f>37500</f>
        <v>37500</v>
      </c>
      <c r="F122" s="230"/>
      <c r="G122" s="230"/>
      <c r="H122" s="514">
        <f t="shared" si="12"/>
        <v>37500</v>
      </c>
      <c r="I122" s="513">
        <f t="shared" si="13"/>
        <v>0</v>
      </c>
      <c r="L122" s="507"/>
      <c r="M122" s="523" t="s">
        <v>454</v>
      </c>
      <c r="N122" s="536">
        <f>800+200+410</f>
        <v>1410</v>
      </c>
      <c r="O122" s="525" t="s">
        <v>477</v>
      </c>
    </row>
    <row r="123" spans="1:15" ht="16.5" thickBot="1" x14ac:dyDescent="0.3">
      <c r="A123" s="281" t="s">
        <v>50</v>
      </c>
      <c r="B123" s="294" t="s">
        <v>244</v>
      </c>
      <c r="C123" s="228">
        <f>37600-11160</f>
        <v>26440</v>
      </c>
      <c r="D123" s="228"/>
      <c r="E123" s="228">
        <v>26440</v>
      </c>
      <c r="F123" s="228"/>
      <c r="G123" s="228">
        <v>0</v>
      </c>
      <c r="H123" s="515">
        <f t="shared" si="12"/>
        <v>26440</v>
      </c>
      <c r="I123" s="513">
        <f t="shared" si="13"/>
        <v>0</v>
      </c>
      <c r="L123" s="507"/>
      <c r="M123" s="523" t="s">
        <v>473</v>
      </c>
      <c r="N123" s="536">
        <v>2250</v>
      </c>
      <c r="O123" s="525" t="s">
        <v>469</v>
      </c>
    </row>
    <row r="124" spans="1:15" ht="15.75" x14ac:dyDescent="0.25">
      <c r="A124" s="280" t="s">
        <v>62</v>
      </c>
      <c r="B124" s="292" t="s">
        <v>245</v>
      </c>
      <c r="C124" s="303">
        <v>30000</v>
      </c>
      <c r="D124" s="303"/>
      <c r="E124" s="303"/>
      <c r="F124" s="303"/>
      <c r="G124" s="303">
        <v>30000</v>
      </c>
      <c r="H124" s="538">
        <f t="shared" si="12"/>
        <v>30000</v>
      </c>
      <c r="I124" s="513">
        <f t="shared" si="13"/>
        <v>0</v>
      </c>
      <c r="L124" s="507"/>
      <c r="M124" s="523" t="s">
        <v>372</v>
      </c>
      <c r="N124" s="536">
        <v>100</v>
      </c>
      <c r="O124" s="525" t="s">
        <v>469</v>
      </c>
    </row>
    <row r="125" spans="1:15" ht="16.5" thickBot="1" x14ac:dyDescent="0.3">
      <c r="A125" s="281" t="s">
        <v>64</v>
      </c>
      <c r="B125" s="294" t="s">
        <v>465</v>
      </c>
      <c r="C125" s="228">
        <f>45000-45000</f>
        <v>0</v>
      </c>
      <c r="D125" s="228">
        <f>42000-42000</f>
        <v>0</v>
      </c>
      <c r="E125" s="228"/>
      <c r="F125" s="228"/>
      <c r="G125" s="228">
        <f>3000-3000</f>
        <v>0</v>
      </c>
      <c r="H125" s="515">
        <f t="shared" si="12"/>
        <v>0</v>
      </c>
      <c r="I125" s="513">
        <f t="shared" si="13"/>
        <v>0</v>
      </c>
      <c r="L125" s="507"/>
      <c r="M125" s="526" t="s">
        <v>474</v>
      </c>
      <c r="N125" s="544">
        <v>1350</v>
      </c>
      <c r="O125" s="525" t="s">
        <v>469</v>
      </c>
    </row>
    <row r="126" spans="1:15" ht="15.75" x14ac:dyDescent="0.25">
      <c r="A126" s="282" t="s">
        <v>69</v>
      </c>
      <c r="B126" s="295" t="s">
        <v>186</v>
      </c>
      <c r="C126" s="229">
        <v>6870</v>
      </c>
      <c r="D126" s="229"/>
      <c r="E126" s="229">
        <v>6870</v>
      </c>
      <c r="F126" s="229"/>
      <c r="G126" s="229"/>
      <c r="H126" s="512">
        <f t="shared" si="12"/>
        <v>6870</v>
      </c>
      <c r="I126" s="513">
        <f t="shared" si="13"/>
        <v>0</v>
      </c>
      <c r="L126" s="507"/>
      <c r="M126" s="523" t="s">
        <v>455</v>
      </c>
      <c r="N126" s="544">
        <v>2930</v>
      </c>
      <c r="O126" s="527" t="s">
        <v>475</v>
      </c>
    </row>
    <row r="127" spans="1:15" ht="16.5" thickBot="1" x14ac:dyDescent="0.3">
      <c r="A127" s="281" t="s">
        <v>71</v>
      </c>
      <c r="B127" s="294" t="s">
        <v>255</v>
      </c>
      <c r="C127" s="228">
        <v>5000</v>
      </c>
      <c r="D127" s="228"/>
      <c r="E127" s="228"/>
      <c r="F127" s="228"/>
      <c r="G127" s="228">
        <v>5000</v>
      </c>
      <c r="H127" s="515">
        <f t="shared" si="12"/>
        <v>5000</v>
      </c>
      <c r="I127" s="513">
        <f t="shared" si="13"/>
        <v>0</v>
      </c>
      <c r="L127" s="507"/>
      <c r="M127" s="523" t="s">
        <v>476</v>
      </c>
      <c r="N127" s="544">
        <f>120+270</f>
        <v>390</v>
      </c>
      <c r="O127" s="527" t="s">
        <v>469</v>
      </c>
    </row>
    <row r="128" spans="1:15" ht="15.75" x14ac:dyDescent="0.25">
      <c r="A128" s="282" t="s">
        <v>77</v>
      </c>
      <c r="B128" s="299" t="s">
        <v>164</v>
      </c>
      <c r="C128" s="229">
        <f>206000-2300</f>
        <v>203700</v>
      </c>
      <c r="D128" s="229">
        <f>195000-1500</f>
        <v>193500</v>
      </c>
      <c r="E128" s="229">
        <v>10200</v>
      </c>
      <c r="F128" s="229"/>
      <c r="G128" s="229">
        <v>0</v>
      </c>
      <c r="H128" s="512">
        <f t="shared" si="12"/>
        <v>203700</v>
      </c>
      <c r="I128" s="513">
        <f t="shared" si="13"/>
        <v>0</v>
      </c>
      <c r="L128" s="507"/>
      <c r="M128" s="523" t="s">
        <v>531</v>
      </c>
      <c r="N128" s="544">
        <v>200</v>
      </c>
      <c r="O128" s="527"/>
    </row>
    <row r="129" spans="1:15" ht="16.5" thickBot="1" x14ac:dyDescent="0.3">
      <c r="A129" s="281" t="s">
        <v>81</v>
      </c>
      <c r="B129" s="298" t="s">
        <v>251</v>
      </c>
      <c r="C129" s="228">
        <v>10000</v>
      </c>
      <c r="D129" s="228"/>
      <c r="E129" s="228"/>
      <c r="F129" s="228"/>
      <c r="G129" s="228">
        <v>10000</v>
      </c>
      <c r="H129" s="515">
        <f t="shared" si="12"/>
        <v>10000</v>
      </c>
      <c r="I129" s="513">
        <f t="shared" si="13"/>
        <v>0</v>
      </c>
      <c r="L129" s="507"/>
      <c r="M129" s="523" t="s">
        <v>580</v>
      </c>
      <c r="N129" s="544">
        <v>600</v>
      </c>
      <c r="O129" s="527" t="s">
        <v>475</v>
      </c>
    </row>
    <row r="130" spans="1:15" ht="15.75" x14ac:dyDescent="0.25">
      <c r="A130" s="284" t="s">
        <v>132</v>
      </c>
      <c r="B130" s="297" t="s">
        <v>159</v>
      </c>
      <c r="C130" s="232">
        <v>6000</v>
      </c>
      <c r="D130" s="232"/>
      <c r="E130" s="232">
        <v>1000</v>
      </c>
      <c r="F130" s="232">
        <v>3000</v>
      </c>
      <c r="G130" s="232">
        <v>2000</v>
      </c>
      <c r="H130" s="512">
        <f t="shared" si="12"/>
        <v>6000</v>
      </c>
      <c r="I130" s="513">
        <f t="shared" si="13"/>
        <v>0</v>
      </c>
      <c r="L130" s="507"/>
      <c r="M130" s="552" t="s">
        <v>481</v>
      </c>
      <c r="N130" s="553">
        <f>10000-1800-200-600</f>
        <v>7400</v>
      </c>
      <c r="O130" s="527"/>
    </row>
    <row r="131" spans="1:15" ht="15.75" x14ac:dyDescent="0.25">
      <c r="A131" s="285" t="s">
        <v>132</v>
      </c>
      <c r="B131" s="296" t="s">
        <v>215</v>
      </c>
      <c r="C131" s="230">
        <v>61630</v>
      </c>
      <c r="D131" s="230"/>
      <c r="E131" s="230">
        <f>8100+330+10000-1800</f>
        <v>16630</v>
      </c>
      <c r="F131" s="230"/>
      <c r="G131" s="230">
        <f>42000+3000</f>
        <v>45000</v>
      </c>
      <c r="H131" s="514">
        <f t="shared" si="12"/>
        <v>61630</v>
      </c>
      <c r="I131" s="513">
        <f t="shared" si="13"/>
        <v>0</v>
      </c>
      <c r="L131" s="507"/>
      <c r="M131" s="545" t="s">
        <v>479</v>
      </c>
      <c r="N131" s="546">
        <f>SUM(N122:N130)</f>
        <v>16630</v>
      </c>
      <c r="O131" s="547"/>
    </row>
    <row r="132" spans="1:15" ht="15.75" x14ac:dyDescent="0.25">
      <c r="A132" s="285" t="s">
        <v>83</v>
      </c>
      <c r="B132" s="296" t="s">
        <v>219</v>
      </c>
      <c r="C132" s="230">
        <v>2000</v>
      </c>
      <c r="D132" s="230"/>
      <c r="E132" s="230"/>
      <c r="F132" s="230"/>
      <c r="G132" s="230">
        <v>2000</v>
      </c>
      <c r="H132" s="514">
        <f t="shared" si="12"/>
        <v>2000</v>
      </c>
      <c r="I132" s="513">
        <f t="shared" si="13"/>
        <v>0</v>
      </c>
      <c r="L132" s="507"/>
      <c r="M132" s="523" t="s">
        <v>454</v>
      </c>
      <c r="N132" s="536">
        <v>2000</v>
      </c>
      <c r="O132" s="529"/>
    </row>
    <row r="133" spans="1:15" ht="15.75" x14ac:dyDescent="0.25">
      <c r="A133" s="285" t="s">
        <v>83</v>
      </c>
      <c r="B133" s="296" t="s">
        <v>256</v>
      </c>
      <c r="C133" s="230">
        <v>10000</v>
      </c>
      <c r="D133" s="230"/>
      <c r="E133" s="230"/>
      <c r="F133" s="230"/>
      <c r="G133" s="230">
        <v>10000</v>
      </c>
      <c r="H133" s="514">
        <f t="shared" si="12"/>
        <v>10000</v>
      </c>
      <c r="I133" s="513">
        <f t="shared" si="13"/>
        <v>0</v>
      </c>
      <c r="L133" s="507"/>
      <c r="M133" s="528" t="s">
        <v>453</v>
      </c>
      <c r="N133" s="535">
        <v>3000</v>
      </c>
      <c r="O133" s="529"/>
    </row>
    <row r="134" spans="1:15" ht="15.75" x14ac:dyDescent="0.25">
      <c r="A134" s="285" t="s">
        <v>83</v>
      </c>
      <c r="B134" s="296" t="s">
        <v>221</v>
      </c>
      <c r="C134" s="230">
        <f>34730+1800</f>
        <v>36530</v>
      </c>
      <c r="D134" s="230"/>
      <c r="E134" s="230">
        <f>34730+1800</f>
        <v>36530</v>
      </c>
      <c r="F134" s="230"/>
      <c r="G134" s="230">
        <v>0</v>
      </c>
      <c r="H134" s="514">
        <f t="shared" si="12"/>
        <v>36530</v>
      </c>
      <c r="I134" s="513">
        <f t="shared" si="13"/>
        <v>0</v>
      </c>
      <c r="L134" s="507"/>
      <c r="M134" s="523" t="s">
        <v>456</v>
      </c>
      <c r="N134" s="536">
        <v>6000</v>
      </c>
      <c r="O134" s="524"/>
    </row>
    <row r="135" spans="1:15" ht="16.5" thickBot="1" x14ac:dyDescent="0.3">
      <c r="A135" s="286" t="s">
        <v>85</v>
      </c>
      <c r="B135" s="298" t="s">
        <v>194</v>
      </c>
      <c r="C135" s="228">
        <v>10000</v>
      </c>
      <c r="D135" s="228"/>
      <c r="E135" s="228"/>
      <c r="F135" s="228"/>
      <c r="G135" s="228">
        <v>10000</v>
      </c>
      <c r="H135" s="515">
        <f t="shared" si="12"/>
        <v>10000</v>
      </c>
      <c r="I135" s="513">
        <f t="shared" si="13"/>
        <v>0</v>
      </c>
      <c r="L135" s="507"/>
      <c r="M135" s="523" t="s">
        <v>457</v>
      </c>
      <c r="N135" s="536">
        <v>2000</v>
      </c>
      <c r="O135" s="524"/>
    </row>
    <row r="136" spans="1:15" ht="15.75" x14ac:dyDescent="0.25">
      <c r="A136" s="287" t="s">
        <v>97</v>
      </c>
      <c r="B136" s="299" t="s">
        <v>171</v>
      </c>
      <c r="C136" s="229">
        <v>31000</v>
      </c>
      <c r="D136" s="229"/>
      <c r="E136" s="229"/>
      <c r="F136" s="229"/>
      <c r="G136" s="229">
        <v>31000</v>
      </c>
      <c r="H136" s="512">
        <f t="shared" si="12"/>
        <v>31000</v>
      </c>
      <c r="I136" s="513">
        <f t="shared" si="13"/>
        <v>0</v>
      </c>
      <c r="L136" s="507"/>
      <c r="M136" s="562" t="s">
        <v>458</v>
      </c>
      <c r="N136" s="563">
        <f>29000+3000</f>
        <v>32000</v>
      </c>
      <c r="O136" s="524"/>
    </row>
    <row r="137" spans="1:15" ht="16.5" thickBot="1" x14ac:dyDescent="0.3">
      <c r="A137" s="288" t="s">
        <v>97</v>
      </c>
      <c r="B137" s="300" t="s">
        <v>193</v>
      </c>
      <c r="C137" s="233">
        <v>20000</v>
      </c>
      <c r="D137" s="233"/>
      <c r="E137" s="233"/>
      <c r="F137" s="233"/>
      <c r="G137" s="233">
        <v>20000</v>
      </c>
      <c r="H137" s="514">
        <f t="shared" si="12"/>
        <v>20000</v>
      </c>
      <c r="I137" s="513">
        <f t="shared" si="13"/>
        <v>0</v>
      </c>
      <c r="L137" s="507"/>
      <c r="M137" s="548" t="s">
        <v>478</v>
      </c>
      <c r="N137" s="549">
        <f>SUM(N132:N136)</f>
        <v>45000</v>
      </c>
      <c r="O137" s="550"/>
    </row>
    <row r="138" spans="1:15" ht="16.5" thickBot="1" x14ac:dyDescent="0.3">
      <c r="A138" s="288" t="s">
        <v>97</v>
      </c>
      <c r="B138" s="300" t="s">
        <v>498</v>
      </c>
      <c r="C138" s="233">
        <v>3300</v>
      </c>
      <c r="D138" s="233"/>
      <c r="E138" s="233"/>
      <c r="F138" s="233">
        <v>3300</v>
      </c>
      <c r="G138" s="233"/>
      <c r="H138" s="514">
        <f t="shared" si="12"/>
        <v>3300</v>
      </c>
      <c r="I138" s="513">
        <f t="shared" si="13"/>
        <v>0</v>
      </c>
      <c r="L138" s="507"/>
      <c r="M138" s="533" t="s">
        <v>470</v>
      </c>
      <c r="N138" s="537">
        <f>N131+N137</f>
        <v>61630</v>
      </c>
      <c r="O138" s="534"/>
    </row>
    <row r="139" spans="1:15" x14ac:dyDescent="0.25">
      <c r="A139" s="285" t="s">
        <v>102</v>
      </c>
      <c r="B139" s="293" t="s">
        <v>341</v>
      </c>
      <c r="C139" s="230">
        <v>45000</v>
      </c>
      <c r="D139" s="230"/>
      <c r="E139" s="230"/>
      <c r="F139" s="230"/>
      <c r="G139" s="230">
        <v>45000</v>
      </c>
      <c r="H139" s="514">
        <f t="shared" si="12"/>
        <v>45000</v>
      </c>
      <c r="I139" s="513">
        <f t="shared" si="13"/>
        <v>0</v>
      </c>
      <c r="L139" s="507"/>
      <c r="M139" s="507"/>
      <c r="N139" s="551"/>
      <c r="O139" s="507"/>
    </row>
    <row r="140" spans="1:15" ht="16.5" thickBot="1" x14ac:dyDescent="0.3">
      <c r="A140" s="285" t="s">
        <v>102</v>
      </c>
      <c r="B140" s="293" t="s">
        <v>342</v>
      </c>
      <c r="C140" s="230">
        <v>35000</v>
      </c>
      <c r="D140" s="230"/>
      <c r="E140" s="230"/>
      <c r="F140" s="230"/>
      <c r="G140" s="231">
        <v>35000</v>
      </c>
      <c r="H140" s="516">
        <f t="shared" si="12"/>
        <v>35000</v>
      </c>
      <c r="I140" s="513">
        <f t="shared" si="13"/>
        <v>0</v>
      </c>
      <c r="L140" s="507"/>
      <c r="M140" s="517"/>
      <c r="N140" s="507"/>
      <c r="O140" s="507"/>
    </row>
    <row r="141" spans="1:15" x14ac:dyDescent="0.25">
      <c r="A141" s="289" t="s">
        <v>106</v>
      </c>
      <c r="B141" s="292" t="s">
        <v>165</v>
      </c>
      <c r="C141" s="303">
        <f>127000</f>
        <v>127000</v>
      </c>
      <c r="D141" s="303">
        <f>114850-73350+12150</f>
        <v>53650</v>
      </c>
      <c r="E141" s="303">
        <f>6400+5750+73350-12150</f>
        <v>73350</v>
      </c>
      <c r="F141" s="303"/>
      <c r="G141" s="229"/>
      <c r="H141" s="512">
        <f t="shared" si="12"/>
        <v>127000</v>
      </c>
      <c r="I141" s="513">
        <f t="shared" si="13"/>
        <v>0</v>
      </c>
      <c r="L141" s="507"/>
      <c r="M141" s="507"/>
      <c r="N141" s="507"/>
      <c r="O141" s="507"/>
    </row>
    <row r="142" spans="1:15" ht="15.75" thickBot="1" x14ac:dyDescent="0.3">
      <c r="A142" s="290" t="s">
        <v>115</v>
      </c>
      <c r="B142" s="301" t="s">
        <v>343</v>
      </c>
      <c r="C142" s="231">
        <f>2400+1200</f>
        <v>3600</v>
      </c>
      <c r="D142" s="231"/>
      <c r="E142" s="231">
        <v>3600</v>
      </c>
      <c r="F142" s="231"/>
      <c r="G142" s="228"/>
      <c r="H142" s="515">
        <f t="shared" si="12"/>
        <v>3600</v>
      </c>
      <c r="I142" s="513">
        <f t="shared" si="13"/>
        <v>0</v>
      </c>
      <c r="L142" s="507"/>
      <c r="M142" s="507"/>
      <c r="N142" s="507"/>
      <c r="O142" s="507"/>
    </row>
    <row r="143" spans="1:15" ht="15.75" thickBot="1" x14ac:dyDescent="0.3">
      <c r="A143" s="285" t="s">
        <v>248</v>
      </c>
      <c r="B143" s="293" t="s">
        <v>247</v>
      </c>
      <c r="C143" s="230">
        <v>204300</v>
      </c>
      <c r="D143" s="230">
        <v>202070</v>
      </c>
      <c r="E143" s="230">
        <v>2230</v>
      </c>
      <c r="F143" s="230"/>
      <c r="G143" s="230"/>
      <c r="H143" s="514">
        <f t="shared" si="12"/>
        <v>204300</v>
      </c>
      <c r="I143" s="513">
        <f t="shared" si="13"/>
        <v>0</v>
      </c>
      <c r="L143" s="507"/>
      <c r="M143" s="507"/>
      <c r="N143" s="507"/>
      <c r="O143" s="507"/>
    </row>
    <row r="144" spans="1:15" ht="15.75" thickBot="1" x14ac:dyDescent="0.3">
      <c r="A144" s="679" t="s">
        <v>202</v>
      </c>
      <c r="B144" s="680"/>
      <c r="C144" s="518">
        <f t="shared" ref="C144:G144" si="14">SUM(C121:C143)</f>
        <v>1044320</v>
      </c>
      <c r="D144" s="518">
        <f t="shared" si="14"/>
        <v>516520</v>
      </c>
      <c r="E144" s="518">
        <f t="shared" si="14"/>
        <v>221500</v>
      </c>
      <c r="F144" s="518">
        <f t="shared" si="14"/>
        <v>6300</v>
      </c>
      <c r="G144" s="518">
        <f t="shared" si="14"/>
        <v>300000</v>
      </c>
      <c r="H144" s="519">
        <f t="shared" ref="H144" si="15">SUM(H121:H143)</f>
        <v>1044320</v>
      </c>
      <c r="I144" s="513">
        <f t="shared" si="13"/>
        <v>0</v>
      </c>
      <c r="L144" s="507"/>
      <c r="M144" s="507"/>
      <c r="N144" s="507"/>
      <c r="O144" s="507"/>
    </row>
    <row r="145" spans="1:15" x14ac:dyDescent="0.25">
      <c r="A145" s="507"/>
      <c r="B145" s="507"/>
      <c r="C145" s="507"/>
      <c r="D145" s="507"/>
      <c r="E145" s="336">
        <v>221500</v>
      </c>
      <c r="F145" s="507"/>
      <c r="G145" s="520">
        <v>300000</v>
      </c>
      <c r="H145" s="507"/>
      <c r="I145" s="507"/>
      <c r="L145" s="507"/>
      <c r="M145" s="507"/>
      <c r="N145" s="507"/>
      <c r="O145" s="507"/>
    </row>
    <row r="146" spans="1:15" x14ac:dyDescent="0.25">
      <c r="A146" s="507"/>
      <c r="B146" s="507"/>
      <c r="C146" s="507"/>
      <c r="D146" s="521"/>
      <c r="E146" s="520">
        <f>E145-E144</f>
        <v>0</v>
      </c>
      <c r="F146" s="507"/>
      <c r="G146" s="521">
        <f>G145-G144</f>
        <v>0</v>
      </c>
      <c r="H146" s="507"/>
      <c r="I146" s="507"/>
      <c r="L146" s="507"/>
      <c r="M146" s="507"/>
      <c r="N146" s="507"/>
      <c r="O146" s="507"/>
    </row>
    <row r="147" spans="1:15" x14ac:dyDescent="0.25">
      <c r="A147" s="522"/>
      <c r="B147" s="240" t="s">
        <v>218</v>
      </c>
      <c r="C147" s="507"/>
      <c r="D147" s="507"/>
      <c r="E147" s="507"/>
      <c r="F147" s="507"/>
      <c r="G147" s="507"/>
      <c r="H147" s="507"/>
      <c r="I147" s="507"/>
      <c r="L147" s="507"/>
      <c r="M147" s="507"/>
      <c r="N147" s="507"/>
      <c r="O147" s="507"/>
    </row>
    <row r="148" spans="1:15" x14ac:dyDescent="0.25">
      <c r="A148" s="507"/>
      <c r="B148" s="507"/>
      <c r="C148" s="507"/>
      <c r="D148" s="507"/>
      <c r="E148" s="507"/>
      <c r="F148" s="507"/>
      <c r="G148" s="507"/>
      <c r="H148" s="507"/>
      <c r="I148" s="507"/>
      <c r="M148" s="507"/>
      <c r="N148" s="507"/>
      <c r="O148" s="507"/>
    </row>
    <row r="149" spans="1:15" x14ac:dyDescent="0.25">
      <c r="A149" s="507"/>
      <c r="B149" s="507" t="s">
        <v>155</v>
      </c>
      <c r="C149" s="507"/>
      <c r="D149" s="507"/>
      <c r="E149" s="507"/>
      <c r="F149" s="507"/>
      <c r="G149" s="507"/>
      <c r="H149" s="507"/>
      <c r="I149" s="507"/>
      <c r="M149" s="507"/>
      <c r="N149" s="507"/>
      <c r="O149" s="507"/>
    </row>
    <row r="150" spans="1:15" x14ac:dyDescent="0.25">
      <c r="A150" s="507"/>
      <c r="B150" s="507" t="s">
        <v>554</v>
      </c>
      <c r="C150" s="507"/>
      <c r="D150" s="507"/>
      <c r="E150" s="507"/>
      <c r="F150" s="507"/>
      <c r="G150" s="507"/>
      <c r="H150" s="507"/>
      <c r="I150" s="507"/>
      <c r="M150" s="507"/>
      <c r="N150" s="507"/>
      <c r="O150" s="507"/>
    </row>
    <row r="151" spans="1:15" x14ac:dyDescent="0.25">
      <c r="M151" s="507"/>
      <c r="N151" s="507"/>
      <c r="O151" s="507"/>
    </row>
    <row r="152" spans="1:15" x14ac:dyDescent="0.25">
      <c r="M152" s="507"/>
      <c r="N152" s="507"/>
      <c r="O152" s="507"/>
    </row>
    <row r="153" spans="1:15" x14ac:dyDescent="0.25">
      <c r="M153" s="507"/>
      <c r="N153" s="507"/>
      <c r="O153" s="507"/>
    </row>
    <row r="154" spans="1:15" x14ac:dyDescent="0.25">
      <c r="M154" s="507"/>
      <c r="N154" s="507"/>
      <c r="O154" s="507"/>
    </row>
    <row r="155" spans="1:15" x14ac:dyDescent="0.25">
      <c r="L155" s="507"/>
      <c r="M155" s="507"/>
      <c r="N155" s="507"/>
      <c r="O155" s="507"/>
    </row>
    <row r="156" spans="1:15" ht="18" x14ac:dyDescent="0.25">
      <c r="A156" s="678" t="s">
        <v>249</v>
      </c>
      <c r="B156" s="678"/>
      <c r="C156" s="678"/>
      <c r="D156" s="678"/>
      <c r="E156" s="678"/>
      <c r="F156" s="678"/>
      <c r="G156" s="678"/>
      <c r="J156" s="507"/>
      <c r="K156" s="507"/>
      <c r="L156" s="507"/>
    </row>
    <row r="157" spans="1:15" ht="15.75" thickBot="1" x14ac:dyDescent="0.3">
      <c r="A157" s="507"/>
      <c r="B157" s="507"/>
      <c r="C157" s="507"/>
      <c r="D157" s="507"/>
      <c r="E157" s="507"/>
      <c r="F157" s="507"/>
      <c r="G157" s="507"/>
      <c r="H157" s="507"/>
      <c r="I157" s="507"/>
      <c r="J157" s="507"/>
      <c r="K157" s="507"/>
      <c r="L157" s="507"/>
    </row>
    <row r="158" spans="1:15" ht="30.75" thickBot="1" x14ac:dyDescent="0.3">
      <c r="A158" s="508" t="s">
        <v>205</v>
      </c>
      <c r="B158" s="508" t="s">
        <v>211</v>
      </c>
      <c r="C158" s="509" t="s">
        <v>232</v>
      </c>
      <c r="D158" s="510" t="s">
        <v>199</v>
      </c>
      <c r="E158" s="510" t="s">
        <v>200</v>
      </c>
      <c r="F158" s="509" t="s">
        <v>209</v>
      </c>
      <c r="G158" s="510" t="s">
        <v>201</v>
      </c>
      <c r="H158" s="511" t="s">
        <v>217</v>
      </c>
      <c r="I158" s="507"/>
      <c r="J158" s="507"/>
      <c r="K158" s="507"/>
      <c r="L158" s="507"/>
      <c r="M158" s="682" t="s">
        <v>450</v>
      </c>
      <c r="N158" s="683"/>
      <c r="O158" s="684"/>
    </row>
    <row r="159" spans="1:15" ht="16.5" thickBot="1" x14ac:dyDescent="0.3">
      <c r="A159" s="280" t="s">
        <v>50</v>
      </c>
      <c r="B159" s="292" t="s">
        <v>158</v>
      </c>
      <c r="C159" s="303">
        <f>126365+3078+7</f>
        <v>129450</v>
      </c>
      <c r="D159" s="303">
        <f>122300-55000</f>
        <v>67300</v>
      </c>
      <c r="E159" s="303">
        <v>7150</v>
      </c>
      <c r="F159" s="303"/>
      <c r="G159" s="303">
        <v>55000</v>
      </c>
      <c r="H159" s="512">
        <f t="shared" ref="H159:H181" si="16">SUM(D159:G159)</f>
        <v>129450</v>
      </c>
      <c r="I159" s="513">
        <f t="shared" ref="I159:I182" si="17">C159-H159</f>
        <v>0</v>
      </c>
      <c r="J159" s="507"/>
      <c r="K159" s="507"/>
      <c r="L159" s="507"/>
      <c r="M159" s="530" t="s">
        <v>451</v>
      </c>
      <c r="N159" s="531" t="s">
        <v>459</v>
      </c>
      <c r="O159" s="532" t="s">
        <v>452</v>
      </c>
    </row>
    <row r="160" spans="1:15" ht="15.75" x14ac:dyDescent="0.25">
      <c r="A160" s="283" t="s">
        <v>50</v>
      </c>
      <c r="B160" s="293" t="s">
        <v>399</v>
      </c>
      <c r="C160" s="230">
        <v>37500</v>
      </c>
      <c r="D160" s="230"/>
      <c r="E160" s="230">
        <v>37500</v>
      </c>
      <c r="F160" s="230"/>
      <c r="G160" s="230"/>
      <c r="H160" s="514">
        <f t="shared" si="16"/>
        <v>37500</v>
      </c>
      <c r="I160" s="513">
        <f t="shared" si="17"/>
        <v>0</v>
      </c>
      <c r="J160" s="507"/>
      <c r="K160" s="507"/>
      <c r="L160" s="507"/>
      <c r="M160" s="523" t="s">
        <v>454</v>
      </c>
      <c r="N160" s="536">
        <f>800+200+410</f>
        <v>1410</v>
      </c>
      <c r="O160" s="525" t="s">
        <v>477</v>
      </c>
    </row>
    <row r="161" spans="1:15" ht="16.5" thickBot="1" x14ac:dyDescent="0.3">
      <c r="A161" s="281" t="s">
        <v>50</v>
      </c>
      <c r="B161" s="294" t="s">
        <v>244</v>
      </c>
      <c r="C161" s="228">
        <f>37600-11160</f>
        <v>26440</v>
      </c>
      <c r="D161" s="228"/>
      <c r="E161" s="228">
        <v>26440</v>
      </c>
      <c r="F161" s="228"/>
      <c r="G161" s="228">
        <v>0</v>
      </c>
      <c r="H161" s="515">
        <f t="shared" si="16"/>
        <v>26440</v>
      </c>
      <c r="I161" s="513">
        <f t="shared" si="17"/>
        <v>0</v>
      </c>
      <c r="J161" s="507"/>
      <c r="K161" s="507"/>
      <c r="L161" s="507"/>
      <c r="M161" s="523" t="s">
        <v>473</v>
      </c>
      <c r="N161" s="536">
        <v>2250</v>
      </c>
      <c r="O161" s="525" t="s">
        <v>469</v>
      </c>
    </row>
    <row r="162" spans="1:15" ht="15.75" x14ac:dyDescent="0.25">
      <c r="A162" s="280" t="s">
        <v>62</v>
      </c>
      <c r="B162" s="292" t="s">
        <v>245</v>
      </c>
      <c r="C162" s="303">
        <v>30000</v>
      </c>
      <c r="D162" s="303"/>
      <c r="E162" s="303"/>
      <c r="F162" s="303"/>
      <c r="G162" s="303">
        <v>30000</v>
      </c>
      <c r="H162" s="538">
        <f t="shared" si="16"/>
        <v>30000</v>
      </c>
      <c r="I162" s="513">
        <f t="shared" si="17"/>
        <v>0</v>
      </c>
      <c r="J162" s="507"/>
      <c r="K162" s="507"/>
      <c r="L162" s="507"/>
      <c r="M162" s="523" t="s">
        <v>372</v>
      </c>
      <c r="N162" s="536">
        <v>100</v>
      </c>
      <c r="O162" s="525" t="s">
        <v>469</v>
      </c>
    </row>
    <row r="163" spans="1:15" ht="16.5" thickBot="1" x14ac:dyDescent="0.3">
      <c r="A163" s="281" t="s">
        <v>64</v>
      </c>
      <c r="B163" s="294" t="s">
        <v>465</v>
      </c>
      <c r="C163" s="484">
        <f>45000-45000</f>
        <v>0</v>
      </c>
      <c r="D163" s="484">
        <f>42000-42000</f>
        <v>0</v>
      </c>
      <c r="E163" s="228"/>
      <c r="F163" s="228"/>
      <c r="G163" s="484">
        <f>3000-3000</f>
        <v>0</v>
      </c>
      <c r="H163" s="515">
        <f t="shared" si="16"/>
        <v>0</v>
      </c>
      <c r="I163" s="513">
        <f t="shared" si="17"/>
        <v>0</v>
      </c>
      <c r="J163" s="507"/>
      <c r="K163" s="507"/>
      <c r="L163" s="507"/>
      <c r="M163" s="526" t="s">
        <v>474</v>
      </c>
      <c r="N163" s="544">
        <v>1350</v>
      </c>
      <c r="O163" s="525" t="s">
        <v>469</v>
      </c>
    </row>
    <row r="164" spans="1:15" ht="15.75" x14ac:dyDescent="0.25">
      <c r="A164" s="282" t="s">
        <v>69</v>
      </c>
      <c r="B164" s="295" t="s">
        <v>186</v>
      </c>
      <c r="C164" s="229">
        <v>6870</v>
      </c>
      <c r="D164" s="229"/>
      <c r="E164" s="229">
        <v>6870</v>
      </c>
      <c r="F164" s="229"/>
      <c r="G164" s="229"/>
      <c r="H164" s="512">
        <f t="shared" si="16"/>
        <v>6870</v>
      </c>
      <c r="I164" s="513">
        <f t="shared" si="17"/>
        <v>0</v>
      </c>
      <c r="J164" s="507"/>
      <c r="K164" s="507"/>
      <c r="L164" s="507"/>
      <c r="M164" s="523" t="s">
        <v>455</v>
      </c>
      <c r="N164" s="544">
        <v>2930</v>
      </c>
      <c r="O164" s="527" t="s">
        <v>475</v>
      </c>
    </row>
    <row r="165" spans="1:15" ht="16.5" thickBot="1" x14ac:dyDescent="0.3">
      <c r="A165" s="281" t="s">
        <v>71</v>
      </c>
      <c r="B165" s="294" t="s">
        <v>255</v>
      </c>
      <c r="C165" s="228">
        <v>5000</v>
      </c>
      <c r="D165" s="228"/>
      <c r="E165" s="228"/>
      <c r="F165" s="228"/>
      <c r="G165" s="228">
        <v>5000</v>
      </c>
      <c r="H165" s="515">
        <f t="shared" si="16"/>
        <v>5000</v>
      </c>
      <c r="I165" s="513">
        <f t="shared" si="17"/>
        <v>0</v>
      </c>
      <c r="J165" s="507"/>
      <c r="K165" s="507"/>
      <c r="L165" s="507"/>
      <c r="M165" s="523" t="s">
        <v>476</v>
      </c>
      <c r="N165" s="544">
        <f>120+270</f>
        <v>390</v>
      </c>
      <c r="O165" s="527" t="s">
        <v>469</v>
      </c>
    </row>
    <row r="166" spans="1:15" ht="15.75" x14ac:dyDescent="0.25">
      <c r="A166" s="282" t="s">
        <v>77</v>
      </c>
      <c r="B166" s="299" t="s">
        <v>164</v>
      </c>
      <c r="C166" s="229">
        <f>206000-2300</f>
        <v>203700</v>
      </c>
      <c r="D166" s="229">
        <f>195000-1500</f>
        <v>193500</v>
      </c>
      <c r="E166" s="229">
        <v>10200</v>
      </c>
      <c r="F166" s="229"/>
      <c r="G166" s="229">
        <v>0</v>
      </c>
      <c r="H166" s="512">
        <f t="shared" si="16"/>
        <v>203700</v>
      </c>
      <c r="I166" s="513">
        <f t="shared" si="17"/>
        <v>0</v>
      </c>
      <c r="J166" s="507"/>
      <c r="K166" s="507"/>
      <c r="L166" s="507"/>
      <c r="M166" s="552" t="s">
        <v>481</v>
      </c>
      <c r="N166" s="553">
        <f>10000-1800</f>
        <v>8200</v>
      </c>
      <c r="O166" s="527"/>
    </row>
    <row r="167" spans="1:15" ht="16.5" thickBot="1" x14ac:dyDescent="0.3">
      <c r="A167" s="281" t="s">
        <v>81</v>
      </c>
      <c r="B167" s="298" t="s">
        <v>251</v>
      </c>
      <c r="C167" s="228">
        <v>10000</v>
      </c>
      <c r="D167" s="228"/>
      <c r="E167" s="228"/>
      <c r="F167" s="228"/>
      <c r="G167" s="228">
        <v>10000</v>
      </c>
      <c r="H167" s="515">
        <f t="shared" si="16"/>
        <v>10000</v>
      </c>
      <c r="I167" s="513">
        <f t="shared" si="17"/>
        <v>0</v>
      </c>
      <c r="J167" s="507"/>
      <c r="K167" s="507"/>
      <c r="L167" s="507"/>
      <c r="M167" s="545" t="s">
        <v>479</v>
      </c>
      <c r="N167" s="546">
        <f>SUM(N160:N166)</f>
        <v>16630</v>
      </c>
      <c r="O167" s="547"/>
    </row>
    <row r="168" spans="1:15" ht="15.75" x14ac:dyDescent="0.25">
      <c r="A168" s="284" t="s">
        <v>132</v>
      </c>
      <c r="B168" s="297" t="s">
        <v>159</v>
      </c>
      <c r="C168" s="232">
        <v>6000</v>
      </c>
      <c r="D168" s="232"/>
      <c r="E168" s="232">
        <v>1000</v>
      </c>
      <c r="F168" s="232">
        <v>3000</v>
      </c>
      <c r="G168" s="232">
        <v>2000</v>
      </c>
      <c r="H168" s="512">
        <f t="shared" si="16"/>
        <v>6000</v>
      </c>
      <c r="I168" s="513">
        <f t="shared" si="17"/>
        <v>0</v>
      </c>
      <c r="J168" s="507"/>
      <c r="K168" s="507"/>
      <c r="L168" s="507"/>
      <c r="M168" s="523" t="s">
        <v>454</v>
      </c>
      <c r="N168" s="536">
        <v>2000</v>
      </c>
      <c r="O168" s="529"/>
    </row>
    <row r="169" spans="1:15" ht="15.75" x14ac:dyDescent="0.25">
      <c r="A169" s="285" t="s">
        <v>132</v>
      </c>
      <c r="B169" s="296" t="s">
        <v>215</v>
      </c>
      <c r="C169" s="230">
        <v>61630</v>
      </c>
      <c r="D169" s="230"/>
      <c r="E169" s="230">
        <f>8100+330+10000-1800</f>
        <v>16630</v>
      </c>
      <c r="F169" s="230"/>
      <c r="G169" s="488">
        <f>42000+3000</f>
        <v>45000</v>
      </c>
      <c r="H169" s="514">
        <f t="shared" si="16"/>
        <v>61630</v>
      </c>
      <c r="I169" s="513">
        <f t="shared" si="17"/>
        <v>0</v>
      </c>
      <c r="J169" s="507"/>
      <c r="K169" s="507"/>
      <c r="L169" s="507"/>
      <c r="M169" s="528" t="s">
        <v>453</v>
      </c>
      <c r="N169" s="535">
        <v>3000</v>
      </c>
      <c r="O169" s="529"/>
    </row>
    <row r="170" spans="1:15" ht="15.75" x14ac:dyDescent="0.25">
      <c r="A170" s="285" t="s">
        <v>83</v>
      </c>
      <c r="B170" s="296" t="s">
        <v>219</v>
      </c>
      <c r="C170" s="230">
        <v>2000</v>
      </c>
      <c r="D170" s="230"/>
      <c r="E170" s="230"/>
      <c r="F170" s="230"/>
      <c r="G170" s="230">
        <v>2000</v>
      </c>
      <c r="H170" s="514">
        <f t="shared" si="16"/>
        <v>2000</v>
      </c>
      <c r="I170" s="513">
        <f t="shared" si="17"/>
        <v>0</v>
      </c>
      <c r="J170" s="507"/>
      <c r="K170" s="507"/>
      <c r="L170" s="507"/>
      <c r="M170" s="523" t="s">
        <v>456</v>
      </c>
      <c r="N170" s="536">
        <v>6000</v>
      </c>
      <c r="O170" s="524"/>
    </row>
    <row r="171" spans="1:15" ht="15.75" x14ac:dyDescent="0.25">
      <c r="A171" s="285" t="s">
        <v>83</v>
      </c>
      <c r="B171" s="296" t="s">
        <v>256</v>
      </c>
      <c r="C171" s="230">
        <v>10000</v>
      </c>
      <c r="D171" s="230"/>
      <c r="E171" s="230"/>
      <c r="F171" s="230"/>
      <c r="G171" s="230">
        <v>10000</v>
      </c>
      <c r="H171" s="514">
        <f t="shared" si="16"/>
        <v>10000</v>
      </c>
      <c r="I171" s="513">
        <f t="shared" si="17"/>
        <v>0</v>
      </c>
      <c r="J171" s="507"/>
      <c r="K171" s="507"/>
      <c r="L171" s="507"/>
      <c r="M171" s="523" t="s">
        <v>457</v>
      </c>
      <c r="N171" s="536">
        <v>2000</v>
      </c>
      <c r="O171" s="524"/>
    </row>
    <row r="172" spans="1:15" ht="15.75" x14ac:dyDescent="0.25">
      <c r="A172" s="285" t="s">
        <v>83</v>
      </c>
      <c r="B172" s="296" t="s">
        <v>221</v>
      </c>
      <c r="C172" s="230">
        <f>34730+1800</f>
        <v>36530</v>
      </c>
      <c r="D172" s="230"/>
      <c r="E172" s="230">
        <f>34730+1800</f>
        <v>36530</v>
      </c>
      <c r="F172" s="230"/>
      <c r="G172" s="230">
        <v>0</v>
      </c>
      <c r="H172" s="514">
        <f t="shared" si="16"/>
        <v>36530</v>
      </c>
      <c r="I172" s="513">
        <f t="shared" si="17"/>
        <v>0</v>
      </c>
      <c r="J172" s="507"/>
      <c r="K172" s="507"/>
      <c r="L172" s="507"/>
      <c r="M172" s="562" t="s">
        <v>458</v>
      </c>
      <c r="N172" s="563">
        <f>29000+3000</f>
        <v>32000</v>
      </c>
      <c r="O172" s="524"/>
    </row>
    <row r="173" spans="1:15" ht="16.5" thickBot="1" x14ac:dyDescent="0.3">
      <c r="A173" s="286" t="s">
        <v>85</v>
      </c>
      <c r="B173" s="298" t="s">
        <v>194</v>
      </c>
      <c r="C173" s="228">
        <v>10000</v>
      </c>
      <c r="D173" s="228"/>
      <c r="E173" s="228"/>
      <c r="F173" s="228"/>
      <c r="G173" s="228">
        <v>10000</v>
      </c>
      <c r="H173" s="515">
        <f t="shared" si="16"/>
        <v>10000</v>
      </c>
      <c r="I173" s="513">
        <f t="shared" si="17"/>
        <v>0</v>
      </c>
      <c r="J173" s="507"/>
      <c r="K173" s="507"/>
      <c r="L173" s="507"/>
      <c r="M173" s="548" t="s">
        <v>478</v>
      </c>
      <c r="N173" s="549">
        <f>SUM(N168:N172)</f>
        <v>45000</v>
      </c>
      <c r="O173" s="550"/>
    </row>
    <row r="174" spans="1:15" ht="16.5" thickBot="1" x14ac:dyDescent="0.3">
      <c r="A174" s="287" t="s">
        <v>97</v>
      </c>
      <c r="B174" s="299" t="s">
        <v>171</v>
      </c>
      <c r="C174" s="229">
        <v>31000</v>
      </c>
      <c r="D174" s="229"/>
      <c r="E174" s="229"/>
      <c r="F174" s="229"/>
      <c r="G174" s="229">
        <v>31000</v>
      </c>
      <c r="H174" s="512">
        <f t="shared" si="16"/>
        <v>31000</v>
      </c>
      <c r="I174" s="513">
        <f t="shared" si="17"/>
        <v>0</v>
      </c>
      <c r="J174" s="507"/>
      <c r="K174" s="507"/>
      <c r="L174" s="507"/>
      <c r="M174" s="533" t="s">
        <v>470</v>
      </c>
      <c r="N174" s="537">
        <f>N167+N173</f>
        <v>61630</v>
      </c>
      <c r="O174" s="534"/>
    </row>
    <row r="175" spans="1:15" x14ac:dyDescent="0.25">
      <c r="A175" s="288" t="s">
        <v>97</v>
      </c>
      <c r="B175" s="300" t="s">
        <v>193</v>
      </c>
      <c r="C175" s="233">
        <v>20000</v>
      </c>
      <c r="D175" s="233"/>
      <c r="E175" s="233"/>
      <c r="F175" s="233"/>
      <c r="G175" s="233">
        <v>20000</v>
      </c>
      <c r="H175" s="514">
        <f t="shared" si="16"/>
        <v>20000</v>
      </c>
      <c r="I175" s="513">
        <f t="shared" si="17"/>
        <v>0</v>
      </c>
      <c r="J175" s="507"/>
      <c r="K175" s="507"/>
      <c r="L175" s="507"/>
      <c r="M175" s="507"/>
      <c r="N175" s="551"/>
      <c r="O175" s="507"/>
    </row>
    <row r="176" spans="1:15" ht="15.75" x14ac:dyDescent="0.25">
      <c r="A176" s="288" t="s">
        <v>97</v>
      </c>
      <c r="B176" s="300" t="s">
        <v>498</v>
      </c>
      <c r="C176" s="233">
        <v>3300</v>
      </c>
      <c r="D176" s="233"/>
      <c r="E176" s="233"/>
      <c r="F176" s="233">
        <v>3300</v>
      </c>
      <c r="G176" s="233"/>
      <c r="H176" s="514">
        <f t="shared" si="16"/>
        <v>3300</v>
      </c>
      <c r="I176" s="513">
        <f t="shared" si="17"/>
        <v>0</v>
      </c>
      <c r="J176" s="507"/>
      <c r="K176" s="507"/>
      <c r="L176" s="507"/>
      <c r="M176" s="517"/>
      <c r="N176" s="507"/>
      <c r="O176" s="507"/>
    </row>
    <row r="177" spans="1:15" x14ac:dyDescent="0.25">
      <c r="A177" s="285" t="s">
        <v>102</v>
      </c>
      <c r="B177" s="293" t="s">
        <v>341</v>
      </c>
      <c r="C177" s="230">
        <v>45000</v>
      </c>
      <c r="D177" s="230"/>
      <c r="E177" s="230"/>
      <c r="F177" s="230"/>
      <c r="G177" s="230">
        <v>45000</v>
      </c>
      <c r="H177" s="514">
        <f t="shared" si="16"/>
        <v>45000</v>
      </c>
      <c r="I177" s="513">
        <f t="shared" si="17"/>
        <v>0</v>
      </c>
      <c r="J177" s="507"/>
      <c r="K177" s="507"/>
      <c r="L177" s="507"/>
      <c r="M177" s="507"/>
      <c r="N177" s="507"/>
      <c r="O177" s="507"/>
    </row>
    <row r="178" spans="1:15" ht="15.75" thickBot="1" x14ac:dyDescent="0.3">
      <c r="A178" s="285" t="s">
        <v>102</v>
      </c>
      <c r="B178" s="293" t="s">
        <v>342</v>
      </c>
      <c r="C178" s="230">
        <v>35000</v>
      </c>
      <c r="D178" s="230"/>
      <c r="E178" s="230"/>
      <c r="F178" s="230"/>
      <c r="G178" s="231">
        <v>35000</v>
      </c>
      <c r="H178" s="516">
        <f t="shared" si="16"/>
        <v>35000</v>
      </c>
      <c r="I178" s="513">
        <f t="shared" si="17"/>
        <v>0</v>
      </c>
      <c r="J178" s="507"/>
      <c r="K178" s="507"/>
      <c r="L178" s="507"/>
      <c r="M178" s="507"/>
      <c r="N178" s="507"/>
      <c r="O178" s="507"/>
    </row>
    <row r="179" spans="1:15" x14ac:dyDescent="0.25">
      <c r="A179" s="289" t="s">
        <v>106</v>
      </c>
      <c r="B179" s="292" t="s">
        <v>165</v>
      </c>
      <c r="C179" s="303">
        <v>127000</v>
      </c>
      <c r="D179" s="303">
        <f>114850-73350+12150</f>
        <v>53650</v>
      </c>
      <c r="E179" s="303">
        <f>6400+5750+73350-12150</f>
        <v>73350</v>
      </c>
      <c r="F179" s="303"/>
      <c r="G179" s="229"/>
      <c r="H179" s="512">
        <f t="shared" si="16"/>
        <v>127000</v>
      </c>
      <c r="I179" s="513">
        <f t="shared" si="17"/>
        <v>0</v>
      </c>
      <c r="J179" s="507"/>
      <c r="K179" s="507"/>
      <c r="L179" s="507"/>
      <c r="M179" s="507"/>
      <c r="N179" s="507"/>
      <c r="O179" s="507"/>
    </row>
    <row r="180" spans="1:15" ht="15.75" thickBot="1" x14ac:dyDescent="0.3">
      <c r="A180" s="290" t="s">
        <v>115</v>
      </c>
      <c r="B180" s="301" t="s">
        <v>343</v>
      </c>
      <c r="C180" s="231">
        <f>2400+1200</f>
        <v>3600</v>
      </c>
      <c r="D180" s="231"/>
      <c r="E180" s="231">
        <v>3600</v>
      </c>
      <c r="F180" s="231"/>
      <c r="G180" s="228"/>
      <c r="H180" s="515">
        <f t="shared" si="16"/>
        <v>3600</v>
      </c>
      <c r="I180" s="513">
        <f t="shared" si="17"/>
        <v>0</v>
      </c>
      <c r="J180" s="507"/>
      <c r="K180" s="507"/>
      <c r="L180" s="507"/>
      <c r="M180" s="507"/>
      <c r="N180" s="507"/>
      <c r="O180" s="507"/>
    </row>
    <row r="181" spans="1:15" ht="15.75" thickBot="1" x14ac:dyDescent="0.3">
      <c r="A181" s="285" t="s">
        <v>248</v>
      </c>
      <c r="B181" s="293" t="s">
        <v>247</v>
      </c>
      <c r="C181" s="230">
        <v>204300</v>
      </c>
      <c r="D181" s="230">
        <v>202070</v>
      </c>
      <c r="E181" s="230">
        <v>2230</v>
      </c>
      <c r="F181" s="230"/>
      <c r="G181" s="230"/>
      <c r="H181" s="514">
        <f t="shared" si="16"/>
        <v>204300</v>
      </c>
      <c r="I181" s="513">
        <f t="shared" si="17"/>
        <v>0</v>
      </c>
      <c r="J181" s="507"/>
      <c r="K181" s="507"/>
      <c r="L181" s="507"/>
      <c r="M181" s="507"/>
      <c r="N181" s="507"/>
      <c r="O181" s="507"/>
    </row>
    <row r="182" spans="1:15" ht="15.75" thickBot="1" x14ac:dyDescent="0.3">
      <c r="A182" s="679" t="s">
        <v>202</v>
      </c>
      <c r="B182" s="680"/>
      <c r="C182" s="518">
        <f t="shared" ref="C182:G182" si="18">SUM(C159:C181)</f>
        <v>1044320</v>
      </c>
      <c r="D182" s="518">
        <f t="shared" si="18"/>
        <v>516520</v>
      </c>
      <c r="E182" s="518">
        <f t="shared" si="18"/>
        <v>221500</v>
      </c>
      <c r="F182" s="518">
        <f t="shared" si="18"/>
        <v>6300</v>
      </c>
      <c r="G182" s="518">
        <f t="shared" si="18"/>
        <v>300000</v>
      </c>
      <c r="H182" s="519">
        <f t="shared" ref="H182" si="19">SUM(H159:H181)</f>
        <v>1044320</v>
      </c>
      <c r="I182" s="513">
        <f t="shared" si="17"/>
        <v>0</v>
      </c>
      <c r="J182" s="507"/>
      <c r="K182" s="507"/>
      <c r="L182" s="507"/>
      <c r="M182" s="507"/>
      <c r="N182" s="507"/>
      <c r="O182" s="507"/>
    </row>
    <row r="183" spans="1:15" x14ac:dyDescent="0.25">
      <c r="A183" s="507"/>
      <c r="B183" s="507"/>
      <c r="C183" s="507"/>
      <c r="D183" s="507"/>
      <c r="E183" s="336">
        <v>221500</v>
      </c>
      <c r="F183" s="507"/>
      <c r="G183" s="520">
        <v>300000</v>
      </c>
      <c r="H183" s="507"/>
      <c r="I183" s="507"/>
      <c r="J183" s="507"/>
      <c r="K183" s="507"/>
      <c r="L183" s="507"/>
      <c r="M183" s="507"/>
      <c r="N183" s="507"/>
      <c r="O183" s="507"/>
    </row>
    <row r="184" spans="1:15" x14ac:dyDescent="0.25">
      <c r="A184" s="507"/>
      <c r="B184" s="507"/>
      <c r="C184" s="507"/>
      <c r="D184" s="521"/>
      <c r="E184" s="520">
        <f>E183-E182</f>
        <v>0</v>
      </c>
      <c r="F184" s="507"/>
      <c r="G184" s="521">
        <f>G183-G182</f>
        <v>0</v>
      </c>
      <c r="H184" s="507"/>
      <c r="I184" s="507"/>
      <c r="J184" s="507"/>
      <c r="K184" s="507"/>
      <c r="L184" s="507"/>
      <c r="M184" s="507"/>
      <c r="N184" s="507"/>
      <c r="O184" s="507"/>
    </row>
    <row r="185" spans="1:15" x14ac:dyDescent="0.25">
      <c r="A185" s="522"/>
      <c r="B185" s="240" t="s">
        <v>218</v>
      </c>
      <c r="C185" s="507"/>
      <c r="D185" s="507"/>
      <c r="E185" s="507"/>
      <c r="F185" s="507"/>
      <c r="G185" s="507"/>
      <c r="H185" s="507"/>
      <c r="I185" s="507"/>
      <c r="J185" s="507"/>
      <c r="K185" s="507"/>
      <c r="L185" s="507"/>
      <c r="M185" s="507"/>
      <c r="N185" s="507"/>
      <c r="O185" s="507"/>
    </row>
    <row r="186" spans="1:15" x14ac:dyDescent="0.25">
      <c r="A186" s="507"/>
      <c r="B186" s="507"/>
      <c r="C186" s="507"/>
      <c r="D186" s="507"/>
      <c r="E186" s="507"/>
      <c r="F186" s="507"/>
      <c r="G186" s="507"/>
      <c r="H186" s="507"/>
      <c r="I186" s="507"/>
      <c r="J186" s="507"/>
      <c r="K186" s="507"/>
      <c r="M186" s="507"/>
      <c r="N186" s="507"/>
      <c r="O186" s="507"/>
    </row>
    <row r="187" spans="1:15" x14ac:dyDescent="0.25">
      <c r="A187" s="507"/>
      <c r="B187" s="507" t="s">
        <v>155</v>
      </c>
      <c r="C187" s="507"/>
      <c r="D187" s="507"/>
      <c r="E187" s="507"/>
      <c r="F187" s="507"/>
      <c r="G187" s="507"/>
      <c r="H187" s="507"/>
      <c r="I187" s="507"/>
      <c r="J187" s="507"/>
      <c r="M187" s="507"/>
      <c r="N187" s="507"/>
      <c r="O187" s="507"/>
    </row>
    <row r="188" spans="1:15" x14ac:dyDescent="0.25">
      <c r="A188" s="507"/>
      <c r="B188" s="507" t="s">
        <v>550</v>
      </c>
      <c r="C188" s="507"/>
      <c r="D188" s="507"/>
      <c r="E188" s="507"/>
      <c r="F188" s="507"/>
      <c r="G188" s="507"/>
      <c r="H188" s="507"/>
      <c r="I188" s="507"/>
      <c r="M188" s="507"/>
      <c r="N188" s="507"/>
      <c r="O188" s="507"/>
    </row>
    <row r="189" spans="1:15" x14ac:dyDescent="0.25">
      <c r="M189" s="507"/>
      <c r="N189" s="507"/>
      <c r="O189" s="507"/>
    </row>
    <row r="190" spans="1:15" x14ac:dyDescent="0.25">
      <c r="M190" s="507"/>
      <c r="N190" s="507"/>
      <c r="O190" s="507"/>
    </row>
    <row r="191" spans="1:15" x14ac:dyDescent="0.25">
      <c r="M191" s="507"/>
      <c r="N191" s="507"/>
      <c r="O191" s="507"/>
    </row>
    <row r="192" spans="1:15" x14ac:dyDescent="0.25">
      <c r="M192" s="507"/>
      <c r="N192" s="507"/>
      <c r="O192" s="507"/>
    </row>
    <row r="193" spans="1:15" x14ac:dyDescent="0.25">
      <c r="J193" s="507"/>
      <c r="K193" s="507"/>
      <c r="M193" s="507"/>
      <c r="N193" s="507"/>
      <c r="O193" s="507"/>
    </row>
    <row r="194" spans="1:15" ht="18" x14ac:dyDescent="0.25">
      <c r="A194" s="678" t="s">
        <v>249</v>
      </c>
      <c r="B194" s="678"/>
      <c r="C194" s="678"/>
      <c r="D194" s="678"/>
      <c r="E194" s="678"/>
      <c r="F194" s="678"/>
      <c r="G194" s="678"/>
      <c r="H194" s="507"/>
      <c r="I194" s="507"/>
      <c r="J194" s="507"/>
      <c r="K194" s="507"/>
    </row>
    <row r="195" spans="1:15" ht="15.75" thickBot="1" x14ac:dyDescent="0.3">
      <c r="A195" s="507"/>
      <c r="B195" s="507"/>
      <c r="C195" s="507"/>
      <c r="D195" s="507"/>
      <c r="E195" s="507"/>
      <c r="F195" s="507"/>
      <c r="G195" s="507"/>
      <c r="H195" s="507"/>
      <c r="I195" s="507"/>
      <c r="J195" s="507"/>
      <c r="K195" s="507"/>
    </row>
    <row r="196" spans="1:15" ht="30.75" thickBot="1" x14ac:dyDescent="0.3">
      <c r="A196" s="508" t="s">
        <v>205</v>
      </c>
      <c r="B196" s="508" t="s">
        <v>211</v>
      </c>
      <c r="C196" s="509" t="s">
        <v>232</v>
      </c>
      <c r="D196" s="510" t="s">
        <v>199</v>
      </c>
      <c r="E196" s="510" t="s">
        <v>200</v>
      </c>
      <c r="F196" s="509" t="s">
        <v>209</v>
      </c>
      <c r="G196" s="510" t="s">
        <v>201</v>
      </c>
      <c r="H196" s="511" t="s">
        <v>217</v>
      </c>
      <c r="I196" s="507"/>
      <c r="J196" s="507"/>
      <c r="K196" s="507"/>
    </row>
    <row r="197" spans="1:15" x14ac:dyDescent="0.25">
      <c r="A197" s="280" t="s">
        <v>50</v>
      </c>
      <c r="B197" s="292" t="s">
        <v>158</v>
      </c>
      <c r="C197" s="303">
        <f>126365+3078+7</f>
        <v>129450</v>
      </c>
      <c r="D197" s="486">
        <f>122300-55000</f>
        <v>67300</v>
      </c>
      <c r="E197" s="303">
        <v>7150</v>
      </c>
      <c r="F197" s="303"/>
      <c r="G197" s="486">
        <v>55000</v>
      </c>
      <c r="H197" s="512">
        <f t="shared" ref="H197:H219" si="20">SUM(D197:G197)</f>
        <v>129450</v>
      </c>
      <c r="I197" s="513">
        <f t="shared" ref="I197:I220" si="21">C197-H197</f>
        <v>0</v>
      </c>
      <c r="J197" s="507"/>
      <c r="K197" s="507"/>
    </row>
    <row r="198" spans="1:15" x14ac:dyDescent="0.25">
      <c r="A198" s="283" t="s">
        <v>50</v>
      </c>
      <c r="B198" s="293" t="s">
        <v>399</v>
      </c>
      <c r="C198" s="488">
        <v>37500</v>
      </c>
      <c r="D198" s="230"/>
      <c r="E198" s="488">
        <v>37500</v>
      </c>
      <c r="F198" s="230"/>
      <c r="G198" s="230"/>
      <c r="H198" s="514">
        <f t="shared" si="20"/>
        <v>37500</v>
      </c>
      <c r="I198" s="513">
        <f t="shared" si="21"/>
        <v>0</v>
      </c>
      <c r="J198" s="507"/>
      <c r="K198" s="507"/>
    </row>
    <row r="199" spans="1:15" ht="15.75" thickBot="1" x14ac:dyDescent="0.3">
      <c r="A199" s="281" t="s">
        <v>50</v>
      </c>
      <c r="B199" s="294" t="s">
        <v>244</v>
      </c>
      <c r="C199" s="228">
        <f>37600-11160</f>
        <v>26440</v>
      </c>
      <c r="D199" s="228"/>
      <c r="E199" s="228">
        <v>26440</v>
      </c>
      <c r="F199" s="228"/>
      <c r="G199" s="228">
        <v>0</v>
      </c>
      <c r="H199" s="515">
        <f t="shared" si="20"/>
        <v>26440</v>
      </c>
      <c r="I199" s="513">
        <f t="shared" si="21"/>
        <v>0</v>
      </c>
      <c r="J199" s="507"/>
      <c r="K199" s="507"/>
    </row>
    <row r="200" spans="1:15" x14ac:dyDescent="0.25">
      <c r="A200" s="280" t="s">
        <v>62</v>
      </c>
      <c r="B200" s="292" t="s">
        <v>245</v>
      </c>
      <c r="C200" s="303">
        <v>30000</v>
      </c>
      <c r="D200" s="303"/>
      <c r="E200" s="303"/>
      <c r="F200" s="303"/>
      <c r="G200" s="303">
        <v>30000</v>
      </c>
      <c r="H200" s="538">
        <f t="shared" si="20"/>
        <v>30000</v>
      </c>
      <c r="I200" s="513">
        <f t="shared" si="21"/>
        <v>0</v>
      </c>
      <c r="J200" s="507"/>
      <c r="K200" s="507"/>
    </row>
    <row r="201" spans="1:15" ht="15.75" thickBot="1" x14ac:dyDescent="0.3">
      <c r="A201" s="281" t="s">
        <v>64</v>
      </c>
      <c r="B201" s="294" t="s">
        <v>465</v>
      </c>
      <c r="C201" s="484">
        <v>45000</v>
      </c>
      <c r="D201" s="484">
        <v>42000</v>
      </c>
      <c r="E201" s="228"/>
      <c r="F201" s="228"/>
      <c r="G201" s="484">
        <v>3000</v>
      </c>
      <c r="H201" s="515">
        <f t="shared" si="20"/>
        <v>45000</v>
      </c>
      <c r="I201" s="513">
        <f t="shared" si="21"/>
        <v>0</v>
      </c>
      <c r="J201" s="507"/>
      <c r="K201" s="507"/>
    </row>
    <row r="202" spans="1:15" x14ac:dyDescent="0.25">
      <c r="A202" s="282" t="s">
        <v>69</v>
      </c>
      <c r="B202" s="295" t="s">
        <v>186</v>
      </c>
      <c r="C202" s="229">
        <v>6870</v>
      </c>
      <c r="D202" s="229"/>
      <c r="E202" s="229">
        <v>6870</v>
      </c>
      <c r="F202" s="229"/>
      <c r="G202" s="229"/>
      <c r="H202" s="512">
        <f t="shared" si="20"/>
        <v>6870</v>
      </c>
      <c r="I202" s="513">
        <f t="shared" si="21"/>
        <v>0</v>
      </c>
      <c r="J202" s="507"/>
      <c r="K202" s="507"/>
    </row>
    <row r="203" spans="1:15" ht="15.75" thickBot="1" x14ac:dyDescent="0.3">
      <c r="A203" s="281" t="s">
        <v>71</v>
      </c>
      <c r="B203" s="294" t="s">
        <v>255</v>
      </c>
      <c r="C203" s="228">
        <v>5000</v>
      </c>
      <c r="D203" s="228"/>
      <c r="E203" s="228"/>
      <c r="F203" s="228"/>
      <c r="G203" s="228">
        <v>5000</v>
      </c>
      <c r="H203" s="515">
        <f t="shared" si="20"/>
        <v>5000</v>
      </c>
      <c r="I203" s="513">
        <f t="shared" si="21"/>
        <v>0</v>
      </c>
      <c r="J203" s="507"/>
      <c r="K203" s="507"/>
    </row>
    <row r="204" spans="1:15" x14ac:dyDescent="0.25">
      <c r="A204" s="282" t="s">
        <v>77</v>
      </c>
      <c r="B204" s="299" t="s">
        <v>164</v>
      </c>
      <c r="C204" s="503">
        <f>206000-2300</f>
        <v>203700</v>
      </c>
      <c r="D204" s="503">
        <f>195000-1500</f>
        <v>193500</v>
      </c>
      <c r="E204" s="503">
        <v>10200</v>
      </c>
      <c r="F204" s="229"/>
      <c r="G204" s="229">
        <v>0</v>
      </c>
      <c r="H204" s="512">
        <f t="shared" si="20"/>
        <v>203700</v>
      </c>
      <c r="I204" s="513">
        <f t="shared" si="21"/>
        <v>0</v>
      </c>
      <c r="J204" s="507"/>
      <c r="K204" s="507"/>
    </row>
    <row r="205" spans="1:15" ht="15.75" thickBot="1" x14ac:dyDescent="0.3">
      <c r="A205" s="281" t="s">
        <v>81</v>
      </c>
      <c r="B205" s="298" t="s">
        <v>251</v>
      </c>
      <c r="C205" s="228">
        <v>10000</v>
      </c>
      <c r="D205" s="228"/>
      <c r="E205" s="228"/>
      <c r="F205" s="228"/>
      <c r="G205" s="228">
        <v>10000</v>
      </c>
      <c r="H205" s="515">
        <f t="shared" si="20"/>
        <v>10000</v>
      </c>
      <c r="I205" s="513">
        <f t="shared" si="21"/>
        <v>0</v>
      </c>
      <c r="J205" s="507"/>
      <c r="K205" s="507"/>
    </row>
    <row r="206" spans="1:15" x14ac:dyDescent="0.25">
      <c r="A206" s="284" t="s">
        <v>132</v>
      </c>
      <c r="B206" s="297" t="s">
        <v>159</v>
      </c>
      <c r="C206" s="232">
        <v>6000</v>
      </c>
      <c r="D206" s="232"/>
      <c r="E206" s="498">
        <v>1000</v>
      </c>
      <c r="F206" s="498">
        <v>3000</v>
      </c>
      <c r="G206" s="498">
        <v>2000</v>
      </c>
      <c r="H206" s="512">
        <f t="shared" si="20"/>
        <v>6000</v>
      </c>
      <c r="I206" s="513">
        <f t="shared" si="21"/>
        <v>0</v>
      </c>
      <c r="J206" s="507"/>
      <c r="K206" s="507"/>
    </row>
    <row r="207" spans="1:15" x14ac:dyDescent="0.25">
      <c r="A207" s="285" t="s">
        <v>132</v>
      </c>
      <c r="B207" s="296" t="s">
        <v>215</v>
      </c>
      <c r="C207" s="488">
        <f>60430-1800</f>
        <v>58630</v>
      </c>
      <c r="D207" s="230"/>
      <c r="E207" s="488">
        <f>8100+330+10000-1800</f>
        <v>16630</v>
      </c>
      <c r="F207" s="230"/>
      <c r="G207" s="488">
        <v>42000</v>
      </c>
      <c r="H207" s="514">
        <f t="shared" si="20"/>
        <v>58630</v>
      </c>
      <c r="I207" s="513">
        <f t="shared" si="21"/>
        <v>0</v>
      </c>
      <c r="J207" s="507"/>
      <c r="K207" s="507"/>
    </row>
    <row r="208" spans="1:15" x14ac:dyDescent="0.25">
      <c r="A208" s="285" t="s">
        <v>83</v>
      </c>
      <c r="B208" s="296" t="s">
        <v>219</v>
      </c>
      <c r="C208" s="230">
        <v>2000</v>
      </c>
      <c r="D208" s="230"/>
      <c r="E208" s="230"/>
      <c r="F208" s="230"/>
      <c r="G208" s="230">
        <v>2000</v>
      </c>
      <c r="H208" s="514">
        <f t="shared" si="20"/>
        <v>2000</v>
      </c>
      <c r="I208" s="513">
        <f t="shared" si="21"/>
        <v>0</v>
      </c>
      <c r="J208" s="507"/>
      <c r="K208" s="507"/>
    </row>
    <row r="209" spans="1:11" x14ac:dyDescent="0.25">
      <c r="A209" s="285" t="s">
        <v>83</v>
      </c>
      <c r="B209" s="296" t="s">
        <v>256</v>
      </c>
      <c r="C209" s="230">
        <v>10000</v>
      </c>
      <c r="D209" s="230"/>
      <c r="E209" s="230"/>
      <c r="F209" s="230"/>
      <c r="G209" s="230">
        <v>10000</v>
      </c>
      <c r="H209" s="514">
        <f t="shared" si="20"/>
        <v>10000</v>
      </c>
      <c r="I209" s="513">
        <f t="shared" si="21"/>
        <v>0</v>
      </c>
      <c r="J209" s="507"/>
      <c r="K209" s="507"/>
    </row>
    <row r="210" spans="1:11" x14ac:dyDescent="0.25">
      <c r="A210" s="285" t="s">
        <v>83</v>
      </c>
      <c r="B210" s="296" t="s">
        <v>221</v>
      </c>
      <c r="C210" s="488">
        <f>34730+1800</f>
        <v>36530</v>
      </c>
      <c r="D210" s="230"/>
      <c r="E210" s="488">
        <f>34730+1800</f>
        <v>36530</v>
      </c>
      <c r="F210" s="230"/>
      <c r="G210" s="230">
        <v>0</v>
      </c>
      <c r="H210" s="514">
        <f t="shared" si="20"/>
        <v>36530</v>
      </c>
      <c r="I210" s="513">
        <f t="shared" si="21"/>
        <v>0</v>
      </c>
      <c r="J210" s="507"/>
      <c r="K210" s="507"/>
    </row>
    <row r="211" spans="1:11" ht="15.75" thickBot="1" x14ac:dyDescent="0.3">
      <c r="A211" s="286" t="s">
        <v>85</v>
      </c>
      <c r="B211" s="298" t="s">
        <v>194</v>
      </c>
      <c r="C211" s="228">
        <v>10000</v>
      </c>
      <c r="D211" s="228"/>
      <c r="E211" s="228"/>
      <c r="F211" s="228"/>
      <c r="G211" s="228">
        <v>10000</v>
      </c>
      <c r="H211" s="515">
        <f t="shared" si="20"/>
        <v>10000</v>
      </c>
      <c r="I211" s="513">
        <f t="shared" si="21"/>
        <v>0</v>
      </c>
      <c r="J211" s="507"/>
      <c r="K211" s="507"/>
    </row>
    <row r="212" spans="1:11" x14ac:dyDescent="0.25">
      <c r="A212" s="287" t="s">
        <v>97</v>
      </c>
      <c r="B212" s="299" t="s">
        <v>171</v>
      </c>
      <c r="C212" s="229">
        <v>31000</v>
      </c>
      <c r="D212" s="229"/>
      <c r="E212" s="229"/>
      <c r="F212" s="229"/>
      <c r="G212" s="229">
        <v>31000</v>
      </c>
      <c r="H212" s="512">
        <f t="shared" si="20"/>
        <v>31000</v>
      </c>
      <c r="I212" s="513">
        <f t="shared" si="21"/>
        <v>0</v>
      </c>
      <c r="J212" s="507"/>
      <c r="K212" s="507"/>
    </row>
    <row r="213" spans="1:11" x14ac:dyDescent="0.25">
      <c r="A213" s="288" t="s">
        <v>97</v>
      </c>
      <c r="B213" s="300" t="s">
        <v>193</v>
      </c>
      <c r="C213" s="233">
        <v>20000</v>
      </c>
      <c r="D213" s="233"/>
      <c r="E213" s="233"/>
      <c r="F213" s="233"/>
      <c r="G213" s="233">
        <v>20000</v>
      </c>
      <c r="H213" s="514">
        <f t="shared" si="20"/>
        <v>20000</v>
      </c>
      <c r="I213" s="513">
        <f t="shared" si="21"/>
        <v>0</v>
      </c>
      <c r="J213" s="507"/>
      <c r="K213" s="507"/>
    </row>
    <row r="214" spans="1:11" x14ac:dyDescent="0.25">
      <c r="A214" s="288" t="s">
        <v>97</v>
      </c>
      <c r="B214" s="300" t="s">
        <v>498</v>
      </c>
      <c r="C214" s="554">
        <v>3300</v>
      </c>
      <c r="D214" s="233"/>
      <c r="E214" s="233"/>
      <c r="F214" s="554">
        <v>3300</v>
      </c>
      <c r="G214" s="233"/>
      <c r="H214" s="514">
        <f t="shared" si="20"/>
        <v>3300</v>
      </c>
      <c r="I214" s="513">
        <f t="shared" si="21"/>
        <v>0</v>
      </c>
      <c r="J214" s="507"/>
      <c r="K214" s="507"/>
    </row>
    <row r="215" spans="1:11" x14ac:dyDescent="0.25">
      <c r="A215" s="285" t="s">
        <v>102</v>
      </c>
      <c r="B215" s="293" t="s">
        <v>341</v>
      </c>
      <c r="C215" s="230">
        <v>45000</v>
      </c>
      <c r="D215" s="230"/>
      <c r="E215" s="230"/>
      <c r="F215" s="230"/>
      <c r="G215" s="230">
        <v>45000</v>
      </c>
      <c r="H215" s="514">
        <f t="shared" si="20"/>
        <v>45000</v>
      </c>
      <c r="I215" s="513">
        <f t="shared" si="21"/>
        <v>0</v>
      </c>
      <c r="J215" s="507"/>
      <c r="K215" s="507"/>
    </row>
    <row r="216" spans="1:11" ht="15.75" thickBot="1" x14ac:dyDescent="0.3">
      <c r="A216" s="285" t="s">
        <v>102</v>
      </c>
      <c r="B216" s="293" t="s">
        <v>342</v>
      </c>
      <c r="C216" s="230">
        <v>35000</v>
      </c>
      <c r="D216" s="230"/>
      <c r="E216" s="230"/>
      <c r="F216" s="230"/>
      <c r="G216" s="231">
        <v>35000</v>
      </c>
      <c r="H216" s="516">
        <f t="shared" si="20"/>
        <v>35000</v>
      </c>
      <c r="I216" s="513">
        <f t="shared" si="21"/>
        <v>0</v>
      </c>
      <c r="J216" s="507"/>
      <c r="K216" s="507"/>
    </row>
    <row r="217" spans="1:11" x14ac:dyDescent="0.25">
      <c r="A217" s="289" t="s">
        <v>106</v>
      </c>
      <c r="B217" s="292" t="s">
        <v>165</v>
      </c>
      <c r="C217" s="303">
        <v>127000</v>
      </c>
      <c r="D217" s="486">
        <f>114850-73350+12150</f>
        <v>53650</v>
      </c>
      <c r="E217" s="486">
        <f>6400+5750+73350-12150</f>
        <v>73350</v>
      </c>
      <c r="F217" s="303"/>
      <c r="G217" s="229"/>
      <c r="H217" s="512">
        <f t="shared" si="20"/>
        <v>127000</v>
      </c>
      <c r="I217" s="513">
        <f t="shared" si="21"/>
        <v>0</v>
      </c>
      <c r="J217" s="507"/>
      <c r="K217" s="507"/>
    </row>
    <row r="218" spans="1:11" ht="15.75" thickBot="1" x14ac:dyDescent="0.3">
      <c r="A218" s="290" t="s">
        <v>115</v>
      </c>
      <c r="B218" s="301" t="s">
        <v>343</v>
      </c>
      <c r="C218" s="231">
        <f>2400+1200</f>
        <v>3600</v>
      </c>
      <c r="D218" s="231"/>
      <c r="E218" s="231">
        <v>3600</v>
      </c>
      <c r="F218" s="231"/>
      <c r="G218" s="228"/>
      <c r="H218" s="515">
        <f t="shared" si="20"/>
        <v>3600</v>
      </c>
      <c r="I218" s="513">
        <f t="shared" si="21"/>
        <v>0</v>
      </c>
      <c r="J218" s="507"/>
      <c r="K218" s="507"/>
    </row>
    <row r="219" spans="1:11" ht="15.75" thickBot="1" x14ac:dyDescent="0.3">
      <c r="A219" s="285" t="s">
        <v>248</v>
      </c>
      <c r="B219" s="293" t="s">
        <v>247</v>
      </c>
      <c r="C219" s="230">
        <v>204300</v>
      </c>
      <c r="D219" s="230">
        <v>202070</v>
      </c>
      <c r="E219" s="230">
        <v>2230</v>
      </c>
      <c r="F219" s="230"/>
      <c r="G219" s="230"/>
      <c r="H219" s="514">
        <f t="shared" si="20"/>
        <v>204300</v>
      </c>
      <c r="I219" s="513">
        <f t="shared" si="21"/>
        <v>0</v>
      </c>
      <c r="J219" s="507"/>
      <c r="K219" s="507"/>
    </row>
    <row r="220" spans="1:11" ht="15.75" thickBot="1" x14ac:dyDescent="0.3">
      <c r="A220" s="679" t="s">
        <v>202</v>
      </c>
      <c r="B220" s="680"/>
      <c r="C220" s="518">
        <f t="shared" ref="C220:H220" si="22">SUM(C197:C219)</f>
        <v>1086320</v>
      </c>
      <c r="D220" s="518">
        <f t="shared" si="22"/>
        <v>558520</v>
      </c>
      <c r="E220" s="518">
        <f t="shared" si="22"/>
        <v>221500</v>
      </c>
      <c r="F220" s="518">
        <f t="shared" si="22"/>
        <v>6300</v>
      </c>
      <c r="G220" s="518">
        <f t="shared" si="22"/>
        <v>300000</v>
      </c>
      <c r="H220" s="519">
        <f t="shared" si="22"/>
        <v>1086320</v>
      </c>
      <c r="I220" s="513">
        <f t="shared" si="21"/>
        <v>0</v>
      </c>
      <c r="J220" s="507"/>
      <c r="K220" s="507"/>
    </row>
    <row r="221" spans="1:11" x14ac:dyDescent="0.25">
      <c r="A221" s="507"/>
      <c r="B221" s="507"/>
      <c r="C221" s="507"/>
      <c r="D221" s="507"/>
      <c r="E221" s="336">
        <v>221500</v>
      </c>
      <c r="F221" s="507"/>
      <c r="G221" s="520">
        <v>300000</v>
      </c>
      <c r="H221" s="507"/>
      <c r="I221" s="507"/>
      <c r="J221" s="507"/>
      <c r="K221" s="507"/>
    </row>
    <row r="222" spans="1:11" x14ac:dyDescent="0.25">
      <c r="A222" s="507"/>
      <c r="B222" s="507"/>
      <c r="C222" s="507"/>
      <c r="D222" s="521"/>
      <c r="E222" s="520">
        <f>E221-E220</f>
        <v>0</v>
      </c>
      <c r="F222" s="507"/>
      <c r="G222" s="521">
        <f>G221-G220</f>
        <v>0</v>
      </c>
      <c r="H222" s="507"/>
      <c r="I222" s="507"/>
      <c r="J222" s="507"/>
      <c r="K222" s="507"/>
    </row>
    <row r="223" spans="1:11" x14ac:dyDescent="0.25">
      <c r="A223" s="522"/>
      <c r="B223" s="240" t="s">
        <v>218</v>
      </c>
      <c r="C223" s="507"/>
      <c r="D223" s="507"/>
      <c r="E223" s="507"/>
      <c r="F223" s="507"/>
      <c r="G223" s="507"/>
      <c r="H223" s="507"/>
      <c r="I223" s="507"/>
      <c r="J223" s="507"/>
      <c r="K223" s="507"/>
    </row>
    <row r="224" spans="1:11" x14ac:dyDescent="0.25">
      <c r="A224" s="507"/>
      <c r="B224" s="507"/>
      <c r="C224" s="507"/>
      <c r="D224" s="507"/>
      <c r="E224" s="507"/>
      <c r="F224" s="507"/>
      <c r="G224" s="507"/>
      <c r="H224" s="507"/>
      <c r="I224" s="507"/>
      <c r="J224" s="507"/>
      <c r="K224" s="507"/>
    </row>
    <row r="225" spans="1:10" x14ac:dyDescent="0.25">
      <c r="A225" s="507"/>
      <c r="B225" s="507" t="s">
        <v>155</v>
      </c>
      <c r="C225" s="507"/>
      <c r="D225" s="507"/>
      <c r="E225" s="507"/>
      <c r="F225" s="507"/>
      <c r="G225" s="507"/>
      <c r="H225" s="507"/>
      <c r="I225" s="507"/>
      <c r="J225" s="507"/>
    </row>
    <row r="226" spans="1:10" x14ac:dyDescent="0.25">
      <c r="A226" s="507"/>
      <c r="B226" s="507" t="s">
        <v>482</v>
      </c>
      <c r="C226" s="507"/>
      <c r="D226" s="507"/>
      <c r="E226" s="507"/>
      <c r="F226" s="507"/>
      <c r="G226" s="507"/>
      <c r="H226" s="507"/>
      <c r="I226" s="507"/>
    </row>
    <row r="230" spans="1:10" ht="18.75" x14ac:dyDescent="0.3">
      <c r="A230" s="681" t="s">
        <v>249</v>
      </c>
      <c r="B230" s="681"/>
      <c r="C230" s="681"/>
      <c r="D230" s="681"/>
      <c r="E230" s="681"/>
      <c r="F230" s="681"/>
      <c r="G230" s="681"/>
    </row>
    <row r="231" spans="1:10" ht="15.75" thickBot="1" x14ac:dyDescent="0.3"/>
    <row r="232" spans="1:10" ht="30.75" thickBot="1" x14ac:dyDescent="0.3">
      <c r="A232" s="272" t="s">
        <v>205</v>
      </c>
      <c r="B232" s="272" t="s">
        <v>211</v>
      </c>
      <c r="C232" s="302" t="s">
        <v>232</v>
      </c>
      <c r="D232" s="276" t="s">
        <v>199</v>
      </c>
      <c r="E232" s="276" t="s">
        <v>200</v>
      </c>
      <c r="F232" s="302" t="s">
        <v>209</v>
      </c>
      <c r="G232" s="276" t="s">
        <v>201</v>
      </c>
      <c r="H232" s="348" t="s">
        <v>217</v>
      </c>
    </row>
    <row r="233" spans="1:10" x14ac:dyDescent="0.25">
      <c r="A233" s="280" t="s">
        <v>50</v>
      </c>
      <c r="B233" s="292" t="s">
        <v>158</v>
      </c>
      <c r="C233" s="303">
        <f>126365+3078+7</f>
        <v>129450</v>
      </c>
      <c r="D233" s="303">
        <v>122300</v>
      </c>
      <c r="E233" s="303">
        <v>7150</v>
      </c>
      <c r="F233" s="303"/>
      <c r="G233" s="303"/>
      <c r="H233" s="349">
        <f t="shared" ref="H233:H253" si="23">SUM(D233:G233)</f>
        <v>129450</v>
      </c>
      <c r="I233" s="258">
        <f t="shared" ref="I233:I254" si="24">C233-H233</f>
        <v>0</v>
      </c>
    </row>
    <row r="234" spans="1:10" x14ac:dyDescent="0.25">
      <c r="A234" s="283" t="s">
        <v>50</v>
      </c>
      <c r="B234" s="293" t="s">
        <v>399</v>
      </c>
      <c r="C234" s="488">
        <f>15000+29000</f>
        <v>44000</v>
      </c>
      <c r="D234" s="230"/>
      <c r="E234" s="230"/>
      <c r="F234" s="230"/>
      <c r="G234" s="494">
        <v>44000</v>
      </c>
      <c r="H234" s="350">
        <f t="shared" si="23"/>
        <v>44000</v>
      </c>
      <c r="I234" s="258">
        <f t="shared" si="24"/>
        <v>0</v>
      </c>
    </row>
    <row r="235" spans="1:10" ht="15.75" thickBot="1" x14ac:dyDescent="0.3">
      <c r="A235" s="281" t="s">
        <v>50</v>
      </c>
      <c r="B235" s="294" t="s">
        <v>244</v>
      </c>
      <c r="C235" s="484">
        <f>37600-11160</f>
        <v>26440</v>
      </c>
      <c r="D235" s="228"/>
      <c r="E235" s="484">
        <v>26440</v>
      </c>
      <c r="F235" s="228"/>
      <c r="G235" s="484">
        <v>0</v>
      </c>
      <c r="H235" s="351">
        <f t="shared" si="23"/>
        <v>26440</v>
      </c>
      <c r="I235" s="258">
        <f t="shared" si="24"/>
        <v>0</v>
      </c>
    </row>
    <row r="236" spans="1:10" ht="15.75" thickBot="1" x14ac:dyDescent="0.3">
      <c r="A236" s="340" t="s">
        <v>62</v>
      </c>
      <c r="B236" s="301" t="s">
        <v>245</v>
      </c>
      <c r="C236" s="231">
        <v>30000</v>
      </c>
      <c r="D236" s="231"/>
      <c r="E236" s="231"/>
      <c r="F236" s="231"/>
      <c r="G236" s="231">
        <v>30000</v>
      </c>
      <c r="H236" s="352">
        <f t="shared" si="23"/>
        <v>30000</v>
      </c>
      <c r="I236" s="258">
        <f t="shared" si="24"/>
        <v>0</v>
      </c>
    </row>
    <row r="237" spans="1:10" x14ac:dyDescent="0.25">
      <c r="A237" s="282" t="s">
        <v>69</v>
      </c>
      <c r="B237" s="295" t="s">
        <v>186</v>
      </c>
      <c r="C237" s="229">
        <v>6870</v>
      </c>
      <c r="D237" s="229"/>
      <c r="E237" s="229">
        <v>6870</v>
      </c>
      <c r="F237" s="229"/>
      <c r="G237" s="229"/>
      <c r="H237" s="349">
        <f t="shared" si="23"/>
        <v>6870</v>
      </c>
      <c r="I237" s="258">
        <f t="shared" si="24"/>
        <v>0</v>
      </c>
    </row>
    <row r="238" spans="1:10" ht="15.75" thickBot="1" x14ac:dyDescent="0.3">
      <c r="A238" s="281" t="s">
        <v>71</v>
      </c>
      <c r="B238" s="294" t="s">
        <v>255</v>
      </c>
      <c r="C238" s="228">
        <v>5000</v>
      </c>
      <c r="D238" s="228"/>
      <c r="E238" s="228"/>
      <c r="F238" s="228"/>
      <c r="G238" s="228">
        <v>5000</v>
      </c>
      <c r="H238" s="351">
        <f t="shared" si="23"/>
        <v>5000</v>
      </c>
      <c r="I238" s="258">
        <f t="shared" si="24"/>
        <v>0</v>
      </c>
    </row>
    <row r="239" spans="1:10" x14ac:dyDescent="0.25">
      <c r="A239" s="282" t="s">
        <v>77</v>
      </c>
      <c r="B239" s="299" t="s">
        <v>164</v>
      </c>
      <c r="C239" s="229">
        <v>206000</v>
      </c>
      <c r="D239" s="229">
        <v>195000</v>
      </c>
      <c r="E239" s="229"/>
      <c r="F239" s="229"/>
      <c r="G239" s="495">
        <v>11000</v>
      </c>
      <c r="H239" s="349">
        <f t="shared" si="23"/>
        <v>206000</v>
      </c>
      <c r="I239" s="258">
        <f t="shared" si="24"/>
        <v>0</v>
      </c>
    </row>
    <row r="240" spans="1:10" ht="15.75" thickBot="1" x14ac:dyDescent="0.3">
      <c r="A240" s="281" t="s">
        <v>81</v>
      </c>
      <c r="B240" s="298" t="s">
        <v>251</v>
      </c>
      <c r="C240" s="228">
        <v>10000</v>
      </c>
      <c r="D240" s="228"/>
      <c r="E240" s="228"/>
      <c r="F240" s="228"/>
      <c r="G240" s="228">
        <v>10000</v>
      </c>
      <c r="H240" s="351">
        <f t="shared" si="23"/>
        <v>10000</v>
      </c>
      <c r="I240" s="258">
        <f t="shared" si="24"/>
        <v>0</v>
      </c>
    </row>
    <row r="241" spans="1:9" x14ac:dyDescent="0.25">
      <c r="A241" s="284" t="s">
        <v>132</v>
      </c>
      <c r="B241" s="297" t="s">
        <v>159</v>
      </c>
      <c r="C241" s="232">
        <v>6000</v>
      </c>
      <c r="D241" s="232"/>
      <c r="E241" s="498">
        <v>0</v>
      </c>
      <c r="F241" s="232">
        <v>1000</v>
      </c>
      <c r="G241" s="498">
        <v>5000</v>
      </c>
      <c r="H241" s="349">
        <f t="shared" si="23"/>
        <v>6000</v>
      </c>
      <c r="I241" s="258">
        <f t="shared" si="24"/>
        <v>0</v>
      </c>
    </row>
    <row r="242" spans="1:9" x14ac:dyDescent="0.25">
      <c r="A242" s="285" t="s">
        <v>132</v>
      </c>
      <c r="B242" s="296" t="s">
        <v>215</v>
      </c>
      <c r="C242" s="488">
        <f>66670-17840</f>
        <v>48830</v>
      </c>
      <c r="D242" s="230"/>
      <c r="E242" s="488">
        <f>25400-23570+5000</f>
        <v>6830</v>
      </c>
      <c r="F242" s="230"/>
      <c r="G242" s="488">
        <f>41270+23570-17840-5000</f>
        <v>42000</v>
      </c>
      <c r="H242" s="350">
        <f t="shared" si="23"/>
        <v>48830</v>
      </c>
      <c r="I242" s="258">
        <f t="shared" si="24"/>
        <v>0</v>
      </c>
    </row>
    <row r="243" spans="1:9" x14ac:dyDescent="0.25">
      <c r="A243" s="285" t="s">
        <v>83</v>
      </c>
      <c r="B243" s="296" t="s">
        <v>219</v>
      </c>
      <c r="C243" s="230">
        <v>2000</v>
      </c>
      <c r="D243" s="230"/>
      <c r="E243" s="230"/>
      <c r="F243" s="230"/>
      <c r="G243" s="230">
        <v>2000</v>
      </c>
      <c r="H243" s="350">
        <f t="shared" si="23"/>
        <v>2000</v>
      </c>
      <c r="I243" s="258">
        <f t="shared" si="24"/>
        <v>0</v>
      </c>
    </row>
    <row r="244" spans="1:9" x14ac:dyDescent="0.25">
      <c r="A244" s="285" t="s">
        <v>83</v>
      </c>
      <c r="B244" s="296" t="s">
        <v>256</v>
      </c>
      <c r="C244" s="230">
        <v>10000</v>
      </c>
      <c r="D244" s="230"/>
      <c r="E244" s="230"/>
      <c r="F244" s="230"/>
      <c r="G244" s="230">
        <v>10000</v>
      </c>
      <c r="H244" s="350">
        <f t="shared" si="23"/>
        <v>10000</v>
      </c>
      <c r="I244" s="258">
        <f t="shared" si="24"/>
        <v>0</v>
      </c>
    </row>
    <row r="245" spans="1:9" x14ac:dyDescent="0.25">
      <c r="A245" s="285" t="s">
        <v>83</v>
      </c>
      <c r="B245" s="296" t="s">
        <v>221</v>
      </c>
      <c r="C245" s="230">
        <v>34730</v>
      </c>
      <c r="D245" s="230"/>
      <c r="E245" s="488">
        <v>34730</v>
      </c>
      <c r="F245" s="230"/>
      <c r="G245" s="488">
        <v>0</v>
      </c>
      <c r="H245" s="350">
        <f t="shared" si="23"/>
        <v>34730</v>
      </c>
      <c r="I245" s="258">
        <f t="shared" si="24"/>
        <v>0</v>
      </c>
    </row>
    <row r="246" spans="1:9" ht="15.75" thickBot="1" x14ac:dyDescent="0.3">
      <c r="A246" s="286" t="s">
        <v>85</v>
      </c>
      <c r="B246" s="298" t="s">
        <v>194</v>
      </c>
      <c r="C246" s="228">
        <v>10000</v>
      </c>
      <c r="D246" s="228"/>
      <c r="E246" s="228"/>
      <c r="F246" s="228"/>
      <c r="G246" s="228">
        <v>10000</v>
      </c>
      <c r="H246" s="351">
        <f t="shared" si="23"/>
        <v>10000</v>
      </c>
      <c r="I246" s="258">
        <f t="shared" si="24"/>
        <v>0</v>
      </c>
    </row>
    <row r="247" spans="1:9" x14ac:dyDescent="0.25">
      <c r="A247" s="287" t="s">
        <v>97</v>
      </c>
      <c r="B247" s="299" t="s">
        <v>171</v>
      </c>
      <c r="C247" s="229">
        <v>31000</v>
      </c>
      <c r="D247" s="229"/>
      <c r="E247" s="229"/>
      <c r="F247" s="229"/>
      <c r="G247" s="229">
        <v>31000</v>
      </c>
      <c r="H247" s="349">
        <f t="shared" si="23"/>
        <v>31000</v>
      </c>
      <c r="I247" s="258">
        <f t="shared" si="24"/>
        <v>0</v>
      </c>
    </row>
    <row r="248" spans="1:9" x14ac:dyDescent="0.25">
      <c r="A248" s="288" t="s">
        <v>97</v>
      </c>
      <c r="B248" s="300" t="s">
        <v>193</v>
      </c>
      <c r="C248" s="233">
        <v>20000</v>
      </c>
      <c r="D248" s="233"/>
      <c r="E248" s="233"/>
      <c r="F248" s="233"/>
      <c r="G248" s="233">
        <v>20000</v>
      </c>
      <c r="H248" s="350">
        <f t="shared" si="23"/>
        <v>20000</v>
      </c>
      <c r="I248" s="258">
        <f t="shared" si="24"/>
        <v>0</v>
      </c>
    </row>
    <row r="249" spans="1:9" ht="15.75" thickBot="1" x14ac:dyDescent="0.3">
      <c r="A249" s="285" t="s">
        <v>102</v>
      </c>
      <c r="B249" s="293" t="s">
        <v>341</v>
      </c>
      <c r="C249" s="230">
        <v>45000</v>
      </c>
      <c r="D249" s="230"/>
      <c r="E249" s="230"/>
      <c r="F249" s="230"/>
      <c r="G249" s="228">
        <v>45000</v>
      </c>
      <c r="H249" s="351">
        <f t="shared" si="23"/>
        <v>45000</v>
      </c>
      <c r="I249" s="258">
        <f t="shared" si="24"/>
        <v>0</v>
      </c>
    </row>
    <row r="250" spans="1:9" ht="15.75" thickBot="1" x14ac:dyDescent="0.3">
      <c r="A250" s="285" t="s">
        <v>102</v>
      </c>
      <c r="B250" s="293" t="s">
        <v>342</v>
      </c>
      <c r="C250" s="230">
        <v>35000</v>
      </c>
      <c r="D250" s="230"/>
      <c r="E250" s="230"/>
      <c r="F250" s="230"/>
      <c r="G250" s="228">
        <v>35000</v>
      </c>
      <c r="H250" s="351">
        <f t="shared" si="23"/>
        <v>35000</v>
      </c>
      <c r="I250" s="258">
        <f t="shared" si="24"/>
        <v>0</v>
      </c>
    </row>
    <row r="251" spans="1:9" x14ac:dyDescent="0.25">
      <c r="A251" s="289" t="s">
        <v>106</v>
      </c>
      <c r="B251" s="292" t="s">
        <v>165</v>
      </c>
      <c r="C251" s="303">
        <v>127000</v>
      </c>
      <c r="D251" s="303">
        <v>114850</v>
      </c>
      <c r="E251" s="303">
        <f>6400+5750</f>
        <v>12150</v>
      </c>
      <c r="F251" s="303"/>
      <c r="G251" s="229"/>
      <c r="H251" s="349">
        <f t="shared" si="23"/>
        <v>127000</v>
      </c>
      <c r="I251" s="258">
        <f t="shared" si="24"/>
        <v>0</v>
      </c>
    </row>
    <row r="252" spans="1:9" ht="15.75" thickBot="1" x14ac:dyDescent="0.3">
      <c r="A252" s="290" t="s">
        <v>115</v>
      </c>
      <c r="B252" s="301" t="s">
        <v>343</v>
      </c>
      <c r="C252" s="231">
        <f>2400+1200</f>
        <v>3600</v>
      </c>
      <c r="D252" s="231"/>
      <c r="E252" s="231">
        <v>3600</v>
      </c>
      <c r="F252" s="231"/>
      <c r="G252" s="228"/>
      <c r="H252" s="351">
        <f t="shared" si="23"/>
        <v>3600</v>
      </c>
      <c r="I252" s="258">
        <f t="shared" si="24"/>
        <v>0</v>
      </c>
    </row>
    <row r="253" spans="1:9" ht="15.75" thickBot="1" x14ac:dyDescent="0.3">
      <c r="A253" s="285" t="s">
        <v>248</v>
      </c>
      <c r="B253" s="293" t="s">
        <v>247</v>
      </c>
      <c r="C253" s="230">
        <v>204300</v>
      </c>
      <c r="D253" s="230">
        <v>202070</v>
      </c>
      <c r="E253" s="230">
        <v>2230</v>
      </c>
      <c r="F253" s="230"/>
      <c r="G253" s="230"/>
      <c r="H253" s="350">
        <f t="shared" si="23"/>
        <v>204300</v>
      </c>
      <c r="I253" s="258">
        <f t="shared" si="24"/>
        <v>0</v>
      </c>
    </row>
    <row r="254" spans="1:9" ht="15.75" thickBot="1" x14ac:dyDescent="0.3">
      <c r="A254" s="679" t="s">
        <v>202</v>
      </c>
      <c r="B254" s="680"/>
      <c r="C254" s="291">
        <f t="shared" ref="C254:H254" si="25">SUM(C233:C253)</f>
        <v>1035220</v>
      </c>
      <c r="D254" s="291">
        <f t="shared" si="25"/>
        <v>634220</v>
      </c>
      <c r="E254" s="291">
        <f t="shared" si="25"/>
        <v>100000</v>
      </c>
      <c r="F254" s="291">
        <f t="shared" si="25"/>
        <v>1000</v>
      </c>
      <c r="G254" s="291">
        <f t="shared" si="25"/>
        <v>300000</v>
      </c>
      <c r="H254" s="353">
        <f t="shared" si="25"/>
        <v>1035220</v>
      </c>
      <c r="I254" s="258">
        <f t="shared" si="24"/>
        <v>0</v>
      </c>
    </row>
    <row r="255" spans="1:9" x14ac:dyDescent="0.25">
      <c r="E255" s="336">
        <v>100000</v>
      </c>
      <c r="G255" s="257">
        <v>300000</v>
      </c>
    </row>
    <row r="256" spans="1:9" x14ac:dyDescent="0.25">
      <c r="E256" s="433">
        <f>E255-E254</f>
        <v>0</v>
      </c>
    </row>
    <row r="257" spans="1:10" x14ac:dyDescent="0.25">
      <c r="A257" s="239"/>
      <c r="B257" s="240" t="s">
        <v>218</v>
      </c>
    </row>
    <row r="259" spans="1:10" x14ac:dyDescent="0.25">
      <c r="B259" t="s">
        <v>155</v>
      </c>
    </row>
    <row r="260" spans="1:10" x14ac:dyDescent="0.25">
      <c r="B260" t="s">
        <v>429</v>
      </c>
    </row>
    <row r="264" spans="1:10" ht="18.75" x14ac:dyDescent="0.3">
      <c r="A264" s="681" t="s">
        <v>249</v>
      </c>
      <c r="B264" s="681"/>
      <c r="C264" s="681"/>
      <c r="D264" s="681"/>
      <c r="E264" s="681"/>
      <c r="F264" s="681"/>
      <c r="G264" s="681"/>
    </row>
    <row r="265" spans="1:10" ht="15.75" thickBot="1" x14ac:dyDescent="0.3"/>
    <row r="266" spans="1:10" ht="30.75" thickBot="1" x14ac:dyDescent="0.3">
      <c r="A266" s="272" t="s">
        <v>205</v>
      </c>
      <c r="B266" s="272" t="s">
        <v>211</v>
      </c>
      <c r="C266" s="302" t="s">
        <v>232</v>
      </c>
      <c r="D266" s="276" t="s">
        <v>199</v>
      </c>
      <c r="E266" s="276" t="s">
        <v>200</v>
      </c>
      <c r="F266" s="302" t="s">
        <v>209</v>
      </c>
      <c r="G266" s="276" t="s">
        <v>201</v>
      </c>
      <c r="H266" s="348" t="s">
        <v>217</v>
      </c>
      <c r="J266" s="433"/>
    </row>
    <row r="267" spans="1:10" x14ac:dyDescent="0.25">
      <c r="A267" s="280" t="s">
        <v>50</v>
      </c>
      <c r="B267" s="292" t="s">
        <v>158</v>
      </c>
      <c r="C267" s="486">
        <f>126365+3078+7</f>
        <v>129450</v>
      </c>
      <c r="D267" s="303">
        <v>122300</v>
      </c>
      <c r="E267" s="303">
        <v>7150</v>
      </c>
      <c r="F267" s="303"/>
      <c r="G267" s="303"/>
      <c r="H267" s="349">
        <f t="shared" ref="H267:H287" si="26">SUM(D267:G267)</f>
        <v>129450</v>
      </c>
      <c r="I267" s="258">
        <f t="shared" ref="I267:I288" si="27">C267-H267</f>
        <v>0</v>
      </c>
    </row>
    <row r="268" spans="1:10" x14ac:dyDescent="0.25">
      <c r="A268" s="283" t="s">
        <v>50</v>
      </c>
      <c r="B268" s="293" t="s">
        <v>258</v>
      </c>
      <c r="C268" s="230">
        <v>15000</v>
      </c>
      <c r="D268" s="230"/>
      <c r="E268" s="230">
        <v>0</v>
      </c>
      <c r="F268" s="230"/>
      <c r="G268" s="230">
        <v>15000</v>
      </c>
      <c r="H268" s="350">
        <f t="shared" si="26"/>
        <v>15000</v>
      </c>
      <c r="I268" s="258">
        <f t="shared" si="27"/>
        <v>0</v>
      </c>
    </row>
    <row r="269" spans="1:10" ht="15.75" thickBot="1" x14ac:dyDescent="0.3">
      <c r="A269" s="281" t="s">
        <v>50</v>
      </c>
      <c r="B269" s="294" t="s">
        <v>244</v>
      </c>
      <c r="C269" s="484">
        <v>37600</v>
      </c>
      <c r="D269" s="228"/>
      <c r="E269" s="228">
        <v>37600</v>
      </c>
      <c r="F269" s="228"/>
      <c r="G269" s="228">
        <v>0</v>
      </c>
      <c r="H269" s="351">
        <f t="shared" si="26"/>
        <v>37600</v>
      </c>
      <c r="I269" s="258">
        <f t="shared" si="27"/>
        <v>0</v>
      </c>
    </row>
    <row r="270" spans="1:10" ht="15.75" thickBot="1" x14ac:dyDescent="0.3">
      <c r="A270" s="340" t="s">
        <v>62</v>
      </c>
      <c r="B270" s="301" t="s">
        <v>245</v>
      </c>
      <c r="C270" s="489">
        <v>30000</v>
      </c>
      <c r="D270" s="231"/>
      <c r="E270" s="231"/>
      <c r="F270" s="231"/>
      <c r="G270" s="231">
        <v>30000</v>
      </c>
      <c r="H270" s="352">
        <f t="shared" si="26"/>
        <v>30000</v>
      </c>
      <c r="I270" s="258">
        <f t="shared" si="27"/>
        <v>0</v>
      </c>
    </row>
    <row r="271" spans="1:10" x14ac:dyDescent="0.25">
      <c r="A271" s="282" t="s">
        <v>69</v>
      </c>
      <c r="B271" s="295" t="s">
        <v>186</v>
      </c>
      <c r="C271" s="229">
        <v>6870</v>
      </c>
      <c r="D271" s="229"/>
      <c r="E271" s="229">
        <v>6870</v>
      </c>
      <c r="F271" s="229"/>
      <c r="G271" s="229"/>
      <c r="H271" s="349">
        <f t="shared" si="26"/>
        <v>6870</v>
      </c>
      <c r="I271" s="258">
        <f t="shared" si="27"/>
        <v>0</v>
      </c>
    </row>
    <row r="272" spans="1:10" ht="15.75" thickBot="1" x14ac:dyDescent="0.3">
      <c r="A272" s="281" t="s">
        <v>71</v>
      </c>
      <c r="B272" s="294" t="s">
        <v>255</v>
      </c>
      <c r="C272" s="484">
        <v>5000</v>
      </c>
      <c r="D272" s="228"/>
      <c r="E272" s="228"/>
      <c r="F272" s="228"/>
      <c r="G272" s="228">
        <v>5000</v>
      </c>
      <c r="H272" s="351">
        <f t="shared" si="26"/>
        <v>5000</v>
      </c>
      <c r="I272" s="258">
        <f t="shared" si="27"/>
        <v>0</v>
      </c>
    </row>
    <row r="273" spans="1:9" x14ac:dyDescent="0.25">
      <c r="A273" s="282" t="s">
        <v>77</v>
      </c>
      <c r="B273" s="299" t="s">
        <v>164</v>
      </c>
      <c r="C273" s="229">
        <v>206000</v>
      </c>
      <c r="D273" s="229">
        <v>195000</v>
      </c>
      <c r="E273" s="229"/>
      <c r="F273" s="229"/>
      <c r="G273" s="229">
        <v>11000</v>
      </c>
      <c r="H273" s="349">
        <f t="shared" si="26"/>
        <v>206000</v>
      </c>
      <c r="I273" s="258">
        <f t="shared" si="27"/>
        <v>0</v>
      </c>
    </row>
    <row r="274" spans="1:9" ht="15.75" thickBot="1" x14ac:dyDescent="0.3">
      <c r="A274" s="281" t="s">
        <v>81</v>
      </c>
      <c r="B274" s="298" t="s">
        <v>251</v>
      </c>
      <c r="C274" s="228">
        <v>10000</v>
      </c>
      <c r="D274" s="228"/>
      <c r="E274" s="228"/>
      <c r="F274" s="228"/>
      <c r="G274" s="228">
        <v>10000</v>
      </c>
      <c r="H274" s="351">
        <f t="shared" si="26"/>
        <v>10000</v>
      </c>
      <c r="I274" s="258">
        <f t="shared" si="27"/>
        <v>0</v>
      </c>
    </row>
    <row r="275" spans="1:9" x14ac:dyDescent="0.25">
      <c r="A275" s="284" t="s">
        <v>132</v>
      </c>
      <c r="B275" s="297" t="s">
        <v>159</v>
      </c>
      <c r="C275" s="232">
        <v>6000</v>
      </c>
      <c r="D275" s="232"/>
      <c r="E275" s="232">
        <v>5000</v>
      </c>
      <c r="F275" s="232">
        <v>1000</v>
      </c>
      <c r="G275" s="232"/>
      <c r="H275" s="349">
        <f t="shared" si="26"/>
        <v>6000</v>
      </c>
      <c r="I275" s="258">
        <f t="shared" si="27"/>
        <v>0</v>
      </c>
    </row>
    <row r="276" spans="1:9" x14ac:dyDescent="0.25">
      <c r="A276" s="285" t="s">
        <v>132</v>
      </c>
      <c r="B276" s="296" t="s">
        <v>215</v>
      </c>
      <c r="C276" s="488">
        <v>66670</v>
      </c>
      <c r="D276" s="230"/>
      <c r="E276" s="230">
        <v>25400</v>
      </c>
      <c r="F276" s="230"/>
      <c r="G276" s="230">
        <v>41270</v>
      </c>
      <c r="H276" s="350">
        <f t="shared" si="26"/>
        <v>66670</v>
      </c>
      <c r="I276" s="258">
        <f t="shared" si="27"/>
        <v>0</v>
      </c>
    </row>
    <row r="277" spans="1:9" x14ac:dyDescent="0.25">
      <c r="A277" s="285" t="s">
        <v>83</v>
      </c>
      <c r="B277" s="296" t="s">
        <v>219</v>
      </c>
      <c r="C277" s="230">
        <v>2000</v>
      </c>
      <c r="D277" s="230"/>
      <c r="E277" s="230"/>
      <c r="F277" s="230"/>
      <c r="G277" s="230">
        <v>2000</v>
      </c>
      <c r="H277" s="350">
        <f t="shared" si="26"/>
        <v>2000</v>
      </c>
      <c r="I277" s="258">
        <f t="shared" si="27"/>
        <v>0</v>
      </c>
    </row>
    <row r="278" spans="1:9" x14ac:dyDescent="0.25">
      <c r="A278" s="285" t="s">
        <v>83</v>
      </c>
      <c r="B278" s="296" t="s">
        <v>256</v>
      </c>
      <c r="C278" s="230">
        <v>10000</v>
      </c>
      <c r="D278" s="230"/>
      <c r="E278" s="230"/>
      <c r="F278" s="230"/>
      <c r="G278" s="230">
        <v>10000</v>
      </c>
      <c r="H278" s="350">
        <f t="shared" si="26"/>
        <v>10000</v>
      </c>
      <c r="I278" s="258">
        <f t="shared" si="27"/>
        <v>0</v>
      </c>
    </row>
    <row r="279" spans="1:9" x14ac:dyDescent="0.25">
      <c r="A279" s="285" t="s">
        <v>83</v>
      </c>
      <c r="B279" s="296" t="s">
        <v>221</v>
      </c>
      <c r="C279" s="488">
        <v>34730</v>
      </c>
      <c r="D279" s="230"/>
      <c r="E279" s="230"/>
      <c r="F279" s="230"/>
      <c r="G279" s="230">
        <v>34730</v>
      </c>
      <c r="H279" s="350">
        <f t="shared" si="26"/>
        <v>34730</v>
      </c>
      <c r="I279" s="258">
        <f t="shared" si="27"/>
        <v>0</v>
      </c>
    </row>
    <row r="280" spans="1:9" ht="15.75" thickBot="1" x14ac:dyDescent="0.3">
      <c r="A280" s="286" t="s">
        <v>85</v>
      </c>
      <c r="B280" s="298" t="s">
        <v>194</v>
      </c>
      <c r="C280" s="228">
        <v>10000</v>
      </c>
      <c r="D280" s="228"/>
      <c r="E280" s="228"/>
      <c r="F280" s="228"/>
      <c r="G280" s="228">
        <v>10000</v>
      </c>
      <c r="H280" s="351">
        <f t="shared" si="26"/>
        <v>10000</v>
      </c>
      <c r="I280" s="258">
        <f t="shared" si="27"/>
        <v>0</v>
      </c>
    </row>
    <row r="281" spans="1:9" x14ac:dyDescent="0.25">
      <c r="A281" s="287" t="s">
        <v>97</v>
      </c>
      <c r="B281" s="299" t="s">
        <v>171</v>
      </c>
      <c r="C281" s="229">
        <v>31000</v>
      </c>
      <c r="D281" s="229"/>
      <c r="E281" s="229"/>
      <c r="F281" s="229"/>
      <c r="G281" s="229">
        <v>31000</v>
      </c>
      <c r="H281" s="349">
        <f t="shared" si="26"/>
        <v>31000</v>
      </c>
      <c r="I281" s="258">
        <f t="shared" si="27"/>
        <v>0</v>
      </c>
    </row>
    <row r="282" spans="1:9" x14ac:dyDescent="0.25">
      <c r="A282" s="288" t="s">
        <v>97</v>
      </c>
      <c r="B282" s="300" t="s">
        <v>193</v>
      </c>
      <c r="C282" s="233">
        <v>20000</v>
      </c>
      <c r="D282" s="233"/>
      <c r="E282" s="233"/>
      <c r="F282" s="233"/>
      <c r="G282" s="233">
        <v>20000</v>
      </c>
      <c r="H282" s="350">
        <f t="shared" si="26"/>
        <v>20000</v>
      </c>
      <c r="I282" s="258">
        <f t="shared" si="27"/>
        <v>0</v>
      </c>
    </row>
    <row r="283" spans="1:9" ht="15.75" thickBot="1" x14ac:dyDescent="0.3">
      <c r="A283" s="285" t="s">
        <v>102</v>
      </c>
      <c r="B283" s="293" t="s">
        <v>341</v>
      </c>
      <c r="C283" s="230">
        <v>45000</v>
      </c>
      <c r="D283" s="230"/>
      <c r="E283" s="230"/>
      <c r="F283" s="230"/>
      <c r="G283" s="228">
        <v>45000</v>
      </c>
      <c r="H283" s="351">
        <f t="shared" si="26"/>
        <v>45000</v>
      </c>
      <c r="I283" s="258">
        <f t="shared" si="27"/>
        <v>0</v>
      </c>
    </row>
    <row r="284" spans="1:9" ht="15.75" thickBot="1" x14ac:dyDescent="0.3">
      <c r="A284" s="285" t="s">
        <v>102</v>
      </c>
      <c r="B284" s="293" t="s">
        <v>342</v>
      </c>
      <c r="C284" s="230">
        <v>35000</v>
      </c>
      <c r="D284" s="230"/>
      <c r="E284" s="230"/>
      <c r="F284" s="230"/>
      <c r="G284" s="228">
        <v>35000</v>
      </c>
      <c r="H284" s="351">
        <f t="shared" si="26"/>
        <v>35000</v>
      </c>
      <c r="I284" s="258">
        <f t="shared" si="27"/>
        <v>0</v>
      </c>
    </row>
    <row r="285" spans="1:9" x14ac:dyDescent="0.25">
      <c r="A285" s="289" t="s">
        <v>106</v>
      </c>
      <c r="B285" s="292" t="s">
        <v>165</v>
      </c>
      <c r="C285" s="486">
        <v>127000</v>
      </c>
      <c r="D285" s="303">
        <v>114850</v>
      </c>
      <c r="E285" s="303">
        <f>6400+5750</f>
        <v>12150</v>
      </c>
      <c r="F285" s="303"/>
      <c r="G285" s="229"/>
      <c r="H285" s="349">
        <f t="shared" si="26"/>
        <v>127000</v>
      </c>
      <c r="I285" s="258">
        <f t="shared" si="27"/>
        <v>0</v>
      </c>
    </row>
    <row r="286" spans="1:9" ht="15.75" thickBot="1" x14ac:dyDescent="0.3">
      <c r="A286" s="290" t="s">
        <v>115</v>
      </c>
      <c r="B286" s="301" t="s">
        <v>343</v>
      </c>
      <c r="C286" s="489">
        <f>2400+1200</f>
        <v>3600</v>
      </c>
      <c r="D286" s="231"/>
      <c r="E286" s="231">
        <v>3600</v>
      </c>
      <c r="F286" s="231"/>
      <c r="G286" s="228"/>
      <c r="H286" s="351">
        <f t="shared" si="26"/>
        <v>3600</v>
      </c>
      <c r="I286" s="258">
        <f t="shared" si="27"/>
        <v>0</v>
      </c>
    </row>
    <row r="287" spans="1:9" ht="15.75" thickBot="1" x14ac:dyDescent="0.3">
      <c r="A287" s="285" t="s">
        <v>248</v>
      </c>
      <c r="B287" s="293" t="s">
        <v>247</v>
      </c>
      <c r="C287" s="488">
        <v>204300</v>
      </c>
      <c r="D287" s="230">
        <v>202070</v>
      </c>
      <c r="E287" s="230">
        <v>2230</v>
      </c>
      <c r="F287" s="230"/>
      <c r="G287" s="230"/>
      <c r="H287" s="350">
        <f t="shared" si="26"/>
        <v>204300</v>
      </c>
      <c r="I287" s="258">
        <f t="shared" si="27"/>
        <v>0</v>
      </c>
    </row>
    <row r="288" spans="1:9" ht="15.75" thickBot="1" x14ac:dyDescent="0.3">
      <c r="A288" s="679" t="s">
        <v>202</v>
      </c>
      <c r="B288" s="680"/>
      <c r="C288" s="291">
        <f t="shared" ref="C288:H288" si="28">SUM(C267:C287)</f>
        <v>1035220</v>
      </c>
      <c r="D288" s="291">
        <f t="shared" si="28"/>
        <v>634220</v>
      </c>
      <c r="E288" s="291">
        <f t="shared" si="28"/>
        <v>100000</v>
      </c>
      <c r="F288" s="291">
        <f t="shared" si="28"/>
        <v>1000</v>
      </c>
      <c r="G288" s="291">
        <f t="shared" si="28"/>
        <v>300000</v>
      </c>
      <c r="H288" s="353">
        <f t="shared" si="28"/>
        <v>1035220</v>
      </c>
      <c r="I288" s="258">
        <f t="shared" si="27"/>
        <v>0</v>
      </c>
    </row>
    <row r="289" spans="1:9" x14ac:dyDescent="0.25">
      <c r="E289" s="336">
        <v>100000</v>
      </c>
      <c r="G289" s="257">
        <v>300000</v>
      </c>
    </row>
    <row r="290" spans="1:9" x14ac:dyDescent="0.25">
      <c r="E290" s="433">
        <f>E289-E288</f>
        <v>0</v>
      </c>
    </row>
    <row r="291" spans="1:9" x14ac:dyDescent="0.25">
      <c r="A291" s="239"/>
      <c r="B291" s="240" t="s">
        <v>218</v>
      </c>
    </row>
    <row r="293" spans="1:9" x14ac:dyDescent="0.25">
      <c r="B293" t="s">
        <v>155</v>
      </c>
    </row>
    <row r="294" spans="1:9" x14ac:dyDescent="0.25">
      <c r="B294" t="s">
        <v>398</v>
      </c>
    </row>
    <row r="298" spans="1:9" ht="18.75" x14ac:dyDescent="0.3">
      <c r="A298" s="681" t="s">
        <v>249</v>
      </c>
      <c r="B298" s="681"/>
      <c r="C298" s="681"/>
      <c r="D298" s="681"/>
      <c r="E298" s="681"/>
      <c r="F298" s="681"/>
      <c r="G298" s="681"/>
    </row>
    <row r="299" spans="1:9" ht="15.75" thickBot="1" x14ac:dyDescent="0.3"/>
    <row r="300" spans="1:9" ht="30.75" thickBot="1" x14ac:dyDescent="0.3">
      <c r="A300" s="272" t="s">
        <v>205</v>
      </c>
      <c r="B300" s="272" t="s">
        <v>211</v>
      </c>
      <c r="C300" s="302" t="s">
        <v>232</v>
      </c>
      <c r="D300" s="276" t="s">
        <v>199</v>
      </c>
      <c r="E300" s="276" t="s">
        <v>200</v>
      </c>
      <c r="F300" s="302" t="s">
        <v>209</v>
      </c>
      <c r="G300" s="276" t="s">
        <v>201</v>
      </c>
      <c r="H300" s="348" t="s">
        <v>217</v>
      </c>
    </row>
    <row r="301" spans="1:9" x14ac:dyDescent="0.25">
      <c r="A301" s="280" t="s">
        <v>50</v>
      </c>
      <c r="B301" s="292" t="s">
        <v>158</v>
      </c>
      <c r="C301" s="303">
        <v>127047</v>
      </c>
      <c r="D301" s="303">
        <f>107410+12637</f>
        <v>120047</v>
      </c>
      <c r="E301" s="303">
        <v>7000</v>
      </c>
      <c r="F301" s="303"/>
      <c r="G301" s="303"/>
      <c r="H301" s="349">
        <f t="shared" ref="H301:H320" si="29">SUM(D301:G301)</f>
        <v>127047</v>
      </c>
      <c r="I301" s="258">
        <f t="shared" ref="I301:I321" si="30">C301-H301</f>
        <v>0</v>
      </c>
    </row>
    <row r="302" spans="1:9" x14ac:dyDescent="0.25">
      <c r="A302" s="283" t="s">
        <v>50</v>
      </c>
      <c r="B302" s="293" t="s">
        <v>258</v>
      </c>
      <c r="C302" s="230">
        <v>15000</v>
      </c>
      <c r="D302" s="230"/>
      <c r="E302" s="230"/>
      <c r="F302" s="230"/>
      <c r="G302" s="230">
        <v>15000</v>
      </c>
      <c r="H302" s="350">
        <f t="shared" si="29"/>
        <v>15000</v>
      </c>
      <c r="I302" s="258">
        <f t="shared" si="30"/>
        <v>0</v>
      </c>
    </row>
    <row r="303" spans="1:9" ht="15.75" thickBot="1" x14ac:dyDescent="0.3">
      <c r="A303" s="281" t="s">
        <v>50</v>
      </c>
      <c r="B303" s="294" t="s">
        <v>244</v>
      </c>
      <c r="C303" s="228">
        <v>10000</v>
      </c>
      <c r="D303" s="228"/>
      <c r="E303" s="228"/>
      <c r="F303" s="228"/>
      <c r="G303" s="228">
        <v>10000</v>
      </c>
      <c r="H303" s="351">
        <f t="shared" si="29"/>
        <v>10000</v>
      </c>
      <c r="I303" s="258">
        <f t="shared" si="30"/>
        <v>0</v>
      </c>
    </row>
    <row r="304" spans="1:9" ht="15.75" thickBot="1" x14ac:dyDescent="0.3">
      <c r="A304" s="340" t="s">
        <v>62</v>
      </c>
      <c r="B304" s="301" t="s">
        <v>245</v>
      </c>
      <c r="C304" s="231">
        <v>10000</v>
      </c>
      <c r="D304" s="231"/>
      <c r="E304" s="231"/>
      <c r="F304" s="231"/>
      <c r="G304" s="231">
        <v>10000</v>
      </c>
      <c r="H304" s="352">
        <f t="shared" si="29"/>
        <v>10000</v>
      </c>
      <c r="I304" s="258">
        <f t="shared" si="30"/>
        <v>0</v>
      </c>
    </row>
    <row r="305" spans="1:9" x14ac:dyDescent="0.25">
      <c r="A305" s="282" t="s">
        <v>69</v>
      </c>
      <c r="B305" s="295" t="s">
        <v>186</v>
      </c>
      <c r="C305" s="229">
        <v>6870</v>
      </c>
      <c r="D305" s="229"/>
      <c r="E305" s="229">
        <v>6870</v>
      </c>
      <c r="F305" s="229"/>
      <c r="G305" s="229"/>
      <c r="H305" s="349">
        <f t="shared" si="29"/>
        <v>6870</v>
      </c>
      <c r="I305" s="258">
        <f t="shared" si="30"/>
        <v>0</v>
      </c>
    </row>
    <row r="306" spans="1:9" ht="15.75" thickBot="1" x14ac:dyDescent="0.3">
      <c r="A306" s="281" t="s">
        <v>71</v>
      </c>
      <c r="B306" s="294" t="s">
        <v>255</v>
      </c>
      <c r="C306" s="228">
        <v>30000</v>
      </c>
      <c r="D306" s="228"/>
      <c r="E306" s="228"/>
      <c r="F306" s="228"/>
      <c r="G306" s="228">
        <v>30000</v>
      </c>
      <c r="H306" s="351">
        <f t="shared" si="29"/>
        <v>30000</v>
      </c>
      <c r="I306" s="258">
        <f t="shared" si="30"/>
        <v>0</v>
      </c>
    </row>
    <row r="307" spans="1:9" x14ac:dyDescent="0.25">
      <c r="A307" s="282" t="s">
        <v>77</v>
      </c>
      <c r="B307" s="299" t="s">
        <v>164</v>
      </c>
      <c r="C307" s="229">
        <v>206000</v>
      </c>
      <c r="D307" s="229">
        <v>195000</v>
      </c>
      <c r="E307" s="229"/>
      <c r="F307" s="229"/>
      <c r="G307" s="229">
        <v>11000</v>
      </c>
      <c r="H307" s="349">
        <f t="shared" si="29"/>
        <v>206000</v>
      </c>
      <c r="I307" s="258">
        <f t="shared" si="30"/>
        <v>0</v>
      </c>
    </row>
    <row r="308" spans="1:9" ht="15.75" thickBot="1" x14ac:dyDescent="0.3">
      <c r="A308" s="281" t="s">
        <v>81</v>
      </c>
      <c r="B308" s="298" t="s">
        <v>251</v>
      </c>
      <c r="C308" s="228">
        <v>10000</v>
      </c>
      <c r="D308" s="228"/>
      <c r="E308" s="228"/>
      <c r="F308" s="228"/>
      <c r="G308" s="228">
        <v>10000</v>
      </c>
      <c r="H308" s="351">
        <f t="shared" si="29"/>
        <v>10000</v>
      </c>
      <c r="I308" s="258">
        <f t="shared" si="30"/>
        <v>0</v>
      </c>
    </row>
    <row r="309" spans="1:9" x14ac:dyDescent="0.25">
      <c r="A309" s="284" t="s">
        <v>132</v>
      </c>
      <c r="B309" s="297" t="s">
        <v>159</v>
      </c>
      <c r="C309" s="232">
        <v>6000</v>
      </c>
      <c r="D309" s="232"/>
      <c r="E309" s="232">
        <v>5000</v>
      </c>
      <c r="F309" s="232">
        <v>1000</v>
      </c>
      <c r="G309" s="232"/>
      <c r="H309" s="349">
        <f t="shared" si="29"/>
        <v>6000</v>
      </c>
      <c r="I309" s="258">
        <f t="shared" si="30"/>
        <v>0</v>
      </c>
    </row>
    <row r="310" spans="1:9" x14ac:dyDescent="0.25">
      <c r="A310" s="285" t="s">
        <v>132</v>
      </c>
      <c r="B310" s="296" t="s">
        <v>215</v>
      </c>
      <c r="C310" s="230">
        <f>110000-47910+14000-360</f>
        <v>75730</v>
      </c>
      <c r="D310" s="230"/>
      <c r="E310" s="230">
        <f>62090-360</f>
        <v>61730</v>
      </c>
      <c r="F310" s="230"/>
      <c r="G310" s="230">
        <v>14000</v>
      </c>
      <c r="H310" s="350">
        <f t="shared" si="29"/>
        <v>75730</v>
      </c>
      <c r="I310" s="258">
        <f t="shared" si="30"/>
        <v>0</v>
      </c>
    </row>
    <row r="311" spans="1:9" x14ac:dyDescent="0.25">
      <c r="A311" s="285" t="s">
        <v>83</v>
      </c>
      <c r="B311" s="296" t="s">
        <v>219</v>
      </c>
      <c r="C311" s="230">
        <v>2000</v>
      </c>
      <c r="D311" s="230"/>
      <c r="E311" s="230"/>
      <c r="F311" s="230"/>
      <c r="G311" s="230">
        <v>2000</v>
      </c>
      <c r="H311" s="350">
        <f t="shared" si="29"/>
        <v>2000</v>
      </c>
      <c r="I311" s="258">
        <f t="shared" si="30"/>
        <v>0</v>
      </c>
    </row>
    <row r="312" spans="1:9" x14ac:dyDescent="0.25">
      <c r="A312" s="285" t="s">
        <v>83</v>
      </c>
      <c r="B312" s="296" t="s">
        <v>256</v>
      </c>
      <c r="C312" s="230">
        <v>10000</v>
      </c>
      <c r="D312" s="230"/>
      <c r="E312" s="230"/>
      <c r="F312" s="230"/>
      <c r="G312" s="230">
        <v>10000</v>
      </c>
      <c r="H312" s="350">
        <f t="shared" si="29"/>
        <v>10000</v>
      </c>
      <c r="I312" s="258">
        <f t="shared" si="30"/>
        <v>0</v>
      </c>
    </row>
    <row r="313" spans="1:9" x14ac:dyDescent="0.25">
      <c r="A313" s="285" t="s">
        <v>83</v>
      </c>
      <c r="B313" s="296" t="s">
        <v>221</v>
      </c>
      <c r="C313" s="230">
        <v>47000</v>
      </c>
      <c r="D313" s="230"/>
      <c r="E313" s="230"/>
      <c r="F313" s="230"/>
      <c r="G313" s="230">
        <v>47000</v>
      </c>
      <c r="H313" s="350">
        <f t="shared" si="29"/>
        <v>47000</v>
      </c>
      <c r="I313" s="258">
        <f t="shared" si="30"/>
        <v>0</v>
      </c>
    </row>
    <row r="314" spans="1:9" ht="15.75" thickBot="1" x14ac:dyDescent="0.3">
      <c r="A314" s="286" t="s">
        <v>85</v>
      </c>
      <c r="B314" s="298" t="s">
        <v>194</v>
      </c>
      <c r="C314" s="228">
        <v>10000</v>
      </c>
      <c r="D314" s="228"/>
      <c r="E314" s="228"/>
      <c r="F314" s="228"/>
      <c r="G314" s="228">
        <v>10000</v>
      </c>
      <c r="H314" s="351">
        <f t="shared" si="29"/>
        <v>10000</v>
      </c>
      <c r="I314" s="258">
        <f t="shared" si="30"/>
        <v>0</v>
      </c>
    </row>
    <row r="315" spans="1:9" x14ac:dyDescent="0.25">
      <c r="A315" s="287" t="s">
        <v>97</v>
      </c>
      <c r="B315" s="299" t="s">
        <v>171</v>
      </c>
      <c r="C315" s="229">
        <v>31000</v>
      </c>
      <c r="D315" s="229"/>
      <c r="E315" s="229"/>
      <c r="F315" s="229"/>
      <c r="G315" s="229">
        <v>31000</v>
      </c>
      <c r="H315" s="349">
        <f t="shared" si="29"/>
        <v>31000</v>
      </c>
      <c r="I315" s="258">
        <f t="shared" si="30"/>
        <v>0</v>
      </c>
    </row>
    <row r="316" spans="1:9" x14ac:dyDescent="0.25">
      <c r="A316" s="288" t="s">
        <v>97</v>
      </c>
      <c r="B316" s="300" t="s">
        <v>193</v>
      </c>
      <c r="C316" s="233">
        <v>20000</v>
      </c>
      <c r="D316" s="233"/>
      <c r="E316" s="233"/>
      <c r="F316" s="233"/>
      <c r="G316" s="233">
        <v>20000</v>
      </c>
      <c r="H316" s="350">
        <f t="shared" si="29"/>
        <v>20000</v>
      </c>
      <c r="I316" s="258">
        <f t="shared" si="30"/>
        <v>0</v>
      </c>
    </row>
    <row r="317" spans="1:9" ht="15.75" thickBot="1" x14ac:dyDescent="0.3">
      <c r="A317" s="285" t="s">
        <v>102</v>
      </c>
      <c r="B317" s="293" t="s">
        <v>257</v>
      </c>
      <c r="C317" s="230">
        <v>80000</v>
      </c>
      <c r="D317" s="230"/>
      <c r="E317" s="230"/>
      <c r="F317" s="230"/>
      <c r="G317" s="228">
        <v>80000</v>
      </c>
      <c r="H317" s="351">
        <f t="shared" si="29"/>
        <v>80000</v>
      </c>
      <c r="I317" s="258">
        <f t="shared" si="30"/>
        <v>0</v>
      </c>
    </row>
    <row r="318" spans="1:9" x14ac:dyDescent="0.25">
      <c r="A318" s="289" t="s">
        <v>106</v>
      </c>
      <c r="B318" s="292" t="s">
        <v>165</v>
      </c>
      <c r="C318" s="303">
        <v>127800</v>
      </c>
      <c r="D318" s="303">
        <v>121400</v>
      </c>
      <c r="E318" s="303">
        <v>6400</v>
      </c>
      <c r="F318" s="303"/>
      <c r="G318" s="229"/>
      <c r="H318" s="349">
        <f t="shared" si="29"/>
        <v>127800</v>
      </c>
      <c r="I318" s="258">
        <f t="shared" si="30"/>
        <v>0</v>
      </c>
    </row>
    <row r="319" spans="1:9" ht="15.75" thickBot="1" x14ac:dyDescent="0.3">
      <c r="A319" s="290" t="s">
        <v>115</v>
      </c>
      <c r="B319" s="301" t="s">
        <v>246</v>
      </c>
      <c r="C319" s="231">
        <v>3000</v>
      </c>
      <c r="D319" s="231"/>
      <c r="E319" s="231">
        <v>3000</v>
      </c>
      <c r="F319" s="231"/>
      <c r="G319" s="228"/>
      <c r="H319" s="351">
        <f t="shared" si="29"/>
        <v>3000</v>
      </c>
      <c r="I319" s="258">
        <f t="shared" si="30"/>
        <v>0</v>
      </c>
    </row>
    <row r="320" spans="1:9" ht="15.75" thickBot="1" x14ac:dyDescent="0.3">
      <c r="A320" s="285" t="s">
        <v>248</v>
      </c>
      <c r="B320" s="293" t="s">
        <v>247</v>
      </c>
      <c r="C320" s="230">
        <v>193255</v>
      </c>
      <c r="D320" s="230">
        <f>163965+19290</f>
        <v>183255</v>
      </c>
      <c r="E320" s="230">
        <v>10000</v>
      </c>
      <c r="F320" s="230"/>
      <c r="G320" s="230"/>
      <c r="H320" s="350">
        <f t="shared" si="29"/>
        <v>193255</v>
      </c>
      <c r="I320" s="258">
        <f t="shared" si="30"/>
        <v>0</v>
      </c>
    </row>
    <row r="321" spans="1:9" ht="15.75" thickBot="1" x14ac:dyDescent="0.3">
      <c r="A321" s="679" t="s">
        <v>202</v>
      </c>
      <c r="B321" s="680"/>
      <c r="C321" s="291">
        <f>SUM(C301:C320)</f>
        <v>1020702</v>
      </c>
      <c r="D321" s="291">
        <f t="shared" ref="D321:H321" si="31">SUM(D301:D320)</f>
        <v>619702</v>
      </c>
      <c r="E321" s="291">
        <f t="shared" si="31"/>
        <v>100000</v>
      </c>
      <c r="F321" s="291">
        <f t="shared" si="31"/>
        <v>1000</v>
      </c>
      <c r="G321" s="291">
        <f t="shared" si="31"/>
        <v>300000</v>
      </c>
      <c r="H321" s="353">
        <f t="shared" si="31"/>
        <v>1020702</v>
      </c>
      <c r="I321" s="258">
        <f t="shared" si="30"/>
        <v>0</v>
      </c>
    </row>
    <row r="322" spans="1:9" x14ac:dyDescent="0.25">
      <c r="E322" s="336">
        <v>100000</v>
      </c>
      <c r="G322" s="257">
        <v>300000</v>
      </c>
    </row>
    <row r="324" spans="1:9" x14ac:dyDescent="0.25">
      <c r="A324" s="239"/>
      <c r="B324" s="240" t="s">
        <v>218</v>
      </c>
    </row>
    <row r="326" spans="1:9" x14ac:dyDescent="0.25">
      <c r="B326" t="s">
        <v>155</v>
      </c>
    </row>
    <row r="327" spans="1:9" x14ac:dyDescent="0.25">
      <c r="B327" t="s">
        <v>276</v>
      </c>
    </row>
  </sheetData>
  <mergeCells count="23">
    <mergeCell ref="A1:G1"/>
    <mergeCell ref="M3:O3"/>
    <mergeCell ref="A28:B28"/>
    <mergeCell ref="A106:B106"/>
    <mergeCell ref="M120:O120"/>
    <mergeCell ref="M158:O158"/>
    <mergeCell ref="A40:G40"/>
    <mergeCell ref="M42:O42"/>
    <mergeCell ref="A67:B67"/>
    <mergeCell ref="A79:G79"/>
    <mergeCell ref="M81:O81"/>
    <mergeCell ref="A321:B321"/>
    <mergeCell ref="A298:G298"/>
    <mergeCell ref="A264:G264"/>
    <mergeCell ref="A288:B288"/>
    <mergeCell ref="A230:G230"/>
    <mergeCell ref="A254:B254"/>
    <mergeCell ref="A194:G194"/>
    <mergeCell ref="A118:G118"/>
    <mergeCell ref="A144:B144"/>
    <mergeCell ref="A156:G156"/>
    <mergeCell ref="A220:B220"/>
    <mergeCell ref="A182:B182"/>
  </mergeCells>
  <pageMargins left="0.7" right="0.7" top="0.75" bottom="0.75" header="0.3" footer="0.3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39"/>
  <sheetViews>
    <sheetView zoomScale="124" zoomScaleNormal="124" workbookViewId="0">
      <selection sqref="A1:G1"/>
    </sheetView>
  </sheetViews>
  <sheetFormatPr defaultRowHeight="15" x14ac:dyDescent="0.25"/>
  <cols>
    <col min="1" max="1" width="6" style="110" customWidth="1"/>
    <col min="2" max="2" width="67.28515625" style="110" customWidth="1"/>
    <col min="3" max="4" width="13.140625" style="110" customWidth="1"/>
    <col min="5" max="7" width="12.5703125" style="110" customWidth="1"/>
    <col min="8" max="8" width="13.42578125" style="110" customWidth="1"/>
    <col min="9" max="9" width="9.140625" style="110"/>
    <col min="10" max="10" width="11.7109375" style="110" customWidth="1"/>
    <col min="11" max="12" width="9.140625" style="110"/>
    <col min="13" max="13" width="11" style="110" customWidth="1"/>
    <col min="14" max="16384" width="9.140625" style="110"/>
  </cols>
  <sheetData>
    <row r="1" spans="1:7" ht="18.75" thickBot="1" x14ac:dyDescent="0.3">
      <c r="A1" s="674" t="s">
        <v>0</v>
      </c>
      <c r="B1" s="675"/>
      <c r="C1" s="675"/>
      <c r="D1" s="675"/>
      <c r="E1" s="675"/>
      <c r="F1" s="675"/>
      <c r="G1" s="675"/>
    </row>
    <row r="2" spans="1:7" ht="15" customHeight="1" x14ac:dyDescent="0.25">
      <c r="A2" s="644" t="s">
        <v>1</v>
      </c>
      <c r="B2" s="645"/>
      <c r="C2" s="685" t="s">
        <v>233</v>
      </c>
      <c r="D2" s="638" t="s">
        <v>230</v>
      </c>
      <c r="E2" s="638">
        <v>2019</v>
      </c>
      <c r="F2" s="638">
        <v>2020</v>
      </c>
      <c r="G2" s="638">
        <v>2021</v>
      </c>
    </row>
    <row r="3" spans="1:7" ht="15.75" thickBot="1" x14ac:dyDescent="0.3">
      <c r="A3" s="646"/>
      <c r="B3" s="647"/>
      <c r="C3" s="686"/>
      <c r="D3" s="639"/>
      <c r="E3" s="639"/>
      <c r="F3" s="639"/>
      <c r="G3" s="639"/>
    </row>
    <row r="4" spans="1:7" ht="15.75" thickBot="1" x14ac:dyDescent="0.3">
      <c r="A4" s="664" t="s">
        <v>2</v>
      </c>
      <c r="B4" s="665"/>
      <c r="C4" s="1">
        <f t="shared" ref="C4:G4" si="0">SUM(C5:C11)</f>
        <v>1045410</v>
      </c>
      <c r="D4" s="1">
        <f t="shared" si="0"/>
        <v>1046410</v>
      </c>
      <c r="E4" s="1">
        <f t="shared" si="0"/>
        <v>1151580</v>
      </c>
      <c r="F4" s="1">
        <f t="shared" si="0"/>
        <v>1201580</v>
      </c>
      <c r="G4" s="1">
        <f t="shared" si="0"/>
        <v>1206580</v>
      </c>
    </row>
    <row r="5" spans="1:7" ht="15.75" thickBot="1" x14ac:dyDescent="0.3">
      <c r="A5" s="2">
        <v>111</v>
      </c>
      <c r="B5" s="3" t="s">
        <v>3</v>
      </c>
      <c r="C5" s="4">
        <v>986000</v>
      </c>
      <c r="D5" s="4">
        <f>986000-4000+5000</f>
        <v>987000</v>
      </c>
      <c r="E5" s="4">
        <v>1087000</v>
      </c>
      <c r="F5" s="4">
        <v>1137000</v>
      </c>
      <c r="G5" s="4">
        <v>1142000</v>
      </c>
    </row>
    <row r="6" spans="1:7" ht="15.75" thickBot="1" x14ac:dyDescent="0.3">
      <c r="A6" s="111">
        <v>121</v>
      </c>
      <c r="B6" s="112" t="s">
        <v>4</v>
      </c>
      <c r="C6" s="101">
        <v>32010</v>
      </c>
      <c r="D6" s="101">
        <v>32010</v>
      </c>
      <c r="E6" s="101">
        <v>34680</v>
      </c>
      <c r="F6" s="101">
        <v>34680</v>
      </c>
      <c r="G6" s="101">
        <v>34680</v>
      </c>
    </row>
    <row r="7" spans="1:7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</row>
    <row r="8" spans="1:7" x14ac:dyDescent="0.25">
      <c r="A8" s="115">
        <v>133</v>
      </c>
      <c r="B8" s="116" t="s">
        <v>6</v>
      </c>
      <c r="C8" s="8">
        <v>400</v>
      </c>
      <c r="D8" s="8">
        <v>400</v>
      </c>
      <c r="E8" s="8">
        <v>400</v>
      </c>
      <c r="F8" s="8">
        <v>400</v>
      </c>
      <c r="G8" s="8">
        <v>400</v>
      </c>
    </row>
    <row r="9" spans="1:7" x14ac:dyDescent="0.25">
      <c r="A9" s="115">
        <v>133</v>
      </c>
      <c r="B9" s="116" t="s">
        <v>7</v>
      </c>
      <c r="C9" s="8">
        <v>2000</v>
      </c>
      <c r="D9" s="8">
        <v>2000</v>
      </c>
      <c r="E9" s="8">
        <v>1500</v>
      </c>
      <c r="F9" s="8">
        <v>1500</v>
      </c>
      <c r="G9" s="8">
        <v>1500</v>
      </c>
    </row>
    <row r="10" spans="1:7" x14ac:dyDescent="0.25">
      <c r="A10" s="115">
        <v>133</v>
      </c>
      <c r="B10" s="116" t="s">
        <v>8</v>
      </c>
      <c r="C10" s="8">
        <v>5000</v>
      </c>
      <c r="D10" s="8">
        <v>5000</v>
      </c>
      <c r="E10" s="8">
        <v>4000</v>
      </c>
      <c r="F10" s="8">
        <v>4000</v>
      </c>
      <c r="G10" s="8">
        <v>4000</v>
      </c>
    </row>
    <row r="11" spans="1:7" ht="15.75" thickBot="1" x14ac:dyDescent="0.3">
      <c r="A11" s="117">
        <v>133</v>
      </c>
      <c r="B11" s="118" t="s">
        <v>9</v>
      </c>
      <c r="C11" s="5">
        <v>19000</v>
      </c>
      <c r="D11" s="5">
        <v>19000</v>
      </c>
      <c r="E11" s="337">
        <v>23000</v>
      </c>
      <c r="F11" s="337">
        <v>23000</v>
      </c>
      <c r="G11" s="337">
        <v>23000</v>
      </c>
    </row>
    <row r="12" spans="1:7" ht="15.75" thickBot="1" x14ac:dyDescent="0.3">
      <c r="A12" s="664" t="s">
        <v>10</v>
      </c>
      <c r="B12" s="665"/>
      <c r="C12" s="1">
        <f t="shared" ref="C12:G12" si="1">SUM(C13:C33)</f>
        <v>238276</v>
      </c>
      <c r="D12" s="1">
        <f t="shared" ref="D12" si="2">SUM(D13:D33)</f>
        <v>235892</v>
      </c>
      <c r="E12" s="1">
        <f t="shared" si="1"/>
        <v>218240</v>
      </c>
      <c r="F12" s="1">
        <f t="shared" si="1"/>
        <v>212340</v>
      </c>
      <c r="G12" s="1">
        <f t="shared" si="1"/>
        <v>211440</v>
      </c>
    </row>
    <row r="13" spans="1:7" x14ac:dyDescent="0.25">
      <c r="A13" s="119">
        <v>212</v>
      </c>
      <c r="B13" s="120" t="s">
        <v>11</v>
      </c>
      <c r="C13" s="6">
        <v>1967</v>
      </c>
      <c r="D13" s="6">
        <f t="shared" ref="D13" si="3">1967+150</f>
        <v>2117</v>
      </c>
      <c r="E13" s="270">
        <v>1967</v>
      </c>
      <c r="F13" s="270">
        <v>1967</v>
      </c>
      <c r="G13" s="270">
        <v>1967</v>
      </c>
    </row>
    <row r="14" spans="1:7" x14ac:dyDescent="0.25">
      <c r="A14" s="113">
        <v>212</v>
      </c>
      <c r="B14" s="114" t="s">
        <v>12</v>
      </c>
      <c r="C14" s="7">
        <v>26600</v>
      </c>
      <c r="D14" s="7">
        <v>26600</v>
      </c>
      <c r="E14" s="216">
        <v>7300</v>
      </c>
      <c r="F14" s="216">
        <v>1400</v>
      </c>
      <c r="G14" s="216">
        <v>500</v>
      </c>
    </row>
    <row r="15" spans="1:7" x14ac:dyDescent="0.25">
      <c r="A15" s="115">
        <v>212</v>
      </c>
      <c r="B15" s="116" t="s">
        <v>13</v>
      </c>
      <c r="C15" s="163">
        <v>3909</v>
      </c>
      <c r="D15" s="163">
        <v>3819</v>
      </c>
      <c r="E15" s="170">
        <v>3910</v>
      </c>
      <c r="F15" s="170">
        <v>3910</v>
      </c>
      <c r="G15" s="170">
        <v>3910</v>
      </c>
    </row>
    <row r="16" spans="1:7" x14ac:dyDescent="0.25">
      <c r="A16" s="115">
        <v>212</v>
      </c>
      <c r="B16" s="116" t="s">
        <v>14</v>
      </c>
      <c r="C16" s="9">
        <v>17510</v>
      </c>
      <c r="D16" s="9">
        <v>19366</v>
      </c>
      <c r="E16" s="9">
        <v>18763</v>
      </c>
      <c r="F16" s="9">
        <v>18763</v>
      </c>
      <c r="G16" s="9">
        <v>18763</v>
      </c>
    </row>
    <row r="17" spans="1:19" ht="15.75" thickBot="1" x14ac:dyDescent="0.3">
      <c r="A17" s="121">
        <v>212</v>
      </c>
      <c r="B17" s="122" t="s">
        <v>15</v>
      </c>
      <c r="C17" s="10">
        <v>200</v>
      </c>
      <c r="D17" s="219">
        <f>200+200</f>
        <v>400</v>
      </c>
      <c r="E17" s="219">
        <v>400</v>
      </c>
      <c r="F17" s="219">
        <v>400</v>
      </c>
      <c r="G17" s="219">
        <v>400</v>
      </c>
      <c r="I17" s="123">
        <f>SUM(C13:C17)</f>
        <v>50186</v>
      </c>
      <c r="J17" s="123">
        <f t="shared" ref="J17:M17" si="4">SUM(D13:D17)</f>
        <v>52302</v>
      </c>
      <c r="K17" s="123">
        <f t="shared" si="4"/>
        <v>32340</v>
      </c>
      <c r="L17" s="123">
        <f t="shared" si="4"/>
        <v>26440</v>
      </c>
      <c r="M17" s="123">
        <f t="shared" si="4"/>
        <v>25540</v>
      </c>
      <c r="N17" s="123"/>
      <c r="O17" s="123"/>
      <c r="P17" s="123"/>
    </row>
    <row r="18" spans="1:19" ht="15.75" thickBot="1" x14ac:dyDescent="0.3">
      <c r="A18" s="111">
        <v>221</v>
      </c>
      <c r="B18" s="112" t="s">
        <v>16</v>
      </c>
      <c r="C18" s="11">
        <v>11500</v>
      </c>
      <c r="D18" s="220">
        <f>11500-6000-500</f>
        <v>5000</v>
      </c>
      <c r="E18" s="220">
        <v>5000</v>
      </c>
      <c r="F18" s="220">
        <v>5000</v>
      </c>
      <c r="G18" s="220">
        <v>5000</v>
      </c>
    </row>
    <row r="19" spans="1:19" ht="15.75" thickBot="1" x14ac:dyDescent="0.3">
      <c r="A19" s="121">
        <v>222</v>
      </c>
      <c r="B19" s="122" t="s">
        <v>17</v>
      </c>
      <c r="C19" s="10">
        <v>0</v>
      </c>
      <c r="D19" s="219">
        <v>100</v>
      </c>
      <c r="E19" s="219">
        <v>0</v>
      </c>
      <c r="F19" s="219">
        <v>0</v>
      </c>
      <c r="G19" s="219">
        <v>0</v>
      </c>
    </row>
    <row r="20" spans="1:19" x14ac:dyDescent="0.25">
      <c r="A20" s="113">
        <v>223</v>
      </c>
      <c r="B20" s="114" t="s">
        <v>18</v>
      </c>
      <c r="C20" s="7">
        <v>900</v>
      </c>
      <c r="D20" s="216">
        <v>900</v>
      </c>
      <c r="E20" s="216">
        <v>900</v>
      </c>
      <c r="F20" s="216">
        <v>900</v>
      </c>
      <c r="G20" s="216">
        <v>900</v>
      </c>
    </row>
    <row r="21" spans="1:19" x14ac:dyDescent="0.25">
      <c r="A21" s="115">
        <v>223</v>
      </c>
      <c r="B21" s="116" t="s">
        <v>19</v>
      </c>
      <c r="C21" s="8">
        <v>18000</v>
      </c>
      <c r="D21" s="9">
        <f t="shared" ref="D21" si="5">18000-1000</f>
        <v>17000</v>
      </c>
      <c r="E21" s="9">
        <v>20000</v>
      </c>
      <c r="F21" s="9">
        <v>20000</v>
      </c>
      <c r="G21" s="9">
        <v>20000</v>
      </c>
    </row>
    <row r="22" spans="1:19" x14ac:dyDescent="0.25">
      <c r="A22" s="115">
        <v>223</v>
      </c>
      <c r="B22" s="116" t="s">
        <v>234</v>
      </c>
      <c r="C22" s="8">
        <v>0</v>
      </c>
      <c r="D22" s="9">
        <v>0</v>
      </c>
      <c r="E22" s="9">
        <v>500</v>
      </c>
      <c r="F22" s="9">
        <v>500</v>
      </c>
      <c r="G22" s="9">
        <v>500</v>
      </c>
    </row>
    <row r="23" spans="1:19" x14ac:dyDescent="0.25">
      <c r="A23" s="115">
        <v>223</v>
      </c>
      <c r="B23" s="116" t="s">
        <v>174</v>
      </c>
      <c r="C23" s="8">
        <v>34000</v>
      </c>
      <c r="D23" s="9">
        <v>33600</v>
      </c>
      <c r="E23" s="9">
        <v>33000</v>
      </c>
      <c r="F23" s="9">
        <v>33000</v>
      </c>
      <c r="G23" s="9">
        <v>33000</v>
      </c>
    </row>
    <row r="24" spans="1:19" x14ac:dyDescent="0.25">
      <c r="A24" s="115">
        <v>223</v>
      </c>
      <c r="B24" s="116" t="s">
        <v>20</v>
      </c>
      <c r="C24" s="8">
        <v>1000</v>
      </c>
      <c r="D24" s="9">
        <v>1000</v>
      </c>
      <c r="E24" s="9">
        <v>1000</v>
      </c>
      <c r="F24" s="9">
        <v>1000</v>
      </c>
      <c r="G24" s="9">
        <v>1000</v>
      </c>
    </row>
    <row r="25" spans="1:19" x14ac:dyDescent="0.25">
      <c r="A25" s="115">
        <v>223</v>
      </c>
      <c r="B25" s="116" t="s">
        <v>175</v>
      </c>
      <c r="C25" s="8">
        <v>0</v>
      </c>
      <c r="D25" s="9">
        <v>1000</v>
      </c>
      <c r="E25" s="9">
        <v>0</v>
      </c>
      <c r="F25" s="9">
        <v>0</v>
      </c>
      <c r="G25" s="9">
        <v>0</v>
      </c>
    </row>
    <row r="26" spans="1:19" x14ac:dyDescent="0.25">
      <c r="A26" s="115">
        <v>223</v>
      </c>
      <c r="B26" s="116" t="s">
        <v>21</v>
      </c>
      <c r="C26" s="8">
        <v>700</v>
      </c>
      <c r="D26" s="9">
        <v>700</v>
      </c>
      <c r="E26" s="9">
        <v>700</v>
      </c>
      <c r="F26" s="9">
        <v>700</v>
      </c>
      <c r="G26" s="9">
        <v>700</v>
      </c>
    </row>
    <row r="27" spans="1:19" x14ac:dyDescent="0.25">
      <c r="A27" s="115">
        <v>223</v>
      </c>
      <c r="B27" s="116" t="s">
        <v>22</v>
      </c>
      <c r="C27" s="8">
        <v>31000</v>
      </c>
      <c r="D27" s="9">
        <f t="shared" ref="D27:G27" si="6">31000+2000</f>
        <v>33000</v>
      </c>
      <c r="E27" s="9">
        <f t="shared" si="6"/>
        <v>33000</v>
      </c>
      <c r="F27" s="9">
        <f t="shared" si="6"/>
        <v>33000</v>
      </c>
      <c r="G27" s="9">
        <f t="shared" si="6"/>
        <v>33000</v>
      </c>
    </row>
    <row r="28" spans="1:19" x14ac:dyDescent="0.25">
      <c r="A28" s="115">
        <v>223</v>
      </c>
      <c r="B28" s="116" t="s">
        <v>23</v>
      </c>
      <c r="C28" s="8">
        <v>21650</v>
      </c>
      <c r="D28" s="9">
        <f>21950</f>
        <v>21950</v>
      </c>
      <c r="E28" s="9">
        <v>21460</v>
      </c>
      <c r="F28" s="9">
        <v>21460</v>
      </c>
      <c r="G28" s="9">
        <v>21460</v>
      </c>
    </row>
    <row r="29" spans="1:19" x14ac:dyDescent="0.25">
      <c r="A29" s="115">
        <v>223</v>
      </c>
      <c r="B29" s="116" t="s">
        <v>24</v>
      </c>
      <c r="C29" s="8">
        <v>20000</v>
      </c>
      <c r="D29" s="9">
        <v>20000</v>
      </c>
      <c r="E29" s="9">
        <v>18000</v>
      </c>
      <c r="F29" s="9">
        <v>18000</v>
      </c>
      <c r="G29" s="9">
        <v>18000</v>
      </c>
    </row>
    <row r="30" spans="1:19" x14ac:dyDescent="0.25">
      <c r="A30" s="115">
        <v>223</v>
      </c>
      <c r="B30" s="116" t="s">
        <v>222</v>
      </c>
      <c r="C30" s="8">
        <v>240</v>
      </c>
      <c r="D30" s="8">
        <v>240</v>
      </c>
      <c r="E30" s="9">
        <v>240</v>
      </c>
      <c r="F30" s="9">
        <v>240</v>
      </c>
      <c r="G30" s="9">
        <v>240</v>
      </c>
    </row>
    <row r="31" spans="1:19" x14ac:dyDescent="0.25">
      <c r="A31" s="115">
        <v>223</v>
      </c>
      <c r="B31" s="116" t="s">
        <v>25</v>
      </c>
      <c r="C31" s="8">
        <v>2000</v>
      </c>
      <c r="D31" s="8">
        <v>2000</v>
      </c>
      <c r="E31" s="9">
        <v>2000</v>
      </c>
      <c r="F31" s="9">
        <v>2000</v>
      </c>
      <c r="G31" s="9">
        <v>2000</v>
      </c>
    </row>
    <row r="32" spans="1:19" x14ac:dyDescent="0.25">
      <c r="A32" s="164">
        <v>223</v>
      </c>
      <c r="B32" s="165" t="s">
        <v>187</v>
      </c>
      <c r="C32" s="166">
        <v>47000</v>
      </c>
      <c r="D32" s="166">
        <v>47000</v>
      </c>
      <c r="E32" s="271">
        <v>50000</v>
      </c>
      <c r="F32" s="271">
        <v>50000</v>
      </c>
      <c r="G32" s="271">
        <v>50000</v>
      </c>
      <c r="I32" s="123">
        <f>SUM(C20:C33)</f>
        <v>176590</v>
      </c>
      <c r="J32" s="123">
        <f t="shared" ref="J32:M32" si="7">SUM(D20:D33)</f>
        <v>178490</v>
      </c>
      <c r="K32" s="123">
        <f t="shared" si="7"/>
        <v>180900</v>
      </c>
      <c r="L32" s="123">
        <f t="shared" si="7"/>
        <v>180900</v>
      </c>
      <c r="M32" s="123">
        <f t="shared" si="7"/>
        <v>180900</v>
      </c>
      <c r="N32" s="123"/>
      <c r="O32" s="123"/>
      <c r="P32" s="123"/>
      <c r="Q32" s="123"/>
      <c r="R32" s="123"/>
      <c r="S32" s="123"/>
    </row>
    <row r="33" spans="1:16" ht="15.75" thickBot="1" x14ac:dyDescent="0.3">
      <c r="A33" s="117">
        <v>223</v>
      </c>
      <c r="B33" s="118" t="s">
        <v>26</v>
      </c>
      <c r="C33" s="12">
        <v>100</v>
      </c>
      <c r="D33" s="12">
        <v>100</v>
      </c>
      <c r="E33" s="12">
        <v>100</v>
      </c>
      <c r="F33" s="12">
        <v>100</v>
      </c>
      <c r="G33" s="12">
        <v>100</v>
      </c>
      <c r="I33" s="123">
        <f>SUM(C18:C33)</f>
        <v>188090</v>
      </c>
      <c r="J33" s="123">
        <f t="shared" ref="J33:M33" si="8">SUM(D18:D33)</f>
        <v>183590</v>
      </c>
      <c r="K33" s="123">
        <f t="shared" si="8"/>
        <v>185900</v>
      </c>
      <c r="L33" s="123">
        <f t="shared" si="8"/>
        <v>185900</v>
      </c>
      <c r="M33" s="123">
        <f t="shared" si="8"/>
        <v>185900</v>
      </c>
      <c r="N33" s="123"/>
      <c r="O33" s="123"/>
      <c r="P33" s="123"/>
    </row>
    <row r="34" spans="1:16" ht="15.75" thickBot="1" x14ac:dyDescent="0.3">
      <c r="A34" s="354" t="s">
        <v>27</v>
      </c>
      <c r="B34" s="355"/>
      <c r="C34" s="1">
        <f t="shared" ref="C34:G34" si="9">SUM(C35)</f>
        <v>500</v>
      </c>
      <c r="D34" s="1">
        <f>SUM(D35)</f>
        <v>500</v>
      </c>
      <c r="E34" s="1">
        <f t="shared" si="9"/>
        <v>400</v>
      </c>
      <c r="F34" s="1">
        <f t="shared" si="9"/>
        <v>400</v>
      </c>
      <c r="G34" s="1">
        <f t="shared" si="9"/>
        <v>400</v>
      </c>
      <c r="I34" s="123"/>
      <c r="J34" s="123"/>
      <c r="K34" s="123"/>
      <c r="L34" s="123"/>
      <c r="M34" s="123"/>
      <c r="N34" s="123"/>
      <c r="O34" s="123"/>
      <c r="P34" s="123"/>
    </row>
    <row r="35" spans="1:16" ht="15.75" thickBot="1" x14ac:dyDescent="0.3">
      <c r="A35" s="124">
        <v>240</v>
      </c>
      <c r="B35" s="125" t="s">
        <v>28</v>
      </c>
      <c r="C35" s="10">
        <v>500</v>
      </c>
      <c r="D35" s="10">
        <v>500</v>
      </c>
      <c r="E35" s="10">
        <v>400</v>
      </c>
      <c r="F35" s="10">
        <v>400</v>
      </c>
      <c r="G35" s="10">
        <v>400</v>
      </c>
    </row>
    <row r="36" spans="1:16" ht="15.75" thickBot="1" x14ac:dyDescent="0.3">
      <c r="A36" s="354" t="s">
        <v>29</v>
      </c>
      <c r="B36" s="355"/>
      <c r="C36" s="1">
        <f t="shared" ref="C36:G36" si="10">SUM(C37:C43)</f>
        <v>40960</v>
      </c>
      <c r="D36" s="1">
        <f t="shared" si="10"/>
        <v>47782</v>
      </c>
      <c r="E36" s="1">
        <f t="shared" si="10"/>
        <v>28250</v>
      </c>
      <c r="F36" s="1">
        <f t="shared" si="10"/>
        <v>27110</v>
      </c>
      <c r="G36" s="1">
        <f t="shared" si="10"/>
        <v>27110</v>
      </c>
    </row>
    <row r="37" spans="1:16" x14ac:dyDescent="0.25">
      <c r="A37" s="13">
        <v>292</v>
      </c>
      <c r="B37" s="14" t="s">
        <v>30</v>
      </c>
      <c r="C37" s="15">
        <v>200</v>
      </c>
      <c r="D37" s="15">
        <v>200</v>
      </c>
      <c r="E37" s="15">
        <v>0</v>
      </c>
      <c r="F37" s="15">
        <v>0</v>
      </c>
      <c r="G37" s="15">
        <v>0</v>
      </c>
    </row>
    <row r="38" spans="1:16" x14ac:dyDescent="0.25">
      <c r="A38" s="13">
        <v>292</v>
      </c>
      <c r="B38" s="14" t="s">
        <v>31</v>
      </c>
      <c r="C38" s="15">
        <v>300</v>
      </c>
      <c r="D38" s="15">
        <v>300</v>
      </c>
      <c r="E38" s="15">
        <v>400</v>
      </c>
      <c r="F38" s="15">
        <v>400</v>
      </c>
      <c r="G38" s="15">
        <v>400</v>
      </c>
    </row>
    <row r="39" spans="1:16" x14ac:dyDescent="0.25">
      <c r="A39" s="16">
        <v>292</v>
      </c>
      <c r="B39" s="17" t="s">
        <v>176</v>
      </c>
      <c r="C39" s="168">
        <v>0</v>
      </c>
      <c r="D39" s="168">
        <v>3210</v>
      </c>
      <c r="E39" s="168">
        <v>0</v>
      </c>
      <c r="F39" s="168">
        <v>0</v>
      </c>
      <c r="G39" s="168">
        <v>0</v>
      </c>
    </row>
    <row r="40" spans="1:16" x14ac:dyDescent="0.25">
      <c r="A40" s="16">
        <v>292</v>
      </c>
      <c r="B40" s="17" t="s">
        <v>177</v>
      </c>
      <c r="C40" s="18">
        <v>15000</v>
      </c>
      <c r="D40" s="18">
        <v>15000</v>
      </c>
      <c r="E40" s="18">
        <v>10000</v>
      </c>
      <c r="F40" s="18">
        <v>10000</v>
      </c>
      <c r="G40" s="18">
        <v>10000</v>
      </c>
    </row>
    <row r="41" spans="1:16" x14ac:dyDescent="0.25">
      <c r="A41" s="16">
        <v>292</v>
      </c>
      <c r="B41" s="116" t="s">
        <v>32</v>
      </c>
      <c r="C41" s="167">
        <f t="shared" ref="C41" si="11">230-20</f>
        <v>210</v>
      </c>
      <c r="D41" s="171">
        <f>230-20+22</f>
        <v>232</v>
      </c>
      <c r="E41" s="171">
        <v>240</v>
      </c>
      <c r="F41" s="171">
        <v>240</v>
      </c>
      <c r="G41" s="171">
        <v>240</v>
      </c>
    </row>
    <row r="42" spans="1:16" x14ac:dyDescent="0.25">
      <c r="A42" s="16">
        <v>292</v>
      </c>
      <c r="B42" s="17" t="s">
        <v>33</v>
      </c>
      <c r="C42" s="18">
        <f>20350+1900</f>
        <v>22250</v>
      </c>
      <c r="D42" s="18">
        <f>20350+1900+500+1500+1590</f>
        <v>25840</v>
      </c>
      <c r="E42" s="18">
        <f>17710-240</f>
        <v>17470</v>
      </c>
      <c r="F42" s="18">
        <f>16710-240</f>
        <v>16470</v>
      </c>
      <c r="G42" s="18">
        <f>16710-240</f>
        <v>16470</v>
      </c>
    </row>
    <row r="43" spans="1:16" ht="15.75" thickBot="1" x14ac:dyDescent="0.3">
      <c r="A43" s="16">
        <v>292</v>
      </c>
      <c r="B43" s="17" t="s">
        <v>235</v>
      </c>
      <c r="C43" s="18">
        <v>3000</v>
      </c>
      <c r="D43" s="18">
        <v>3000</v>
      </c>
      <c r="E43" s="18">
        <v>140</v>
      </c>
      <c r="F43" s="18">
        <v>0</v>
      </c>
      <c r="G43" s="18">
        <v>0</v>
      </c>
    </row>
    <row r="44" spans="1:16" ht="15.75" thickBot="1" x14ac:dyDescent="0.3">
      <c r="A44" s="19" t="s">
        <v>34</v>
      </c>
      <c r="B44" s="20"/>
      <c r="C44" s="1">
        <f>SUM(C45:C67)</f>
        <v>594130</v>
      </c>
      <c r="D44" s="1">
        <f>SUM(D45:D67)</f>
        <v>627865</v>
      </c>
      <c r="E44" s="1">
        <f>SUM(E45:E67)</f>
        <v>694110</v>
      </c>
      <c r="F44" s="1">
        <f>SUM(F45:F67)</f>
        <v>577940</v>
      </c>
      <c r="G44" s="1">
        <f>SUM(G45:G67)</f>
        <v>576940</v>
      </c>
    </row>
    <row r="45" spans="1:16" x14ac:dyDescent="0.25">
      <c r="A45" s="21">
        <v>311</v>
      </c>
      <c r="B45" s="22" t="s">
        <v>178</v>
      </c>
      <c r="C45" s="23">
        <v>0</v>
      </c>
      <c r="D45" s="23">
        <f>3000+5000</f>
        <v>8000</v>
      </c>
      <c r="E45" s="23">
        <v>0</v>
      </c>
      <c r="F45" s="23">
        <v>0</v>
      </c>
      <c r="G45" s="23">
        <v>0</v>
      </c>
    </row>
    <row r="46" spans="1:16" x14ac:dyDescent="0.25">
      <c r="A46" s="21">
        <v>311</v>
      </c>
      <c r="B46" s="22" t="s">
        <v>212</v>
      </c>
      <c r="C46" s="23">
        <v>0</v>
      </c>
      <c r="D46" s="23">
        <v>5300</v>
      </c>
      <c r="E46" s="23">
        <v>0</v>
      </c>
      <c r="F46" s="23">
        <v>0</v>
      </c>
      <c r="G46" s="23">
        <v>0</v>
      </c>
    </row>
    <row r="47" spans="1:16" x14ac:dyDescent="0.25">
      <c r="A47" s="21">
        <v>312</v>
      </c>
      <c r="B47" s="22" t="s">
        <v>236</v>
      </c>
      <c r="C47" s="23">
        <v>0</v>
      </c>
      <c r="D47" s="23">
        <v>0</v>
      </c>
      <c r="E47" s="23">
        <v>8220</v>
      </c>
      <c r="F47" s="23">
        <v>0</v>
      </c>
      <c r="G47" s="23">
        <v>0</v>
      </c>
    </row>
    <row r="48" spans="1:16" x14ac:dyDescent="0.25">
      <c r="A48" s="21">
        <v>312</v>
      </c>
      <c r="B48" s="22" t="s">
        <v>35</v>
      </c>
      <c r="C48" s="23">
        <v>3000</v>
      </c>
      <c r="D48" s="23">
        <v>3000</v>
      </c>
      <c r="E48" s="23">
        <v>4000</v>
      </c>
      <c r="F48" s="23">
        <v>3000</v>
      </c>
      <c r="G48" s="23">
        <v>2000</v>
      </c>
    </row>
    <row r="49" spans="1:7" x14ac:dyDescent="0.25">
      <c r="A49" s="24">
        <v>312</v>
      </c>
      <c r="B49" s="116" t="s">
        <v>36</v>
      </c>
      <c r="C49" s="7">
        <v>7200</v>
      </c>
      <c r="D49" s="216">
        <v>7200</v>
      </c>
      <c r="E49" s="7">
        <v>7200</v>
      </c>
      <c r="F49" s="7">
        <v>7200</v>
      </c>
      <c r="G49" s="7">
        <v>7200</v>
      </c>
    </row>
    <row r="50" spans="1:7" x14ac:dyDescent="0.25">
      <c r="A50" s="24">
        <v>312</v>
      </c>
      <c r="B50" s="116" t="s">
        <v>37</v>
      </c>
      <c r="C50" s="7">
        <v>3000</v>
      </c>
      <c r="D50" s="216">
        <v>3000</v>
      </c>
      <c r="E50" s="7">
        <v>1000</v>
      </c>
      <c r="F50" s="7">
        <v>1000</v>
      </c>
      <c r="G50" s="7">
        <v>1000</v>
      </c>
    </row>
    <row r="51" spans="1:7" x14ac:dyDescent="0.25">
      <c r="A51" s="24">
        <v>312</v>
      </c>
      <c r="B51" s="25" t="s">
        <v>166</v>
      </c>
      <c r="C51" s="26">
        <f t="shared" ref="C51:D51" si="12">12000+49000</f>
        <v>61000</v>
      </c>
      <c r="D51" s="262">
        <f t="shared" si="12"/>
        <v>61000</v>
      </c>
      <c r="E51" s="26">
        <v>14440</v>
      </c>
      <c r="F51" s="26">
        <v>14440</v>
      </c>
      <c r="G51" s="26">
        <v>14440</v>
      </c>
    </row>
    <row r="52" spans="1:7" x14ac:dyDescent="0.25">
      <c r="A52" s="24">
        <v>312</v>
      </c>
      <c r="B52" s="25" t="s">
        <v>238</v>
      </c>
      <c r="C52" s="26">
        <v>0</v>
      </c>
      <c r="D52" s="262">
        <v>0</v>
      </c>
      <c r="E52" s="26">
        <v>3800</v>
      </c>
      <c r="F52" s="26">
        <v>0</v>
      </c>
      <c r="G52" s="26">
        <v>0</v>
      </c>
    </row>
    <row r="53" spans="1:7" x14ac:dyDescent="0.25">
      <c r="A53" s="24">
        <v>312</v>
      </c>
      <c r="B53" s="25" t="s">
        <v>237</v>
      </c>
      <c r="C53" s="26">
        <v>0</v>
      </c>
      <c r="D53" s="262">
        <v>0</v>
      </c>
      <c r="E53" s="26">
        <v>950</v>
      </c>
      <c r="F53" s="26">
        <v>0</v>
      </c>
      <c r="G53" s="26">
        <v>0</v>
      </c>
    </row>
    <row r="54" spans="1:7" x14ac:dyDescent="0.25">
      <c r="A54" s="24">
        <v>312</v>
      </c>
      <c r="B54" s="25" t="s">
        <v>38</v>
      </c>
      <c r="C54" s="7">
        <v>13700</v>
      </c>
      <c r="D54" s="216">
        <v>16600</v>
      </c>
      <c r="E54" s="7">
        <v>18300</v>
      </c>
      <c r="F54" s="7">
        <v>18300</v>
      </c>
      <c r="G54" s="7">
        <v>18300</v>
      </c>
    </row>
    <row r="55" spans="1:7" x14ac:dyDescent="0.25">
      <c r="A55" s="24">
        <v>312</v>
      </c>
      <c r="B55" s="25" t="s">
        <v>39</v>
      </c>
      <c r="C55" s="7">
        <f>23500+2000</f>
        <v>25500</v>
      </c>
      <c r="D55" s="216">
        <f>23500+2000-7800+600</f>
        <v>18300</v>
      </c>
      <c r="E55" s="7">
        <v>8700</v>
      </c>
      <c r="F55" s="7">
        <v>8700</v>
      </c>
      <c r="G55" s="7">
        <v>8700</v>
      </c>
    </row>
    <row r="56" spans="1:7" x14ac:dyDescent="0.25">
      <c r="A56" s="24">
        <v>312</v>
      </c>
      <c r="B56" s="25" t="s">
        <v>40</v>
      </c>
      <c r="C56" s="7">
        <v>7600</v>
      </c>
      <c r="D56" s="216">
        <f>7600+260</f>
        <v>7860</v>
      </c>
      <c r="E56" s="7">
        <v>7900</v>
      </c>
      <c r="F56" s="7">
        <v>7900</v>
      </c>
      <c r="G56" s="7">
        <v>7900</v>
      </c>
    </row>
    <row r="57" spans="1:7" x14ac:dyDescent="0.25">
      <c r="A57" s="24">
        <v>312</v>
      </c>
      <c r="B57" s="25" t="s">
        <v>179</v>
      </c>
      <c r="C57" s="7">
        <v>0</v>
      </c>
      <c r="D57" s="216">
        <v>2000</v>
      </c>
      <c r="E57" s="7">
        <v>0</v>
      </c>
      <c r="F57" s="7">
        <v>0</v>
      </c>
      <c r="G57" s="7">
        <v>0</v>
      </c>
    </row>
    <row r="58" spans="1:7" x14ac:dyDescent="0.25">
      <c r="A58" s="24">
        <v>312</v>
      </c>
      <c r="B58" s="25" t="s">
        <v>213</v>
      </c>
      <c r="C58" s="7">
        <v>0</v>
      </c>
      <c r="D58" s="216">
        <v>10000</v>
      </c>
      <c r="E58" s="7">
        <v>0</v>
      </c>
      <c r="F58" s="7">
        <v>0</v>
      </c>
      <c r="G58" s="7">
        <v>0</v>
      </c>
    </row>
    <row r="59" spans="1:7" x14ac:dyDescent="0.25">
      <c r="A59" s="24">
        <v>312</v>
      </c>
      <c r="B59" s="25" t="s">
        <v>41</v>
      </c>
      <c r="C59" s="7">
        <v>1400</v>
      </c>
      <c r="D59" s="216">
        <v>1400</v>
      </c>
      <c r="E59" s="7">
        <v>3000</v>
      </c>
      <c r="F59" s="7">
        <v>3000</v>
      </c>
      <c r="G59" s="7">
        <v>3000</v>
      </c>
    </row>
    <row r="60" spans="1:7" x14ac:dyDescent="0.25">
      <c r="A60" s="27">
        <v>312</v>
      </c>
      <c r="B60" s="22" t="s">
        <v>180</v>
      </c>
      <c r="C60" s="28">
        <v>0</v>
      </c>
      <c r="D60" s="28">
        <f>10300+1000</f>
        <v>11300</v>
      </c>
      <c r="E60" s="28">
        <v>0</v>
      </c>
      <c r="F60" s="28">
        <v>0</v>
      </c>
      <c r="G60" s="28">
        <v>0</v>
      </c>
    </row>
    <row r="61" spans="1:7" x14ac:dyDescent="0.25">
      <c r="A61" s="27">
        <v>312</v>
      </c>
      <c r="B61" s="22" t="s">
        <v>224</v>
      </c>
      <c r="C61" s="28">
        <v>0</v>
      </c>
      <c r="D61" s="28">
        <v>3500</v>
      </c>
      <c r="E61" s="28">
        <v>0</v>
      </c>
      <c r="F61" s="28">
        <v>0</v>
      </c>
      <c r="G61" s="28">
        <v>0</v>
      </c>
    </row>
    <row r="62" spans="1:7" x14ac:dyDescent="0.25">
      <c r="A62" s="29">
        <v>312</v>
      </c>
      <c r="B62" s="116" t="s">
        <v>42</v>
      </c>
      <c r="C62" s="163">
        <v>4030</v>
      </c>
      <c r="D62" s="170">
        <f>4030+120</f>
        <v>4150</v>
      </c>
      <c r="E62" s="170">
        <v>4430</v>
      </c>
      <c r="F62" s="170">
        <v>4430</v>
      </c>
      <c r="G62" s="170">
        <v>4430</v>
      </c>
    </row>
    <row r="63" spans="1:7" x14ac:dyDescent="0.25">
      <c r="A63" s="29">
        <v>312</v>
      </c>
      <c r="B63" s="126" t="s">
        <v>43</v>
      </c>
      <c r="C63" s="9">
        <v>3000</v>
      </c>
      <c r="D63" s="9">
        <f>3000+480</f>
        <v>3480</v>
      </c>
      <c r="E63" s="9">
        <v>3700</v>
      </c>
      <c r="F63" s="9">
        <v>3700</v>
      </c>
      <c r="G63" s="9">
        <v>3700</v>
      </c>
    </row>
    <row r="64" spans="1:7" x14ac:dyDescent="0.25">
      <c r="A64" s="29">
        <v>312</v>
      </c>
      <c r="B64" s="30" t="s">
        <v>44</v>
      </c>
      <c r="C64" s="170">
        <v>2700</v>
      </c>
      <c r="D64" s="170">
        <v>2919</v>
      </c>
      <c r="E64" s="170">
        <v>3000</v>
      </c>
      <c r="F64" s="170">
        <v>3000</v>
      </c>
      <c r="G64" s="170">
        <v>3000</v>
      </c>
    </row>
    <row r="65" spans="1:11" ht="15.75" customHeight="1" x14ac:dyDescent="0.25">
      <c r="A65" s="24">
        <v>312</v>
      </c>
      <c r="B65" s="25" t="s">
        <v>181</v>
      </c>
      <c r="C65" s="7">
        <v>24900</v>
      </c>
      <c r="D65" s="216">
        <v>12300</v>
      </c>
      <c r="E65" s="216">
        <v>102200</v>
      </c>
      <c r="F65" s="216">
        <v>0</v>
      </c>
      <c r="G65" s="216">
        <v>0</v>
      </c>
    </row>
    <row r="66" spans="1:11" x14ac:dyDescent="0.25">
      <c r="A66" s="24">
        <v>312</v>
      </c>
      <c r="B66" s="25" t="s">
        <v>239</v>
      </c>
      <c r="C66" s="7">
        <v>0</v>
      </c>
      <c r="D66" s="216">
        <v>0</v>
      </c>
      <c r="E66" s="216">
        <v>31000</v>
      </c>
      <c r="F66" s="216">
        <v>31000</v>
      </c>
      <c r="G66" s="216">
        <v>31000</v>
      </c>
    </row>
    <row r="67" spans="1:11" ht="16.5" thickBot="1" x14ac:dyDescent="0.3">
      <c r="A67" s="241">
        <v>312</v>
      </c>
      <c r="B67" s="242" t="s">
        <v>270</v>
      </c>
      <c r="C67" s="218">
        <v>437100</v>
      </c>
      <c r="D67" s="218">
        <f>441615+3736+1205</f>
        <v>446556</v>
      </c>
      <c r="E67" s="218">
        <f>440000+32270</f>
        <v>472270</v>
      </c>
      <c r="F67" s="218">
        <f t="shared" ref="F67:G67" si="13">440000+32270</f>
        <v>472270</v>
      </c>
      <c r="G67" s="218">
        <f t="shared" si="13"/>
        <v>472270</v>
      </c>
      <c r="I67" s="123"/>
    </row>
    <row r="68" spans="1:11" ht="16.5" thickBot="1" x14ac:dyDescent="0.3">
      <c r="A68" s="31" t="s">
        <v>45</v>
      </c>
      <c r="B68" s="127"/>
      <c r="C68" s="32">
        <f>SUM(C4+C12+C34+C36+C44)</f>
        <v>1919276</v>
      </c>
      <c r="D68" s="32">
        <f>SUM(D4+D12+D34+D36+D44)</f>
        <v>1958449</v>
      </c>
      <c r="E68" s="32">
        <f>SUM(E4+E12+E34+E36+E44)</f>
        <v>2092580</v>
      </c>
      <c r="F68" s="32">
        <f>SUM(F4+F12+F34+F36+F44)</f>
        <v>2019370</v>
      </c>
      <c r="G68" s="32">
        <f>SUM(G4+G12+G34+G36+G44)</f>
        <v>2022470</v>
      </c>
      <c r="I68" s="123"/>
      <c r="J68" s="123"/>
      <c r="K68" s="123"/>
    </row>
    <row r="69" spans="1:11" x14ac:dyDescent="0.25">
      <c r="A69" s="243" t="s">
        <v>46</v>
      </c>
      <c r="B69" s="244" t="s">
        <v>269</v>
      </c>
      <c r="C69" s="217">
        <v>5100</v>
      </c>
      <c r="D69" s="217">
        <v>7977</v>
      </c>
      <c r="E69" s="217">
        <v>3000</v>
      </c>
      <c r="F69" s="217">
        <v>3000</v>
      </c>
      <c r="G69" s="217">
        <v>3000</v>
      </c>
      <c r="I69" s="123"/>
      <c r="J69" s="123"/>
      <c r="K69" s="123"/>
    </row>
    <row r="70" spans="1:11" ht="15.75" customHeight="1" x14ac:dyDescent="0.25">
      <c r="A70" s="359" t="s">
        <v>46</v>
      </c>
      <c r="B70" s="244" t="s">
        <v>263</v>
      </c>
      <c r="C70" s="360">
        <v>900</v>
      </c>
      <c r="D70" s="360">
        <v>1278</v>
      </c>
      <c r="E70" s="360">
        <v>1320</v>
      </c>
      <c r="F70" s="360">
        <v>1320</v>
      </c>
      <c r="G70" s="360">
        <v>1320</v>
      </c>
      <c r="I70" s="123"/>
      <c r="J70" s="123"/>
      <c r="K70" s="123"/>
    </row>
    <row r="71" spans="1:11" ht="15.75" customHeight="1" thickBot="1" x14ac:dyDescent="0.3">
      <c r="A71" s="245" t="s">
        <v>46</v>
      </c>
      <c r="B71" s="246" t="s">
        <v>229</v>
      </c>
      <c r="C71" s="234">
        <v>0</v>
      </c>
      <c r="D71" s="234">
        <v>0</v>
      </c>
      <c r="E71" s="234">
        <v>54240</v>
      </c>
      <c r="F71" s="234">
        <v>59170</v>
      </c>
      <c r="G71" s="234">
        <v>4930</v>
      </c>
      <c r="I71" s="123"/>
      <c r="J71" s="123"/>
      <c r="K71" s="123"/>
    </row>
    <row r="72" spans="1:11" ht="15.75" thickBot="1" x14ac:dyDescent="0.3">
      <c r="A72" s="668" t="s">
        <v>277</v>
      </c>
      <c r="B72" s="669"/>
      <c r="C72" s="369">
        <f>SUM(C69:C71)</f>
        <v>6000</v>
      </c>
      <c r="D72" s="369">
        <f t="shared" ref="D72:G72" si="14">SUM(D69:D71)</f>
        <v>9255</v>
      </c>
      <c r="E72" s="369">
        <f t="shared" si="14"/>
        <v>58560</v>
      </c>
      <c r="F72" s="369">
        <f t="shared" si="14"/>
        <v>63490</v>
      </c>
      <c r="G72" s="369">
        <f t="shared" si="14"/>
        <v>9250</v>
      </c>
      <c r="I72" s="123"/>
      <c r="J72" s="123"/>
      <c r="K72" s="123"/>
    </row>
    <row r="73" spans="1:11" ht="14.25" customHeight="1" thickBot="1" x14ac:dyDescent="0.3">
      <c r="A73" s="267" t="s">
        <v>46</v>
      </c>
      <c r="B73" s="268" t="s">
        <v>278</v>
      </c>
      <c r="C73" s="269">
        <v>9810</v>
      </c>
      <c r="D73" s="269">
        <v>10244</v>
      </c>
      <c r="E73" s="269">
        <v>9770</v>
      </c>
      <c r="F73" s="269">
        <v>9770</v>
      </c>
      <c r="G73" s="269">
        <v>9770</v>
      </c>
      <c r="I73" s="123"/>
      <c r="J73" s="123"/>
      <c r="K73" s="123"/>
    </row>
    <row r="74" spans="1:11" ht="17.25" customHeight="1" thickBot="1" x14ac:dyDescent="0.3">
      <c r="A74" s="670" t="s">
        <v>182</v>
      </c>
      <c r="B74" s="671"/>
      <c r="C74" s="235">
        <f>C72+C73</f>
        <v>15810</v>
      </c>
      <c r="D74" s="235">
        <f t="shared" ref="D74:G74" si="15">D72+D73</f>
        <v>19499</v>
      </c>
      <c r="E74" s="235">
        <f t="shared" si="15"/>
        <v>68330</v>
      </c>
      <c r="F74" s="235">
        <f t="shared" si="15"/>
        <v>73260</v>
      </c>
      <c r="G74" s="235">
        <f t="shared" si="15"/>
        <v>19020</v>
      </c>
      <c r="I74" s="123"/>
      <c r="J74" s="123"/>
      <c r="K74" s="123"/>
    </row>
    <row r="75" spans="1:11" ht="27" customHeight="1" thickBot="1" x14ac:dyDescent="0.3">
      <c r="A75" s="31" t="s">
        <v>47</v>
      </c>
      <c r="B75" s="20"/>
      <c r="C75" s="32">
        <f>C68+C74</f>
        <v>1935086</v>
      </c>
      <c r="D75" s="32">
        <f t="shared" ref="D75:G75" si="16">D68+D74</f>
        <v>1977948</v>
      </c>
      <c r="E75" s="32">
        <f t="shared" si="16"/>
        <v>2160910</v>
      </c>
      <c r="F75" s="32">
        <f t="shared" si="16"/>
        <v>2092630</v>
      </c>
      <c r="G75" s="32">
        <f t="shared" si="16"/>
        <v>2041490</v>
      </c>
    </row>
    <row r="76" spans="1:11" ht="24.75" customHeight="1" x14ac:dyDescent="0.25">
      <c r="E76" s="214"/>
      <c r="F76" s="214"/>
      <c r="G76" s="214"/>
      <c r="H76" s="35"/>
    </row>
    <row r="77" spans="1:11" ht="16.5" customHeight="1" x14ac:dyDescent="0.25">
      <c r="A77" s="33"/>
      <c r="B77" s="34"/>
      <c r="C77" s="35"/>
      <c r="D77" s="35"/>
      <c r="E77" s="35"/>
      <c r="F77" s="35"/>
      <c r="G77" s="35"/>
    </row>
    <row r="78" spans="1:11" ht="15" customHeight="1" thickBot="1" x14ac:dyDescent="0.3">
      <c r="A78" s="672" t="s">
        <v>48</v>
      </c>
      <c r="B78" s="673"/>
      <c r="C78" s="673"/>
      <c r="D78" s="673"/>
      <c r="E78" s="673"/>
      <c r="F78" s="673"/>
      <c r="G78" s="673"/>
    </row>
    <row r="79" spans="1:11" x14ac:dyDescent="0.25">
      <c r="A79" s="644" t="s">
        <v>1</v>
      </c>
      <c r="B79" s="645"/>
      <c r="C79" s="685" t="s">
        <v>233</v>
      </c>
      <c r="D79" s="638" t="s">
        <v>230</v>
      </c>
      <c r="E79" s="638">
        <v>2019</v>
      </c>
      <c r="F79" s="638">
        <v>2020</v>
      </c>
      <c r="G79" s="638">
        <v>2021</v>
      </c>
    </row>
    <row r="80" spans="1:11" ht="15.75" thickBot="1" x14ac:dyDescent="0.3">
      <c r="A80" s="646"/>
      <c r="B80" s="647"/>
      <c r="C80" s="686"/>
      <c r="D80" s="639"/>
      <c r="E80" s="639"/>
      <c r="F80" s="639"/>
      <c r="G80" s="639"/>
    </row>
    <row r="81" spans="1:7" ht="15.75" thickBot="1" x14ac:dyDescent="0.3">
      <c r="A81" s="36" t="s">
        <v>49</v>
      </c>
      <c r="B81" s="37"/>
      <c r="C81" s="38">
        <f t="shared" ref="C81:G81" si="17">SUM(C82:C86)</f>
        <v>219900</v>
      </c>
      <c r="D81" s="38">
        <f t="shared" si="17"/>
        <v>230911</v>
      </c>
      <c r="E81" s="38">
        <f t="shared" si="17"/>
        <v>269300</v>
      </c>
      <c r="F81" s="38">
        <f t="shared" si="17"/>
        <v>250500</v>
      </c>
      <c r="G81" s="38">
        <f t="shared" si="17"/>
        <v>252100</v>
      </c>
    </row>
    <row r="82" spans="1:7" x14ac:dyDescent="0.25">
      <c r="A82" s="135" t="s">
        <v>50</v>
      </c>
      <c r="B82" s="39" t="s">
        <v>51</v>
      </c>
      <c r="C82" s="178">
        <v>119600</v>
      </c>
      <c r="D82" s="169">
        <f>119600+300+300</f>
        <v>120200</v>
      </c>
      <c r="E82" s="169">
        <v>121700</v>
      </c>
      <c r="F82" s="169">
        <v>111500</v>
      </c>
      <c r="G82" s="169">
        <v>114100</v>
      </c>
    </row>
    <row r="83" spans="1:7" x14ac:dyDescent="0.25">
      <c r="A83" s="136" t="s">
        <v>52</v>
      </c>
      <c r="B83" s="25" t="s">
        <v>173</v>
      </c>
      <c r="C83" s="179">
        <v>55600</v>
      </c>
      <c r="D83" s="168">
        <f>56650+50+7800-300</f>
        <v>64200</v>
      </c>
      <c r="E83" s="168">
        <v>86600</v>
      </c>
      <c r="F83" s="168">
        <v>81400</v>
      </c>
      <c r="G83" s="168">
        <v>81400</v>
      </c>
    </row>
    <row r="84" spans="1:7" x14ac:dyDescent="0.25">
      <c r="A84" s="136" t="s">
        <v>53</v>
      </c>
      <c r="B84" s="25" t="s">
        <v>172</v>
      </c>
      <c r="C84" s="179">
        <v>2000</v>
      </c>
      <c r="D84" s="168">
        <f>2391+500+800</f>
        <v>3691</v>
      </c>
      <c r="E84" s="168">
        <v>4000</v>
      </c>
      <c r="F84" s="168">
        <v>4000</v>
      </c>
      <c r="G84" s="168">
        <v>4000</v>
      </c>
    </row>
    <row r="85" spans="1:7" x14ac:dyDescent="0.25">
      <c r="A85" s="137" t="s">
        <v>54</v>
      </c>
      <c r="B85" s="25" t="s">
        <v>55</v>
      </c>
      <c r="C85" s="168">
        <v>39700</v>
      </c>
      <c r="D85" s="168">
        <f>39700+120</f>
        <v>39820</v>
      </c>
      <c r="E85" s="168">
        <v>53000</v>
      </c>
      <c r="F85" s="168">
        <v>50600</v>
      </c>
      <c r="G85" s="168">
        <v>50600</v>
      </c>
    </row>
    <row r="86" spans="1:7" ht="15.75" thickBot="1" x14ac:dyDescent="0.3">
      <c r="A86" s="138" t="s">
        <v>56</v>
      </c>
      <c r="B86" s="3" t="s">
        <v>57</v>
      </c>
      <c r="C86" s="42">
        <v>3000</v>
      </c>
      <c r="D86" s="42">
        <v>3000</v>
      </c>
      <c r="E86" s="42">
        <v>4000</v>
      </c>
      <c r="F86" s="42">
        <v>3000</v>
      </c>
      <c r="G86" s="42">
        <v>2000</v>
      </c>
    </row>
    <row r="87" spans="1:7" ht="15.75" thickBot="1" x14ac:dyDescent="0.3">
      <c r="A87" s="43" t="s">
        <v>58</v>
      </c>
      <c r="B87" s="44"/>
      <c r="C87" s="38">
        <f t="shared" ref="C87:G87" si="18">SUM(C88)</f>
        <v>1420</v>
      </c>
      <c r="D87" s="38">
        <f>SUM(D88)</f>
        <v>1442</v>
      </c>
      <c r="E87" s="38">
        <f t="shared" si="18"/>
        <v>1660</v>
      </c>
      <c r="F87" s="38">
        <f t="shared" si="18"/>
        <v>1710</v>
      </c>
      <c r="G87" s="38">
        <f t="shared" si="18"/>
        <v>1710</v>
      </c>
    </row>
    <row r="88" spans="1:7" ht="15.75" thickBot="1" x14ac:dyDescent="0.3">
      <c r="A88" s="139" t="s">
        <v>59</v>
      </c>
      <c r="B88" s="34" t="s">
        <v>60</v>
      </c>
      <c r="C88" s="180">
        <v>1420</v>
      </c>
      <c r="D88" s="180">
        <f>1420+22</f>
        <v>1442</v>
      </c>
      <c r="E88" s="180">
        <v>1660</v>
      </c>
      <c r="F88" s="180">
        <v>1710</v>
      </c>
      <c r="G88" s="180">
        <v>1710</v>
      </c>
    </row>
    <row r="89" spans="1:7" ht="15.75" thickBot="1" x14ac:dyDescent="0.3">
      <c r="A89" s="43" t="s">
        <v>61</v>
      </c>
      <c r="B89" s="44"/>
      <c r="C89" s="38">
        <f t="shared" ref="C89:G89" si="19">SUM(C90:C91)</f>
        <v>11200</v>
      </c>
      <c r="D89" s="38">
        <f t="shared" ref="D89" si="20">SUM(D90:D91)</f>
        <v>12100</v>
      </c>
      <c r="E89" s="38">
        <f t="shared" si="19"/>
        <v>14900</v>
      </c>
      <c r="F89" s="38">
        <f t="shared" si="19"/>
        <v>14200</v>
      </c>
      <c r="G89" s="38">
        <f t="shared" si="19"/>
        <v>14500</v>
      </c>
    </row>
    <row r="90" spans="1:7" x14ac:dyDescent="0.25">
      <c r="A90" s="45" t="s">
        <v>62</v>
      </c>
      <c r="B90" s="46" t="s">
        <v>63</v>
      </c>
      <c r="C90" s="47">
        <v>10900</v>
      </c>
      <c r="D90" s="47">
        <v>10900</v>
      </c>
      <c r="E90" s="47">
        <v>13600</v>
      </c>
      <c r="F90" s="47">
        <v>12900</v>
      </c>
      <c r="G90" s="47">
        <v>13200</v>
      </c>
    </row>
    <row r="91" spans="1:7" ht="15.75" thickBot="1" x14ac:dyDescent="0.3">
      <c r="A91" s="48" t="s">
        <v>64</v>
      </c>
      <c r="B91" s="49" t="s">
        <v>65</v>
      </c>
      <c r="C91" s="50">
        <v>300</v>
      </c>
      <c r="D91" s="50">
        <f>300+900</f>
        <v>1200</v>
      </c>
      <c r="E91" s="50">
        <v>1300</v>
      </c>
      <c r="F91" s="50">
        <v>1300</v>
      </c>
      <c r="G91" s="50">
        <v>1300</v>
      </c>
    </row>
    <row r="92" spans="1:7" ht="15.75" thickBot="1" x14ac:dyDescent="0.3">
      <c r="A92" s="36" t="s">
        <v>66</v>
      </c>
      <c r="B92" s="140"/>
      <c r="C92" s="38">
        <f t="shared" ref="C92:G92" si="21">SUM(C93:C96)</f>
        <v>65850</v>
      </c>
      <c r="D92" s="38">
        <f t="shared" si="21"/>
        <v>80090</v>
      </c>
      <c r="E92" s="38">
        <f t="shared" si="21"/>
        <v>66150</v>
      </c>
      <c r="F92" s="38">
        <f t="shared" si="21"/>
        <v>59450</v>
      </c>
      <c r="G92" s="38">
        <f t="shared" si="21"/>
        <v>59450</v>
      </c>
    </row>
    <row r="93" spans="1:7" x14ac:dyDescent="0.25">
      <c r="A93" s="51" t="s">
        <v>67</v>
      </c>
      <c r="B93" s="14" t="s">
        <v>68</v>
      </c>
      <c r="C93" s="15">
        <v>23800</v>
      </c>
      <c r="D93" s="15">
        <f t="shared" ref="D93" si="22">23800+3500</f>
        <v>27300</v>
      </c>
      <c r="E93" s="15">
        <v>20200</v>
      </c>
      <c r="F93" s="15">
        <v>20500</v>
      </c>
      <c r="G93" s="15">
        <v>20500</v>
      </c>
    </row>
    <row r="94" spans="1:7" x14ac:dyDescent="0.25">
      <c r="A94" s="137" t="s">
        <v>69</v>
      </c>
      <c r="B94" s="25" t="s">
        <v>70</v>
      </c>
      <c r="C94" s="41">
        <v>19500</v>
      </c>
      <c r="D94" s="18">
        <f>19500+740</f>
        <v>20240</v>
      </c>
      <c r="E94" s="41">
        <v>20800</v>
      </c>
      <c r="F94" s="41">
        <v>20800</v>
      </c>
      <c r="G94" s="18">
        <v>20800</v>
      </c>
    </row>
    <row r="95" spans="1:7" x14ac:dyDescent="0.25">
      <c r="A95" s="137" t="s">
        <v>71</v>
      </c>
      <c r="B95" s="25" t="s">
        <v>72</v>
      </c>
      <c r="C95" s="18">
        <v>22400</v>
      </c>
      <c r="D95" s="18">
        <f>22400+10000</f>
        <v>32400</v>
      </c>
      <c r="E95" s="18">
        <v>25000</v>
      </c>
      <c r="F95" s="18">
        <v>18000</v>
      </c>
      <c r="G95" s="18">
        <v>18000</v>
      </c>
    </row>
    <row r="96" spans="1:7" ht="15.75" thickBot="1" x14ac:dyDescent="0.3">
      <c r="A96" s="137" t="s">
        <v>73</v>
      </c>
      <c r="B96" s="25" t="s">
        <v>74</v>
      </c>
      <c r="C96" s="18">
        <v>150</v>
      </c>
      <c r="D96" s="18">
        <v>150</v>
      </c>
      <c r="E96" s="18">
        <v>150</v>
      </c>
      <c r="F96" s="18">
        <v>150</v>
      </c>
      <c r="G96" s="18">
        <v>150</v>
      </c>
    </row>
    <row r="97" spans="1:7" ht="15.75" thickBot="1" x14ac:dyDescent="0.3">
      <c r="A97" s="652" t="s">
        <v>75</v>
      </c>
      <c r="B97" s="653"/>
      <c r="C97" s="38">
        <f t="shared" ref="C97:G97" si="23">SUM(C98:C101)</f>
        <v>96350</v>
      </c>
      <c r="D97" s="38">
        <f t="shared" si="23"/>
        <v>97850</v>
      </c>
      <c r="E97" s="38">
        <f t="shared" si="23"/>
        <v>112450</v>
      </c>
      <c r="F97" s="38">
        <f t="shared" si="23"/>
        <v>106850</v>
      </c>
      <c r="G97" s="38">
        <f t="shared" si="23"/>
        <v>111750</v>
      </c>
    </row>
    <row r="98" spans="1:7" x14ac:dyDescent="0.25">
      <c r="A98" s="141" t="s">
        <v>76</v>
      </c>
      <c r="B98" s="52" t="s">
        <v>260</v>
      </c>
      <c r="C98" s="53">
        <v>51800</v>
      </c>
      <c r="D98" s="53">
        <v>55300</v>
      </c>
      <c r="E98" s="53">
        <v>66000</v>
      </c>
      <c r="F98" s="53">
        <v>61900</v>
      </c>
      <c r="G98" s="53">
        <v>65300</v>
      </c>
    </row>
    <row r="99" spans="1:7" x14ac:dyDescent="0.25">
      <c r="A99" s="137" t="s">
        <v>77</v>
      </c>
      <c r="B99" s="25" t="s">
        <v>78</v>
      </c>
      <c r="C99" s="41">
        <v>36700</v>
      </c>
      <c r="D99" s="18">
        <f>36700-2000</f>
        <v>34700</v>
      </c>
      <c r="E99" s="307">
        <v>36800</v>
      </c>
      <c r="F99" s="305">
        <v>35000</v>
      </c>
      <c r="G99" s="41">
        <v>36500</v>
      </c>
    </row>
    <row r="100" spans="1:7" x14ac:dyDescent="0.25">
      <c r="A100" s="139" t="s">
        <v>79</v>
      </c>
      <c r="B100" s="54" t="s">
        <v>80</v>
      </c>
      <c r="C100" s="55">
        <v>1250</v>
      </c>
      <c r="D100" s="55">
        <v>1250</v>
      </c>
      <c r="E100" s="308">
        <v>1450</v>
      </c>
      <c r="F100" s="318">
        <v>1650</v>
      </c>
      <c r="G100" s="306">
        <v>1650</v>
      </c>
    </row>
    <row r="101" spans="1:7" ht="15.75" thickBot="1" x14ac:dyDescent="0.3">
      <c r="A101" s="142" t="s">
        <v>81</v>
      </c>
      <c r="B101" s="56" t="s">
        <v>170</v>
      </c>
      <c r="C101" s="57">
        <v>6600</v>
      </c>
      <c r="D101" s="304">
        <v>6600</v>
      </c>
      <c r="E101" s="309">
        <v>8200</v>
      </c>
      <c r="F101" s="309">
        <v>8300</v>
      </c>
      <c r="G101" s="309">
        <v>8300</v>
      </c>
    </row>
    <row r="102" spans="1:7" ht="15.75" thickBot="1" x14ac:dyDescent="0.3">
      <c r="A102" s="36" t="s">
        <v>82</v>
      </c>
      <c r="B102" s="140"/>
      <c r="C102" s="38">
        <f t="shared" ref="C102:G102" si="24">SUM(C103:C105)</f>
        <v>147976</v>
      </c>
      <c r="D102" s="310">
        <f t="shared" si="24"/>
        <v>159066</v>
      </c>
      <c r="E102" s="310">
        <f t="shared" si="24"/>
        <v>167335</v>
      </c>
      <c r="F102" s="310">
        <f t="shared" si="24"/>
        <v>160165</v>
      </c>
      <c r="G102" s="310">
        <f t="shared" si="24"/>
        <v>160350</v>
      </c>
    </row>
    <row r="103" spans="1:7" x14ac:dyDescent="0.25">
      <c r="A103" s="51" t="s">
        <v>83</v>
      </c>
      <c r="B103" s="39" t="s">
        <v>84</v>
      </c>
      <c r="C103" s="178">
        <v>110376</v>
      </c>
      <c r="D103" s="319">
        <f>110376-1320+2200-1500+1500</f>
        <v>111256</v>
      </c>
      <c r="E103" s="311">
        <v>128035</v>
      </c>
      <c r="F103" s="319">
        <v>121565</v>
      </c>
      <c r="G103" s="319">
        <v>121750</v>
      </c>
    </row>
    <row r="104" spans="1:7" x14ac:dyDescent="0.25">
      <c r="A104" s="58" t="s">
        <v>85</v>
      </c>
      <c r="B104" s="25" t="s">
        <v>86</v>
      </c>
      <c r="C104" s="41">
        <v>21000</v>
      </c>
      <c r="D104" s="320">
        <f>21000</f>
        <v>21000</v>
      </c>
      <c r="E104" s="307">
        <v>20800</v>
      </c>
      <c r="F104" s="320">
        <v>20600</v>
      </c>
      <c r="G104" s="320">
        <v>20600</v>
      </c>
    </row>
    <row r="105" spans="1:7" ht="15.75" thickBot="1" x14ac:dyDescent="0.3">
      <c r="A105" s="59" t="s">
        <v>87</v>
      </c>
      <c r="B105" s="56" t="s">
        <v>88</v>
      </c>
      <c r="C105" s="181">
        <v>16600</v>
      </c>
      <c r="D105" s="312">
        <f>16600+4810+300+2000+150+1400+1400+150</f>
        <v>26810</v>
      </c>
      <c r="E105" s="312">
        <v>18500</v>
      </c>
      <c r="F105" s="312">
        <v>18000</v>
      </c>
      <c r="G105" s="312">
        <v>18000</v>
      </c>
    </row>
    <row r="106" spans="1:7" ht="15.75" thickBot="1" x14ac:dyDescent="0.3">
      <c r="A106" s="60" t="s">
        <v>89</v>
      </c>
      <c r="B106" s="143"/>
      <c r="C106" s="61">
        <f>SUM(C107:C110)</f>
        <v>370</v>
      </c>
      <c r="D106" s="313">
        <f>SUM(D107:D110)</f>
        <v>390</v>
      </c>
      <c r="E106" s="313">
        <f t="shared" ref="E106:G106" si="25">SUM(E107:E110)</f>
        <v>700</v>
      </c>
      <c r="F106" s="313">
        <f t="shared" si="25"/>
        <v>660</v>
      </c>
      <c r="G106" s="313">
        <f t="shared" si="25"/>
        <v>630</v>
      </c>
    </row>
    <row r="107" spans="1:7" x14ac:dyDescent="0.25">
      <c r="A107" s="45" t="s">
        <v>90</v>
      </c>
      <c r="B107" s="52" t="s">
        <v>91</v>
      </c>
      <c r="C107" s="53">
        <v>50</v>
      </c>
      <c r="D107" s="314">
        <v>50</v>
      </c>
      <c r="E107" s="314">
        <v>50</v>
      </c>
      <c r="F107" s="314">
        <v>50</v>
      </c>
      <c r="G107" s="314">
        <v>50</v>
      </c>
    </row>
    <row r="108" spans="1:7" x14ac:dyDescent="0.25">
      <c r="A108" s="58" t="s">
        <v>92</v>
      </c>
      <c r="B108" s="25" t="s">
        <v>93</v>
      </c>
      <c r="C108" s="179">
        <v>50</v>
      </c>
      <c r="D108" s="321">
        <f>50+20</f>
        <v>70</v>
      </c>
      <c r="E108" s="315">
        <v>50</v>
      </c>
      <c r="F108" s="321">
        <v>50</v>
      </c>
      <c r="G108" s="321">
        <v>50</v>
      </c>
    </row>
    <row r="109" spans="1:7" ht="15.75" thickBot="1" x14ac:dyDescent="0.3">
      <c r="A109" s="59" t="s">
        <v>94</v>
      </c>
      <c r="B109" s="56" t="s">
        <v>95</v>
      </c>
      <c r="C109" s="57">
        <v>270</v>
      </c>
      <c r="D109" s="309">
        <v>270</v>
      </c>
      <c r="E109" s="309">
        <v>300</v>
      </c>
      <c r="F109" s="309">
        <v>260</v>
      </c>
      <c r="G109" s="309">
        <v>230</v>
      </c>
    </row>
    <row r="110" spans="1:7" ht="15.75" thickBot="1" x14ac:dyDescent="0.3">
      <c r="A110" s="279" t="s">
        <v>242</v>
      </c>
      <c r="B110" s="87" t="s">
        <v>261</v>
      </c>
      <c r="C110" s="42">
        <v>0</v>
      </c>
      <c r="D110" s="316">
        <v>0</v>
      </c>
      <c r="E110" s="316">
        <v>300</v>
      </c>
      <c r="F110" s="316">
        <v>300</v>
      </c>
      <c r="G110" s="316">
        <v>300</v>
      </c>
    </row>
    <row r="111" spans="1:7" ht="15.75" thickBot="1" x14ac:dyDescent="0.3">
      <c r="A111" s="62" t="s">
        <v>96</v>
      </c>
      <c r="B111" s="63"/>
      <c r="C111" s="64">
        <f t="shared" ref="C111:G111" si="26">SUM(C112:C116)</f>
        <v>128100</v>
      </c>
      <c r="D111" s="317">
        <f t="shared" si="26"/>
        <v>160584</v>
      </c>
      <c r="E111" s="317">
        <f t="shared" si="26"/>
        <v>132750</v>
      </c>
      <c r="F111" s="317">
        <f t="shared" si="26"/>
        <v>128750</v>
      </c>
      <c r="G111" s="317">
        <f t="shared" si="26"/>
        <v>127750</v>
      </c>
    </row>
    <row r="112" spans="1:7" x14ac:dyDescent="0.25">
      <c r="A112" s="141" t="s">
        <v>97</v>
      </c>
      <c r="B112" s="52" t="s">
        <v>98</v>
      </c>
      <c r="C112" s="53">
        <v>21300</v>
      </c>
      <c r="D112" s="322">
        <f>21300+3500</f>
        <v>24800</v>
      </c>
      <c r="E112" s="47">
        <v>20700</v>
      </c>
      <c r="F112" s="322">
        <v>19700</v>
      </c>
      <c r="G112" s="322">
        <v>19700</v>
      </c>
    </row>
    <row r="113" spans="1:7" x14ac:dyDescent="0.25">
      <c r="A113" s="144" t="s">
        <v>99</v>
      </c>
      <c r="B113" s="65" t="s">
        <v>198</v>
      </c>
      <c r="C113" s="15">
        <v>79000</v>
      </c>
      <c r="D113" s="323">
        <f>79000+11500+1000+3600+2000+5800+1000+150-1400+3000-3000+5100-3000-2066</f>
        <v>102684</v>
      </c>
      <c r="E113" s="15">
        <v>81800</v>
      </c>
      <c r="F113" s="323">
        <v>81800</v>
      </c>
      <c r="G113" s="323">
        <v>80800</v>
      </c>
    </row>
    <row r="114" spans="1:7" x14ac:dyDescent="0.25">
      <c r="A114" s="144" t="s">
        <v>100</v>
      </c>
      <c r="B114" s="39" t="s">
        <v>101</v>
      </c>
      <c r="C114" s="40">
        <v>3700</v>
      </c>
      <c r="D114" s="15">
        <v>3700</v>
      </c>
      <c r="E114" s="15">
        <v>3950</v>
      </c>
      <c r="F114" s="15">
        <v>3850</v>
      </c>
      <c r="G114" s="15">
        <v>3850</v>
      </c>
    </row>
    <row r="115" spans="1:7" x14ac:dyDescent="0.25">
      <c r="A115" s="144" t="s">
        <v>102</v>
      </c>
      <c r="B115" s="39" t="s">
        <v>103</v>
      </c>
      <c r="C115" s="40">
        <v>14100</v>
      </c>
      <c r="D115" s="15">
        <v>14100</v>
      </c>
      <c r="E115" s="15">
        <v>16300</v>
      </c>
      <c r="F115" s="15">
        <v>13400</v>
      </c>
      <c r="G115" s="15">
        <v>13400</v>
      </c>
    </row>
    <row r="116" spans="1:7" ht="15.75" thickBot="1" x14ac:dyDescent="0.3">
      <c r="A116" s="142" t="s">
        <v>104</v>
      </c>
      <c r="B116" s="56" t="s">
        <v>169</v>
      </c>
      <c r="C116" s="57">
        <v>10000</v>
      </c>
      <c r="D116" s="181">
        <f>10000+3000+2300</f>
        <v>15300</v>
      </c>
      <c r="E116" s="181">
        <v>10000</v>
      </c>
      <c r="F116" s="181">
        <v>10000</v>
      </c>
      <c r="G116" s="181">
        <v>10000</v>
      </c>
    </row>
    <row r="117" spans="1:7" ht="15.75" thickBot="1" x14ac:dyDescent="0.3">
      <c r="A117" s="43" t="s">
        <v>105</v>
      </c>
      <c r="B117" s="44"/>
      <c r="C117" s="38">
        <f t="shared" ref="C117" si="27">SUM(C118:C124)</f>
        <v>269820</v>
      </c>
      <c r="D117" s="38">
        <f t="shared" ref="D117:G117" si="28">SUM(D118:D124)</f>
        <v>262765</v>
      </c>
      <c r="E117" s="38">
        <f t="shared" si="28"/>
        <v>309800</v>
      </c>
      <c r="F117" s="38">
        <f t="shared" si="28"/>
        <v>294650</v>
      </c>
      <c r="G117" s="38">
        <f t="shared" si="28"/>
        <v>294650</v>
      </c>
    </row>
    <row r="118" spans="1:7" x14ac:dyDescent="0.25">
      <c r="A118" s="66" t="s">
        <v>106</v>
      </c>
      <c r="B118" s="67" t="s">
        <v>107</v>
      </c>
      <c r="C118" s="86">
        <v>119800</v>
      </c>
      <c r="D118" s="86">
        <f>119800-195</f>
        <v>119605</v>
      </c>
      <c r="E118" s="86">
        <v>149400</v>
      </c>
      <c r="F118" s="86">
        <v>137000</v>
      </c>
      <c r="G118" s="86">
        <v>137000</v>
      </c>
    </row>
    <row r="119" spans="1:7" x14ac:dyDescent="0.25">
      <c r="A119" s="68" t="s">
        <v>108</v>
      </c>
      <c r="B119" s="17" t="s">
        <v>196</v>
      </c>
      <c r="C119" s="168">
        <v>3500</v>
      </c>
      <c r="D119" s="168">
        <f>3500-220-48</f>
        <v>3232</v>
      </c>
      <c r="E119" s="168">
        <v>3000</v>
      </c>
      <c r="F119" s="168">
        <v>3000</v>
      </c>
      <c r="G119" s="168">
        <v>3000</v>
      </c>
    </row>
    <row r="120" spans="1:7" x14ac:dyDescent="0.25">
      <c r="A120" s="68" t="s">
        <v>109</v>
      </c>
      <c r="B120" s="17" t="s">
        <v>110</v>
      </c>
      <c r="C120" s="168">
        <v>22400</v>
      </c>
      <c r="D120" s="168">
        <f>22400-300+60</f>
        <v>22160</v>
      </c>
      <c r="E120" s="168">
        <v>27800</v>
      </c>
      <c r="F120" s="168">
        <v>27800</v>
      </c>
      <c r="G120" s="168">
        <v>27800</v>
      </c>
    </row>
    <row r="121" spans="1:7" x14ac:dyDescent="0.25">
      <c r="A121" s="68" t="s">
        <v>111</v>
      </c>
      <c r="B121" s="17" t="s">
        <v>112</v>
      </c>
      <c r="C121" s="18">
        <v>33300</v>
      </c>
      <c r="D121" s="18">
        <f>33300+300+110</f>
        <v>33710</v>
      </c>
      <c r="E121" s="18">
        <v>41200</v>
      </c>
      <c r="F121" s="18">
        <v>41000</v>
      </c>
      <c r="G121" s="18">
        <v>41000</v>
      </c>
    </row>
    <row r="122" spans="1:7" x14ac:dyDescent="0.25">
      <c r="A122" s="68" t="s">
        <v>113</v>
      </c>
      <c r="B122" s="17" t="s">
        <v>114</v>
      </c>
      <c r="C122" s="18">
        <v>33300</v>
      </c>
      <c r="D122" s="18">
        <f>33300+300+110</f>
        <v>33710</v>
      </c>
      <c r="E122" s="18">
        <v>41200</v>
      </c>
      <c r="F122" s="18">
        <v>41000</v>
      </c>
      <c r="G122" s="18">
        <v>41000</v>
      </c>
    </row>
    <row r="123" spans="1:7" x14ac:dyDescent="0.25">
      <c r="A123" s="69" t="s">
        <v>115</v>
      </c>
      <c r="B123" s="17" t="s">
        <v>116</v>
      </c>
      <c r="C123" s="70">
        <v>54800</v>
      </c>
      <c r="D123" s="70">
        <f>54800-7580-300+600+60+48</f>
        <v>47628</v>
      </c>
      <c r="E123" s="70">
        <v>43900</v>
      </c>
      <c r="F123" s="70">
        <v>41400</v>
      </c>
      <c r="G123" s="70">
        <v>41400</v>
      </c>
    </row>
    <row r="124" spans="1:7" ht="15.75" thickBot="1" x14ac:dyDescent="0.3">
      <c r="A124" s="68" t="s">
        <v>117</v>
      </c>
      <c r="B124" s="17" t="s">
        <v>118</v>
      </c>
      <c r="C124" s="70">
        <v>2720</v>
      </c>
      <c r="D124" s="70">
        <v>2720</v>
      </c>
      <c r="E124" s="70">
        <v>3300</v>
      </c>
      <c r="F124" s="70">
        <v>3450</v>
      </c>
      <c r="G124" s="70">
        <v>3450</v>
      </c>
    </row>
    <row r="125" spans="1:7" ht="15.75" thickBot="1" x14ac:dyDescent="0.3">
      <c r="A125" s="36" t="s">
        <v>119</v>
      </c>
      <c r="B125" s="37"/>
      <c r="C125" s="38">
        <f t="shared" ref="C125:G125" si="29">SUM(C126:C130)</f>
        <v>261200</v>
      </c>
      <c r="D125" s="38">
        <f t="shared" ref="D125" si="30">SUM(D126:D130)</f>
        <v>253900</v>
      </c>
      <c r="E125" s="38">
        <f t="shared" si="29"/>
        <v>307100</v>
      </c>
      <c r="F125" s="38">
        <f t="shared" si="29"/>
        <v>274100</v>
      </c>
      <c r="G125" s="38">
        <f t="shared" si="29"/>
        <v>274100</v>
      </c>
    </row>
    <row r="126" spans="1:7" x14ac:dyDescent="0.25">
      <c r="A126" s="144" t="s">
        <v>120</v>
      </c>
      <c r="B126" s="39" t="s">
        <v>262</v>
      </c>
      <c r="C126" s="40">
        <v>163900</v>
      </c>
      <c r="D126" s="15">
        <f>152200+500+1000+2600+300</f>
        <v>156600</v>
      </c>
      <c r="E126" s="15">
        <v>276500</v>
      </c>
      <c r="F126" s="15">
        <v>243500</v>
      </c>
      <c r="G126" s="15">
        <v>243500</v>
      </c>
    </row>
    <row r="127" spans="1:7" x14ac:dyDescent="0.25">
      <c r="A127" s="144" t="s">
        <v>121</v>
      </c>
      <c r="B127" s="39" t="s">
        <v>167</v>
      </c>
      <c r="C127" s="40">
        <f t="shared" ref="C127:D127" si="31">7200+3000</f>
        <v>10200</v>
      </c>
      <c r="D127" s="40">
        <f t="shared" si="31"/>
        <v>10200</v>
      </c>
      <c r="E127" s="15">
        <v>8200</v>
      </c>
      <c r="F127" s="15">
        <v>8200</v>
      </c>
      <c r="G127" s="40">
        <v>8200</v>
      </c>
    </row>
    <row r="128" spans="1:7" x14ac:dyDescent="0.25">
      <c r="A128" s="137" t="s">
        <v>122</v>
      </c>
      <c r="B128" s="25" t="s">
        <v>168</v>
      </c>
      <c r="C128" s="41">
        <v>86100</v>
      </c>
      <c r="D128" s="41">
        <v>86100</v>
      </c>
      <c r="E128" s="41">
        <v>21400</v>
      </c>
      <c r="F128" s="41">
        <v>21400</v>
      </c>
      <c r="G128" s="41">
        <v>21400</v>
      </c>
    </row>
    <row r="129" spans="1:13" x14ac:dyDescent="0.25">
      <c r="A129" s="137" t="s">
        <v>123</v>
      </c>
      <c r="B129" s="25" t="s">
        <v>124</v>
      </c>
      <c r="C129" s="41">
        <v>500</v>
      </c>
      <c r="D129" s="41">
        <v>500</v>
      </c>
      <c r="E129" s="41">
        <v>500</v>
      </c>
      <c r="F129" s="41">
        <v>500</v>
      </c>
      <c r="G129" s="41">
        <v>500</v>
      </c>
    </row>
    <row r="130" spans="1:13" ht="15.75" thickBot="1" x14ac:dyDescent="0.3">
      <c r="A130" s="142" t="s">
        <v>125</v>
      </c>
      <c r="B130" s="56" t="s">
        <v>126</v>
      </c>
      <c r="C130" s="57">
        <v>500</v>
      </c>
      <c r="D130" s="57">
        <v>500</v>
      </c>
      <c r="E130" s="57">
        <v>500</v>
      </c>
      <c r="F130" s="57">
        <v>500</v>
      </c>
      <c r="G130" s="57">
        <v>500</v>
      </c>
      <c r="I130" s="123"/>
      <c r="J130" s="123"/>
      <c r="K130" s="123"/>
    </row>
    <row r="131" spans="1:13" ht="16.5" thickBot="1" x14ac:dyDescent="0.3">
      <c r="A131" s="71" t="s">
        <v>127</v>
      </c>
      <c r="B131" s="143"/>
      <c r="C131" s="72">
        <f t="shared" ref="C131:G131" si="32">SUM(C81+C87+C89+C92+C97+C102+C106+C111+C117+C125)</f>
        <v>1202186</v>
      </c>
      <c r="D131" s="72">
        <f t="shared" si="32"/>
        <v>1259098</v>
      </c>
      <c r="E131" s="72">
        <f t="shared" si="32"/>
        <v>1382145</v>
      </c>
      <c r="F131" s="72">
        <f t="shared" si="32"/>
        <v>1291035</v>
      </c>
      <c r="G131" s="72">
        <f t="shared" si="32"/>
        <v>1296990</v>
      </c>
      <c r="I131" s="123"/>
      <c r="J131" s="123"/>
    </row>
    <row r="132" spans="1:13" x14ac:dyDescent="0.25">
      <c r="A132" s="247" t="s">
        <v>231</v>
      </c>
      <c r="B132" s="248" t="s">
        <v>264</v>
      </c>
      <c r="C132" s="249">
        <f>C67</f>
        <v>437100</v>
      </c>
      <c r="D132" s="249">
        <f>D67</f>
        <v>446556</v>
      </c>
      <c r="E132" s="249">
        <f>E67</f>
        <v>472270</v>
      </c>
      <c r="F132" s="249">
        <f>F67</f>
        <v>472270</v>
      </c>
      <c r="G132" s="249">
        <f>G67</f>
        <v>472270</v>
      </c>
      <c r="I132" s="123"/>
      <c r="J132" s="123"/>
    </row>
    <row r="133" spans="1:13" x14ac:dyDescent="0.25">
      <c r="A133" s="263" t="s">
        <v>231</v>
      </c>
      <c r="B133" s="264" t="s">
        <v>225</v>
      </c>
      <c r="C133" s="265">
        <f>C69</f>
        <v>5100</v>
      </c>
      <c r="D133" s="265">
        <f>D69</f>
        <v>7977</v>
      </c>
      <c r="E133" s="265">
        <f>E69</f>
        <v>3000</v>
      </c>
      <c r="F133" s="265">
        <f>F69</f>
        <v>3000</v>
      </c>
      <c r="G133" s="265">
        <f>G69</f>
        <v>3000</v>
      </c>
      <c r="I133" s="123"/>
      <c r="J133" s="123"/>
      <c r="L133" s="123"/>
      <c r="M133" s="123"/>
    </row>
    <row r="134" spans="1:13" x14ac:dyDescent="0.25">
      <c r="A134" s="263" t="s">
        <v>231</v>
      </c>
      <c r="B134" s="264" t="s">
        <v>265</v>
      </c>
      <c r="C134" s="265">
        <f>C71</f>
        <v>0</v>
      </c>
      <c r="D134" s="265">
        <v>0</v>
      </c>
      <c r="E134" s="265">
        <v>54240</v>
      </c>
      <c r="F134" s="265">
        <v>59170</v>
      </c>
      <c r="G134" s="265">
        <v>4930</v>
      </c>
      <c r="I134" s="123"/>
      <c r="J134" s="123"/>
      <c r="K134" s="123"/>
    </row>
    <row r="135" spans="1:13" ht="16.5" customHeight="1" thickBot="1" x14ac:dyDescent="0.3">
      <c r="A135" s="364" t="s">
        <v>231</v>
      </c>
      <c r="B135" s="365" t="s">
        <v>266</v>
      </c>
      <c r="C135" s="366">
        <v>0</v>
      </c>
      <c r="D135" s="366">
        <v>100</v>
      </c>
      <c r="E135" s="366">
        <v>2855</v>
      </c>
      <c r="F135" s="366">
        <v>3115</v>
      </c>
      <c r="G135" s="366">
        <v>260</v>
      </c>
      <c r="I135" s="123"/>
      <c r="J135" s="123"/>
      <c r="K135" s="123"/>
    </row>
    <row r="136" spans="1:13" ht="16.5" customHeight="1" x14ac:dyDescent="0.25">
      <c r="A136" s="361" t="s">
        <v>108</v>
      </c>
      <c r="B136" s="362" t="s">
        <v>267</v>
      </c>
      <c r="C136" s="363">
        <v>20000</v>
      </c>
      <c r="D136" s="363">
        <v>20000</v>
      </c>
      <c r="E136" s="363">
        <v>22500</v>
      </c>
      <c r="F136" s="363">
        <v>22500</v>
      </c>
      <c r="G136" s="363">
        <v>22500</v>
      </c>
      <c r="I136" s="123"/>
      <c r="J136" s="123"/>
      <c r="K136" s="123"/>
    </row>
    <row r="137" spans="1:13" ht="15.75" thickBot="1" x14ac:dyDescent="0.3">
      <c r="A137" s="263" t="s">
        <v>108</v>
      </c>
      <c r="B137" s="264" t="s">
        <v>268</v>
      </c>
      <c r="C137" s="265">
        <f>C70</f>
        <v>900</v>
      </c>
      <c r="D137" s="265">
        <f>D70</f>
        <v>1278</v>
      </c>
      <c r="E137" s="265">
        <f>E70</f>
        <v>1320</v>
      </c>
      <c r="F137" s="265">
        <f>F70</f>
        <v>1320</v>
      </c>
      <c r="G137" s="265">
        <f>G70</f>
        <v>1320</v>
      </c>
      <c r="I137" s="123"/>
      <c r="J137" s="123"/>
      <c r="K137" s="123"/>
    </row>
    <row r="138" spans="1:13" ht="15.75" thickBot="1" x14ac:dyDescent="0.3">
      <c r="A138" s="654" t="s">
        <v>183</v>
      </c>
      <c r="B138" s="655"/>
      <c r="C138" s="128">
        <f>SUM(C132:C137)</f>
        <v>463100</v>
      </c>
      <c r="D138" s="128">
        <f t="shared" ref="D138:G138" si="33">SUM(D132:D137)</f>
        <v>475911</v>
      </c>
      <c r="E138" s="128">
        <f t="shared" si="33"/>
        <v>556185</v>
      </c>
      <c r="F138" s="128">
        <f t="shared" si="33"/>
        <v>561375</v>
      </c>
      <c r="G138" s="128">
        <f t="shared" si="33"/>
        <v>504280</v>
      </c>
      <c r="I138" s="123"/>
      <c r="J138" s="123"/>
      <c r="K138" s="123"/>
    </row>
    <row r="139" spans="1:13" ht="15" customHeight="1" x14ac:dyDescent="0.25">
      <c r="A139" s="250" t="s">
        <v>108</v>
      </c>
      <c r="B139" s="251" t="s">
        <v>227</v>
      </c>
      <c r="C139" s="221">
        <v>210190</v>
      </c>
      <c r="D139" s="221">
        <f>210190-8190-6810-434</f>
        <v>194756</v>
      </c>
      <c r="E139" s="221">
        <f>190500+13510</f>
        <v>204010</v>
      </c>
      <c r="F139" s="221">
        <f>190500+31150</f>
        <v>221650</v>
      </c>
      <c r="G139" s="221">
        <f>190500+31150</f>
        <v>221650</v>
      </c>
      <c r="I139" s="123"/>
      <c r="J139" s="123"/>
      <c r="K139" s="123"/>
    </row>
    <row r="140" spans="1:13" ht="14.25" customHeight="1" thickBot="1" x14ac:dyDescent="0.3">
      <c r="A140" s="266" t="s">
        <v>108</v>
      </c>
      <c r="B140" s="244" t="s">
        <v>228</v>
      </c>
      <c r="C140" s="217">
        <f>C73</f>
        <v>9810</v>
      </c>
      <c r="D140" s="217">
        <f>9810+434</f>
        <v>10244</v>
      </c>
      <c r="E140" s="217">
        <f t="shared" ref="E140:G140" si="34">E73</f>
        <v>9770</v>
      </c>
      <c r="F140" s="217">
        <f t="shared" si="34"/>
        <v>9770</v>
      </c>
      <c r="G140" s="217">
        <f t="shared" si="34"/>
        <v>9770</v>
      </c>
      <c r="I140" s="123"/>
      <c r="J140" s="123"/>
      <c r="K140" s="123"/>
    </row>
    <row r="141" spans="1:13" ht="15.75" thickBot="1" x14ac:dyDescent="0.3">
      <c r="A141" s="656" t="s">
        <v>226</v>
      </c>
      <c r="B141" s="657"/>
      <c r="C141" s="367">
        <f>SUM(C139:C140)</f>
        <v>220000</v>
      </c>
      <c r="D141" s="367">
        <f>SUM(D139:D140)</f>
        <v>205000</v>
      </c>
      <c r="E141" s="367">
        <f t="shared" ref="E141:G141" si="35">SUM(E139:E140)</f>
        <v>213780</v>
      </c>
      <c r="F141" s="367">
        <f t="shared" si="35"/>
        <v>231420</v>
      </c>
      <c r="G141" s="367">
        <f t="shared" si="35"/>
        <v>231420</v>
      </c>
      <c r="I141" s="123"/>
      <c r="J141" s="123"/>
      <c r="K141" s="123"/>
    </row>
    <row r="142" spans="1:13" ht="27.75" customHeight="1" thickBot="1" x14ac:dyDescent="0.3">
      <c r="A142" s="658" t="s">
        <v>220</v>
      </c>
      <c r="B142" s="659"/>
      <c r="C142" s="368">
        <f t="shared" ref="C142:G142" si="36">C138+C141</f>
        <v>683100</v>
      </c>
      <c r="D142" s="368">
        <f t="shared" si="36"/>
        <v>680911</v>
      </c>
      <c r="E142" s="368">
        <f t="shared" si="36"/>
        <v>769965</v>
      </c>
      <c r="F142" s="368">
        <f t="shared" si="36"/>
        <v>792795</v>
      </c>
      <c r="G142" s="368">
        <f t="shared" si="36"/>
        <v>735700</v>
      </c>
      <c r="I142" s="123"/>
      <c r="J142" s="123"/>
    </row>
    <row r="143" spans="1:13" ht="16.5" customHeight="1" thickBot="1" x14ac:dyDescent="0.3">
      <c r="A143" s="73" t="s">
        <v>184</v>
      </c>
      <c r="B143" s="140"/>
      <c r="C143" s="74">
        <f>C131+C142</f>
        <v>1885286</v>
      </c>
      <c r="D143" s="74">
        <f>D131+D142</f>
        <v>1940009</v>
      </c>
      <c r="E143" s="74">
        <f>E131+E142</f>
        <v>2152110</v>
      </c>
      <c r="F143" s="74">
        <f>F131+F142</f>
        <v>2083830</v>
      </c>
      <c r="G143" s="74">
        <f>G131+G142</f>
        <v>2032690</v>
      </c>
    </row>
    <row r="144" spans="1:13" ht="23.25" customHeight="1" x14ac:dyDescent="0.25"/>
    <row r="145" spans="1:20" ht="15" customHeight="1" x14ac:dyDescent="0.25"/>
    <row r="146" spans="1:20" ht="18.75" thickBot="1" x14ac:dyDescent="0.3">
      <c r="A146" s="660" t="s">
        <v>128</v>
      </c>
      <c r="B146" s="661"/>
      <c r="C146" s="661"/>
      <c r="D146" s="661"/>
      <c r="E146" s="661"/>
      <c r="F146" s="661"/>
      <c r="G146" s="661"/>
    </row>
    <row r="147" spans="1:20" x14ac:dyDescent="0.25">
      <c r="A147" s="644" t="s">
        <v>1</v>
      </c>
      <c r="B147" s="645"/>
      <c r="C147" s="685" t="s">
        <v>233</v>
      </c>
      <c r="D147" s="638" t="s">
        <v>230</v>
      </c>
      <c r="E147" s="638">
        <v>2019</v>
      </c>
      <c r="F147" s="638">
        <v>2020</v>
      </c>
      <c r="G147" s="638">
        <v>2021</v>
      </c>
      <c r="L147" s="123"/>
    </row>
    <row r="148" spans="1:20" ht="15.75" thickBot="1" x14ac:dyDescent="0.3">
      <c r="A148" s="646"/>
      <c r="B148" s="647"/>
      <c r="C148" s="686"/>
      <c r="D148" s="639"/>
      <c r="E148" s="639"/>
      <c r="F148" s="639"/>
      <c r="G148" s="639"/>
      <c r="I148" s="123"/>
      <c r="J148" s="123"/>
      <c r="L148" s="123"/>
      <c r="M148" s="123"/>
      <c r="N148" s="123"/>
    </row>
    <row r="149" spans="1:20" ht="16.5" thickBot="1" x14ac:dyDescent="0.3">
      <c r="A149" s="648" t="s">
        <v>129</v>
      </c>
      <c r="B149" s="649"/>
      <c r="C149" s="75">
        <f>SUM(C150:C157)</f>
        <v>527300</v>
      </c>
      <c r="D149" s="75">
        <f>SUM(D150:D157)</f>
        <v>546400</v>
      </c>
      <c r="E149" s="328">
        <f>SUM(E150:E157)</f>
        <v>620702</v>
      </c>
      <c r="F149" s="328">
        <f>SUM(F150:F157)</f>
        <v>201000</v>
      </c>
      <c r="G149" s="75">
        <f>SUM(G150:G157)</f>
        <v>201000</v>
      </c>
      <c r="I149" s="123"/>
      <c r="J149" s="123"/>
      <c r="K149" s="123"/>
      <c r="O149" s="123"/>
      <c r="P149" s="123"/>
    </row>
    <row r="150" spans="1:20" ht="15.75" thickBot="1" x14ac:dyDescent="0.3">
      <c r="A150" s="176">
        <v>233</v>
      </c>
      <c r="B150" s="56" t="s">
        <v>130</v>
      </c>
      <c r="C150" s="177">
        <v>0</v>
      </c>
      <c r="D150" s="334">
        <f>200+2000</f>
        <v>2200</v>
      </c>
      <c r="E150" s="329">
        <v>1000</v>
      </c>
      <c r="F150" s="329">
        <v>1000</v>
      </c>
      <c r="G150" s="329">
        <v>1000</v>
      </c>
    </row>
    <row r="151" spans="1:20" x14ac:dyDescent="0.25">
      <c r="A151" s="175">
        <v>322</v>
      </c>
      <c r="B151" s="39" t="s">
        <v>240</v>
      </c>
      <c r="C151" s="324">
        <v>140000</v>
      </c>
      <c r="D151" s="333">
        <f>140000-9000</f>
        <v>131000</v>
      </c>
      <c r="E151" s="330">
        <v>120047</v>
      </c>
      <c r="F151" s="333">
        <v>0</v>
      </c>
      <c r="G151" s="333">
        <v>0</v>
      </c>
    </row>
    <row r="152" spans="1:20" x14ac:dyDescent="0.25">
      <c r="A152" s="102">
        <v>322</v>
      </c>
      <c r="B152" s="25" t="s">
        <v>185</v>
      </c>
      <c r="C152" s="325">
        <v>30000</v>
      </c>
      <c r="D152" s="335">
        <f>30000+30000</f>
        <v>60000</v>
      </c>
      <c r="E152" s="331">
        <v>0</v>
      </c>
      <c r="F152" s="331">
        <v>0</v>
      </c>
      <c r="G152" s="331">
        <v>0</v>
      </c>
    </row>
    <row r="153" spans="1:20" x14ac:dyDescent="0.25">
      <c r="A153" s="102">
        <v>322</v>
      </c>
      <c r="B153" s="25" t="s">
        <v>188</v>
      </c>
      <c r="C153" s="325">
        <v>4100</v>
      </c>
      <c r="D153" s="335">
        <f>4100-4100</f>
        <v>0</v>
      </c>
      <c r="E153" s="331">
        <v>0</v>
      </c>
      <c r="F153" s="331">
        <v>0</v>
      </c>
      <c r="G153" s="331">
        <v>0</v>
      </c>
      <c r="L153" s="123"/>
      <c r="N153" s="123"/>
      <c r="Q153" s="123"/>
      <c r="R153" s="123"/>
      <c r="S153" s="123"/>
      <c r="T153" s="123"/>
    </row>
    <row r="154" spans="1:20" x14ac:dyDescent="0.25">
      <c r="A154" s="102">
        <v>322</v>
      </c>
      <c r="B154" s="25" t="s">
        <v>241</v>
      </c>
      <c r="C154" s="325">
        <v>0</v>
      </c>
      <c r="D154" s="335">
        <v>0</v>
      </c>
      <c r="E154" s="331">
        <v>183255</v>
      </c>
      <c r="F154" s="331">
        <v>0</v>
      </c>
      <c r="G154" s="331">
        <v>0</v>
      </c>
      <c r="L154" s="123"/>
      <c r="M154" s="123"/>
      <c r="N154" s="123"/>
      <c r="Q154" s="123"/>
      <c r="R154" s="123"/>
      <c r="S154" s="123"/>
      <c r="T154" s="123"/>
    </row>
    <row r="155" spans="1:20" x14ac:dyDescent="0.25">
      <c r="A155" s="102">
        <v>322</v>
      </c>
      <c r="B155" s="25" t="s">
        <v>162</v>
      </c>
      <c r="C155" s="325">
        <v>195000</v>
      </c>
      <c r="D155" s="331">
        <v>195000</v>
      </c>
      <c r="E155" s="331">
        <v>195000</v>
      </c>
      <c r="F155" s="331">
        <v>200000</v>
      </c>
      <c r="G155" s="331">
        <v>200000</v>
      </c>
      <c r="K155" s="123"/>
      <c r="L155" s="123">
        <f>SUM(F151:F157)</f>
        <v>200000</v>
      </c>
      <c r="M155" s="123">
        <f>SUM(G151:G157)</f>
        <v>200000</v>
      </c>
      <c r="N155" s="123"/>
      <c r="O155" s="123"/>
      <c r="P155" s="123"/>
    </row>
    <row r="156" spans="1:20" x14ac:dyDescent="0.25">
      <c r="A156" s="102">
        <v>322</v>
      </c>
      <c r="B156" s="25" t="s">
        <v>161</v>
      </c>
      <c r="C156" s="326">
        <f t="shared" ref="C156:D156" si="37">39900-15900</f>
        <v>24000</v>
      </c>
      <c r="D156" s="332">
        <f t="shared" si="37"/>
        <v>24000</v>
      </c>
      <c r="E156" s="332">
        <v>0</v>
      </c>
      <c r="F156" s="332">
        <v>0</v>
      </c>
      <c r="G156" s="332">
        <v>0</v>
      </c>
      <c r="I156" s="123">
        <f>SUM(C151:C157)</f>
        <v>527300</v>
      </c>
      <c r="J156" s="123">
        <f t="shared" ref="J156:K156" si="38">SUM(D151:D157)</f>
        <v>544200</v>
      </c>
      <c r="K156" s="123">
        <f t="shared" si="38"/>
        <v>619702</v>
      </c>
      <c r="N156" s="123"/>
      <c r="O156" s="123"/>
      <c r="P156" s="123"/>
      <c r="Q156" s="123"/>
    </row>
    <row r="157" spans="1:20" ht="15.75" thickBot="1" x14ac:dyDescent="0.3">
      <c r="A157" s="102">
        <v>322</v>
      </c>
      <c r="B157" s="25" t="s">
        <v>160</v>
      </c>
      <c r="C157" s="325">
        <v>134200</v>
      </c>
      <c r="D157" s="331">
        <v>134200</v>
      </c>
      <c r="E157" s="331">
        <v>121400</v>
      </c>
      <c r="F157" s="331">
        <v>0</v>
      </c>
      <c r="G157" s="331">
        <v>0</v>
      </c>
    </row>
    <row r="158" spans="1:20" ht="16.5" thickBot="1" x14ac:dyDescent="0.3">
      <c r="A158" s="648" t="s">
        <v>131</v>
      </c>
      <c r="B158" s="649"/>
      <c r="C158" s="327">
        <f>SUM(C159:C189)</f>
        <v>1074100</v>
      </c>
      <c r="D158" s="328">
        <f>SUM(D159:D189)</f>
        <v>1117400</v>
      </c>
      <c r="E158" s="328">
        <f>SUM(E159:E189)</f>
        <v>1020702</v>
      </c>
      <c r="F158" s="328">
        <f>SUM(F159:F189)</f>
        <v>252000</v>
      </c>
      <c r="G158" s="328">
        <f>SUM(G159:G189)</f>
        <v>212000</v>
      </c>
    </row>
    <row r="159" spans="1:20" x14ac:dyDescent="0.25">
      <c r="A159" s="210" t="s">
        <v>50</v>
      </c>
      <c r="B159" s="211" t="s">
        <v>158</v>
      </c>
      <c r="C159" s="212">
        <v>147500</v>
      </c>
      <c r="D159" s="303">
        <f>147500-7500</f>
        <v>140000</v>
      </c>
      <c r="E159" s="303">
        <v>127047</v>
      </c>
      <c r="F159" s="303">
        <v>0</v>
      </c>
      <c r="G159" s="303">
        <v>0</v>
      </c>
    </row>
    <row r="160" spans="1:20" x14ac:dyDescent="0.25">
      <c r="A160" s="174" t="s">
        <v>50</v>
      </c>
      <c r="B160" s="152" t="s">
        <v>243</v>
      </c>
      <c r="C160" s="78">
        <v>0</v>
      </c>
      <c r="D160" s="230">
        <v>0</v>
      </c>
      <c r="E160" s="230">
        <v>15000</v>
      </c>
      <c r="F160" s="230">
        <v>0</v>
      </c>
      <c r="G160" s="230">
        <v>0</v>
      </c>
    </row>
    <row r="161" spans="1:20" ht="15.75" thickBot="1" x14ac:dyDescent="0.3">
      <c r="A161" s="358" t="s">
        <v>50</v>
      </c>
      <c r="B161" s="108" t="s">
        <v>253</v>
      </c>
      <c r="C161" s="109">
        <v>0</v>
      </c>
      <c r="D161" s="228">
        <v>0</v>
      </c>
      <c r="E161" s="228">
        <v>10000</v>
      </c>
      <c r="F161" s="228">
        <v>0</v>
      </c>
      <c r="G161" s="228">
        <v>0</v>
      </c>
      <c r="L161" s="123"/>
      <c r="N161" s="123"/>
    </row>
    <row r="162" spans="1:20" ht="15.75" thickBot="1" x14ac:dyDescent="0.3">
      <c r="A162" s="357" t="s">
        <v>62</v>
      </c>
      <c r="B162" s="130" t="s">
        <v>254</v>
      </c>
      <c r="C162" s="104">
        <v>86000</v>
      </c>
      <c r="D162" s="231">
        <f>86000-9000</f>
        <v>77000</v>
      </c>
      <c r="E162" s="231">
        <v>10000</v>
      </c>
      <c r="F162" s="231">
        <v>0</v>
      </c>
      <c r="G162" s="231">
        <v>0</v>
      </c>
      <c r="L162" s="123"/>
      <c r="M162" s="123"/>
      <c r="N162" s="123"/>
    </row>
    <row r="163" spans="1:20" x14ac:dyDescent="0.25">
      <c r="A163" s="129" t="s">
        <v>69</v>
      </c>
      <c r="B163" s="76" t="s">
        <v>186</v>
      </c>
      <c r="C163" s="77">
        <v>6500</v>
      </c>
      <c r="D163" s="229">
        <v>6500</v>
      </c>
      <c r="E163" s="229">
        <v>6870</v>
      </c>
      <c r="F163" s="229">
        <v>0</v>
      </c>
      <c r="G163" s="229">
        <v>0</v>
      </c>
      <c r="K163" s="123"/>
      <c r="L163" s="123"/>
      <c r="M163" s="123"/>
      <c r="N163" s="123"/>
      <c r="O163" s="123"/>
      <c r="P163" s="123"/>
    </row>
    <row r="164" spans="1:20" x14ac:dyDescent="0.25">
      <c r="A164" s="188" t="s">
        <v>71</v>
      </c>
      <c r="B164" s="133" t="s">
        <v>163</v>
      </c>
      <c r="C164" s="78">
        <v>25000</v>
      </c>
      <c r="D164" s="230">
        <f>25000-3100</f>
        <v>21900</v>
      </c>
      <c r="E164" s="230">
        <v>0</v>
      </c>
      <c r="F164" s="230">
        <v>0</v>
      </c>
      <c r="G164" s="230">
        <v>0</v>
      </c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1:20" x14ac:dyDescent="0.25">
      <c r="A165" s="338" t="s">
        <v>71</v>
      </c>
      <c r="B165" s="152" t="s">
        <v>197</v>
      </c>
      <c r="C165" s="78">
        <v>16100</v>
      </c>
      <c r="D165" s="230">
        <f>16100+21200-2500+1000</f>
        <v>35800</v>
      </c>
      <c r="E165" s="230">
        <v>0</v>
      </c>
      <c r="F165" s="230">
        <v>0</v>
      </c>
      <c r="G165" s="230">
        <v>0</v>
      </c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1:20" x14ac:dyDescent="0.25">
      <c r="A166" s="146" t="s">
        <v>71</v>
      </c>
      <c r="B166" s="147" t="s">
        <v>252</v>
      </c>
      <c r="C166" s="132">
        <v>0</v>
      </c>
      <c r="D166" s="232">
        <v>4000</v>
      </c>
      <c r="E166" s="232">
        <v>0</v>
      </c>
      <c r="F166" s="232">
        <v>0</v>
      </c>
      <c r="G166" s="232">
        <v>0</v>
      </c>
      <c r="I166" s="123"/>
      <c r="J166" s="123"/>
      <c r="K166" s="123"/>
      <c r="L166" s="123"/>
    </row>
    <row r="167" spans="1:20" ht="15.75" thickBot="1" x14ac:dyDescent="0.3">
      <c r="A167" s="358" t="s">
        <v>71</v>
      </c>
      <c r="B167" s="108" t="s">
        <v>255</v>
      </c>
      <c r="C167" s="109">
        <v>0</v>
      </c>
      <c r="D167" s="228">
        <v>0</v>
      </c>
      <c r="E167" s="228">
        <v>30000</v>
      </c>
      <c r="F167" s="228">
        <v>0</v>
      </c>
      <c r="G167" s="228">
        <v>0</v>
      </c>
      <c r="I167" s="123"/>
      <c r="J167" s="123"/>
      <c r="L167" s="123"/>
      <c r="M167" s="123"/>
      <c r="N167" s="123"/>
    </row>
    <row r="168" spans="1:20" x14ac:dyDescent="0.25">
      <c r="A168" s="149" t="s">
        <v>76</v>
      </c>
      <c r="B168" s="106" t="s">
        <v>210</v>
      </c>
      <c r="C168" s="77">
        <v>2000</v>
      </c>
      <c r="D168" s="229">
        <f>2000+310</f>
        <v>2310</v>
      </c>
      <c r="E168" s="229">
        <v>0</v>
      </c>
      <c r="F168" s="229">
        <v>0</v>
      </c>
      <c r="G168" s="229">
        <v>0</v>
      </c>
      <c r="K168" s="123"/>
    </row>
    <row r="169" spans="1:20" x14ac:dyDescent="0.25">
      <c r="A169" s="174" t="s">
        <v>77</v>
      </c>
      <c r="B169" s="133" t="s">
        <v>164</v>
      </c>
      <c r="C169" s="78">
        <v>206000</v>
      </c>
      <c r="D169" s="230">
        <v>206000</v>
      </c>
      <c r="E169" s="230">
        <v>206000</v>
      </c>
      <c r="F169" s="230">
        <v>211000</v>
      </c>
      <c r="G169" s="230">
        <v>211000</v>
      </c>
      <c r="I169" s="123"/>
      <c r="J169" s="123"/>
      <c r="O169" s="123"/>
      <c r="P169" s="123"/>
      <c r="Q169" s="123"/>
    </row>
    <row r="170" spans="1:20" ht="15.75" thickBot="1" x14ac:dyDescent="0.3">
      <c r="A170" s="173" t="s">
        <v>81</v>
      </c>
      <c r="B170" s="134" t="s">
        <v>195</v>
      </c>
      <c r="C170" s="104">
        <v>10000</v>
      </c>
      <c r="D170" s="231">
        <f>10000-1800-410</f>
        <v>7790</v>
      </c>
      <c r="E170" s="231">
        <v>10000</v>
      </c>
      <c r="F170" s="231">
        <v>0</v>
      </c>
      <c r="G170" s="231">
        <v>0</v>
      </c>
      <c r="L170" s="123"/>
    </row>
    <row r="171" spans="1:20" x14ac:dyDescent="0.25">
      <c r="A171" s="146" t="s">
        <v>132</v>
      </c>
      <c r="B171" s="147" t="s">
        <v>159</v>
      </c>
      <c r="C171" s="132">
        <v>1000</v>
      </c>
      <c r="D171" s="232">
        <v>1000</v>
      </c>
      <c r="E171" s="232">
        <v>6000</v>
      </c>
      <c r="F171" s="232">
        <v>1000</v>
      </c>
      <c r="G171" s="232">
        <v>1000</v>
      </c>
      <c r="L171" s="123"/>
    </row>
    <row r="172" spans="1:20" x14ac:dyDescent="0.25">
      <c r="A172" s="188" t="s">
        <v>132</v>
      </c>
      <c r="B172" s="133" t="s">
        <v>215</v>
      </c>
      <c r="C172" s="78">
        <v>36400</v>
      </c>
      <c r="D172" s="230">
        <f>36400-310-2700+6000+5610</f>
        <v>45000</v>
      </c>
      <c r="E172" s="230">
        <v>75730</v>
      </c>
      <c r="F172" s="230">
        <v>40000</v>
      </c>
      <c r="G172" s="230">
        <v>0</v>
      </c>
      <c r="I172" s="123"/>
      <c r="L172" s="123"/>
    </row>
    <row r="173" spans="1:20" x14ac:dyDescent="0.25">
      <c r="A173" s="188" t="s">
        <v>83</v>
      </c>
      <c r="B173" s="133" t="s">
        <v>219</v>
      </c>
      <c r="C173" s="78">
        <v>0</v>
      </c>
      <c r="D173" s="230">
        <f>4000+600</f>
        <v>4600</v>
      </c>
      <c r="E173" s="230">
        <v>2000</v>
      </c>
      <c r="F173" s="230">
        <v>0</v>
      </c>
      <c r="G173" s="230">
        <v>0</v>
      </c>
      <c r="I173" s="123"/>
      <c r="L173" s="123"/>
    </row>
    <row r="174" spans="1:20" x14ac:dyDescent="0.25">
      <c r="A174" s="188" t="s">
        <v>83</v>
      </c>
      <c r="B174" s="133" t="s">
        <v>256</v>
      </c>
      <c r="C174" s="78"/>
      <c r="D174" s="230"/>
      <c r="E174" s="230">
        <v>10000</v>
      </c>
      <c r="F174" s="230"/>
      <c r="G174" s="230"/>
      <c r="I174" s="123"/>
      <c r="L174" s="123"/>
      <c r="M174" s="123"/>
      <c r="N174" s="123"/>
      <c r="S174" s="123"/>
      <c r="T174" s="123"/>
    </row>
    <row r="175" spans="1:20" x14ac:dyDescent="0.25">
      <c r="A175" s="188" t="s">
        <v>83</v>
      </c>
      <c r="B175" s="133" t="s">
        <v>191</v>
      </c>
      <c r="C175" s="78">
        <v>5800</v>
      </c>
      <c r="D175" s="230">
        <v>0</v>
      </c>
      <c r="E175" s="230">
        <v>0</v>
      </c>
      <c r="F175" s="230">
        <v>0</v>
      </c>
      <c r="G175" s="230">
        <v>0</v>
      </c>
      <c r="K175" s="123"/>
      <c r="O175" s="123"/>
      <c r="P175" s="123"/>
      <c r="Q175" s="123"/>
      <c r="R175" s="123"/>
    </row>
    <row r="176" spans="1:20" x14ac:dyDescent="0.25">
      <c r="A176" s="188" t="s">
        <v>83</v>
      </c>
      <c r="B176" s="133" t="s">
        <v>221</v>
      </c>
      <c r="C176" s="78">
        <v>0</v>
      </c>
      <c r="D176" s="230">
        <f>3000+8000-5000</f>
        <v>6000</v>
      </c>
      <c r="E176" s="230">
        <v>47000</v>
      </c>
      <c r="F176" s="230">
        <v>0</v>
      </c>
      <c r="G176" s="230">
        <v>0</v>
      </c>
      <c r="I176" s="123"/>
      <c r="J176" s="123"/>
      <c r="O176" s="123"/>
    </row>
    <row r="177" spans="1:20" ht="15.75" customHeight="1" thickBot="1" x14ac:dyDescent="0.3">
      <c r="A177" s="145" t="s">
        <v>85</v>
      </c>
      <c r="B177" s="131" t="s">
        <v>194</v>
      </c>
      <c r="C177" s="109">
        <v>10000</v>
      </c>
      <c r="D177" s="228">
        <v>10000</v>
      </c>
      <c r="E177" s="228">
        <v>10000</v>
      </c>
      <c r="F177" s="228">
        <v>0</v>
      </c>
      <c r="G177" s="228">
        <v>0</v>
      </c>
    </row>
    <row r="178" spans="1:20" ht="15.75" customHeight="1" x14ac:dyDescent="0.25">
      <c r="A178" s="149" t="s">
        <v>97</v>
      </c>
      <c r="B178" s="106" t="s">
        <v>171</v>
      </c>
      <c r="C178" s="77">
        <v>38000</v>
      </c>
      <c r="D178" s="229">
        <v>38000</v>
      </c>
      <c r="E178" s="229">
        <v>31000</v>
      </c>
      <c r="F178" s="229">
        <v>0</v>
      </c>
      <c r="G178" s="229">
        <v>0</v>
      </c>
    </row>
    <row r="179" spans="1:20" x14ac:dyDescent="0.25">
      <c r="A179" s="148" t="s">
        <v>97</v>
      </c>
      <c r="B179" s="105" t="s">
        <v>193</v>
      </c>
      <c r="C179" s="103">
        <v>20000</v>
      </c>
      <c r="D179" s="233">
        <v>20000</v>
      </c>
      <c r="E179" s="233">
        <v>20000</v>
      </c>
      <c r="F179" s="233">
        <v>0</v>
      </c>
      <c r="G179" s="233">
        <v>0</v>
      </c>
    </row>
    <row r="180" spans="1:20" x14ac:dyDescent="0.25">
      <c r="A180" s="148" t="s">
        <v>97</v>
      </c>
      <c r="B180" s="105" t="s">
        <v>157</v>
      </c>
      <c r="C180" s="103">
        <v>3600</v>
      </c>
      <c r="D180" s="233">
        <v>3600</v>
      </c>
      <c r="E180" s="233">
        <v>0</v>
      </c>
      <c r="F180" s="233">
        <v>0</v>
      </c>
      <c r="G180" s="233">
        <v>0</v>
      </c>
      <c r="L180" s="123"/>
    </row>
    <row r="181" spans="1:20" x14ac:dyDescent="0.25">
      <c r="A181" s="148" t="s">
        <v>99</v>
      </c>
      <c r="B181" s="105" t="s">
        <v>156</v>
      </c>
      <c r="C181" s="103">
        <v>300000</v>
      </c>
      <c r="D181" s="233">
        <v>300000</v>
      </c>
      <c r="E181" s="233"/>
      <c r="F181" s="233"/>
      <c r="G181" s="233"/>
      <c r="L181" s="123"/>
      <c r="M181" s="123"/>
      <c r="O181" s="123"/>
      <c r="P181" s="123"/>
      <c r="Q181" s="123"/>
      <c r="R181" s="123"/>
    </row>
    <row r="182" spans="1:20" ht="15" customHeight="1" x14ac:dyDescent="0.25">
      <c r="A182" s="148" t="s">
        <v>99</v>
      </c>
      <c r="B182" s="105" t="s">
        <v>192</v>
      </c>
      <c r="C182" s="103">
        <v>2000</v>
      </c>
      <c r="D182" s="233">
        <v>0</v>
      </c>
      <c r="E182" s="233">
        <v>0</v>
      </c>
      <c r="F182" s="233">
        <v>0</v>
      </c>
      <c r="G182" s="233">
        <v>0</v>
      </c>
      <c r="K182" s="123"/>
    </row>
    <row r="183" spans="1:20" ht="15" customHeight="1" x14ac:dyDescent="0.25">
      <c r="A183" s="151" t="s">
        <v>102</v>
      </c>
      <c r="B183" s="152" t="s">
        <v>257</v>
      </c>
      <c r="C183" s="78">
        <v>0</v>
      </c>
      <c r="D183" s="230">
        <v>20000</v>
      </c>
      <c r="E183" s="230">
        <v>80000</v>
      </c>
      <c r="F183" s="230">
        <v>0</v>
      </c>
      <c r="G183" s="230">
        <v>0</v>
      </c>
      <c r="I183" s="123"/>
      <c r="J183" s="123"/>
    </row>
    <row r="184" spans="1:20" ht="16.5" customHeight="1" thickBot="1" x14ac:dyDescent="0.3">
      <c r="A184" s="153" t="s">
        <v>102</v>
      </c>
      <c r="B184" s="130" t="s">
        <v>190</v>
      </c>
      <c r="C184" s="104">
        <v>5000</v>
      </c>
      <c r="D184" s="231">
        <f>5000-1000</f>
        <v>4000</v>
      </c>
      <c r="E184" s="231">
        <v>0</v>
      </c>
      <c r="F184" s="231">
        <v>0</v>
      </c>
      <c r="G184" s="231">
        <v>0</v>
      </c>
      <c r="L184" s="123"/>
      <c r="N184" s="123"/>
      <c r="S184" s="123"/>
      <c r="T184" s="123"/>
    </row>
    <row r="185" spans="1:20" x14ac:dyDescent="0.25">
      <c r="A185" s="213" t="s">
        <v>106</v>
      </c>
      <c r="B185" s="211" t="s">
        <v>165</v>
      </c>
      <c r="C185" s="212">
        <v>141200</v>
      </c>
      <c r="D185" s="303">
        <v>141200</v>
      </c>
      <c r="E185" s="303">
        <v>127800</v>
      </c>
      <c r="F185" s="303">
        <v>0</v>
      </c>
      <c r="G185" s="303">
        <v>0</v>
      </c>
      <c r="L185" s="123"/>
      <c r="M185" s="123"/>
      <c r="N185" s="123"/>
      <c r="O185" s="123"/>
      <c r="P185" s="123"/>
      <c r="Q185" s="123"/>
      <c r="R185" s="123"/>
      <c r="S185" s="123"/>
      <c r="T185" s="123"/>
    </row>
    <row r="186" spans="1:20" ht="15" customHeight="1" x14ac:dyDescent="0.25">
      <c r="A186" s="150" t="s">
        <v>106</v>
      </c>
      <c r="B186" s="76" t="s">
        <v>208</v>
      </c>
      <c r="C186" s="77">
        <v>4000</v>
      </c>
      <c r="D186" s="229">
        <f>4000-1000</f>
        <v>3000</v>
      </c>
      <c r="E186" s="229">
        <v>0</v>
      </c>
      <c r="F186" s="229">
        <v>0</v>
      </c>
      <c r="G186" s="229">
        <v>0</v>
      </c>
      <c r="K186" s="123"/>
      <c r="L186" s="123"/>
      <c r="M186" s="123"/>
      <c r="O186" s="123"/>
      <c r="P186" s="123"/>
      <c r="Q186" s="123"/>
      <c r="R186" s="123"/>
    </row>
    <row r="187" spans="1:20" ht="15" customHeight="1" x14ac:dyDescent="0.25">
      <c r="A187" s="151" t="s">
        <v>189</v>
      </c>
      <c r="B187" s="152" t="s">
        <v>223</v>
      </c>
      <c r="C187" s="78">
        <v>8000</v>
      </c>
      <c r="D187" s="230">
        <f>8000+14000-5000</f>
        <v>17000</v>
      </c>
      <c r="E187" s="230">
        <v>0</v>
      </c>
      <c r="F187" s="230">
        <v>0</v>
      </c>
      <c r="G187" s="230">
        <v>0</v>
      </c>
      <c r="K187" s="123"/>
    </row>
    <row r="188" spans="1:20" ht="15.75" thickBot="1" x14ac:dyDescent="0.3">
      <c r="A188" s="153" t="s">
        <v>115</v>
      </c>
      <c r="B188" s="130" t="s">
        <v>246</v>
      </c>
      <c r="C188" s="104">
        <v>0</v>
      </c>
      <c r="D188" s="231">
        <v>2700</v>
      </c>
      <c r="E188" s="231">
        <v>3000</v>
      </c>
      <c r="F188" s="231">
        <v>0</v>
      </c>
      <c r="G188" s="231">
        <v>0</v>
      </c>
      <c r="I188" s="123"/>
      <c r="J188" s="123"/>
    </row>
    <row r="189" spans="1:20" ht="15.75" thickBot="1" x14ac:dyDescent="0.3">
      <c r="A189" s="356" t="s">
        <v>248</v>
      </c>
      <c r="B189" s="108" t="s">
        <v>247</v>
      </c>
      <c r="C189" s="109">
        <v>0</v>
      </c>
      <c r="D189" s="228">
        <v>0</v>
      </c>
      <c r="E189" s="228">
        <v>193255</v>
      </c>
      <c r="F189" s="228">
        <v>0</v>
      </c>
      <c r="G189" s="228">
        <v>0</v>
      </c>
      <c r="H189" s="79"/>
    </row>
    <row r="190" spans="1:20" x14ac:dyDescent="0.25">
      <c r="A190" s="155"/>
      <c r="B190" s="156"/>
      <c r="C190" s="79"/>
      <c r="D190" s="79"/>
      <c r="E190" s="79"/>
      <c r="F190" s="79"/>
      <c r="G190" s="79"/>
      <c r="H190" s="81"/>
    </row>
    <row r="191" spans="1:20" x14ac:dyDescent="0.25">
      <c r="A191" s="154"/>
      <c r="B191" s="80"/>
      <c r="C191" s="81"/>
      <c r="D191" s="81"/>
      <c r="E191" s="81"/>
      <c r="F191" s="81"/>
      <c r="G191" s="81"/>
    </row>
    <row r="192" spans="1:20" ht="18.75" thickBot="1" x14ac:dyDescent="0.3">
      <c r="A192" s="650" t="s">
        <v>133</v>
      </c>
      <c r="B192" s="651"/>
      <c r="C192" s="651"/>
      <c r="D192" s="651"/>
      <c r="E192" s="651"/>
      <c r="F192" s="651"/>
      <c r="G192" s="651"/>
    </row>
    <row r="193" spans="1:20" x14ac:dyDescent="0.25">
      <c r="A193" s="644" t="s">
        <v>1</v>
      </c>
      <c r="B193" s="645"/>
      <c r="C193" s="685" t="s">
        <v>233</v>
      </c>
      <c r="D193" s="638" t="s">
        <v>230</v>
      </c>
      <c r="E193" s="638">
        <v>2019</v>
      </c>
      <c r="F193" s="638">
        <v>2020</v>
      </c>
      <c r="G193" s="638">
        <v>2021</v>
      </c>
      <c r="L193" s="123">
        <f>E195-E196-E197-E199</f>
        <v>400000</v>
      </c>
      <c r="M193" s="123">
        <f>F195-F196-F197-F199</f>
        <v>51000</v>
      </c>
      <c r="N193" s="123">
        <f>G195-G196-G197-G199</f>
        <v>11000</v>
      </c>
      <c r="O193" s="123"/>
    </row>
    <row r="194" spans="1:20" ht="15.75" thickBot="1" x14ac:dyDescent="0.3">
      <c r="A194" s="646"/>
      <c r="B194" s="647"/>
      <c r="C194" s="686"/>
      <c r="D194" s="639"/>
      <c r="E194" s="639"/>
      <c r="F194" s="639"/>
      <c r="G194" s="639"/>
      <c r="I194" s="123"/>
      <c r="J194" s="123">
        <f>C195-C196-C197-C199</f>
        <v>546800</v>
      </c>
      <c r="K194" s="123">
        <f t="shared" ref="K194" si="39">D195-D196-D197-D199</f>
        <v>535100</v>
      </c>
      <c r="L194" s="123">
        <f>E158-E149</f>
        <v>400000</v>
      </c>
      <c r="M194" s="123">
        <f>F158-F149</f>
        <v>51000</v>
      </c>
      <c r="N194" s="123">
        <f>G158-G149</f>
        <v>11000</v>
      </c>
    </row>
    <row r="195" spans="1:20" ht="16.5" thickBot="1" x14ac:dyDescent="0.3">
      <c r="A195" s="82" t="s">
        <v>134</v>
      </c>
      <c r="B195" s="83"/>
      <c r="C195" s="84">
        <f t="shared" ref="C195:G195" si="40">SUM(C196:C200)</f>
        <v>547940</v>
      </c>
      <c r="D195" s="84">
        <f t="shared" ref="D195" si="41">SUM(D196:D200)</f>
        <v>536801</v>
      </c>
      <c r="E195" s="84">
        <f t="shared" si="40"/>
        <v>402140</v>
      </c>
      <c r="F195" s="84">
        <f t="shared" si="40"/>
        <v>53140</v>
      </c>
      <c r="G195" s="84">
        <f t="shared" si="40"/>
        <v>13140</v>
      </c>
      <c r="J195" s="123">
        <f>C158-C149</f>
        <v>546800</v>
      </c>
      <c r="K195" s="123">
        <f>D158-D149</f>
        <v>571000</v>
      </c>
      <c r="L195" s="123"/>
      <c r="N195" s="123"/>
      <c r="S195" s="123"/>
      <c r="T195" s="123"/>
    </row>
    <row r="196" spans="1:20" x14ac:dyDescent="0.25">
      <c r="A196" s="158">
        <v>453</v>
      </c>
      <c r="B196" s="159" t="s">
        <v>136</v>
      </c>
      <c r="C196" s="172">
        <v>1000</v>
      </c>
      <c r="D196" s="172">
        <v>1000</v>
      </c>
      <c r="E196" s="172">
        <v>1000</v>
      </c>
      <c r="F196" s="172">
        <v>1000</v>
      </c>
      <c r="G196" s="172">
        <v>1000</v>
      </c>
      <c r="L196" s="123"/>
      <c r="M196" s="123"/>
      <c r="O196" s="123"/>
      <c r="P196" s="123"/>
      <c r="Q196" s="123"/>
      <c r="R196" s="123"/>
    </row>
    <row r="197" spans="1:20" x14ac:dyDescent="0.25">
      <c r="A197" s="158">
        <v>453</v>
      </c>
      <c r="B197" s="159" t="s">
        <v>207</v>
      </c>
      <c r="C197" s="172">
        <v>0</v>
      </c>
      <c r="D197" s="172">
        <v>561</v>
      </c>
      <c r="E197" s="172">
        <v>1000</v>
      </c>
      <c r="F197" s="172">
        <v>1000</v>
      </c>
      <c r="G197" s="172">
        <v>1000</v>
      </c>
      <c r="J197" s="123"/>
      <c r="K197" s="123"/>
      <c r="L197" s="123">
        <f>SUM(E196:E199)</f>
        <v>102140</v>
      </c>
      <c r="M197" s="123">
        <f>SUM(F196:F199)</f>
        <v>42140</v>
      </c>
      <c r="N197" s="123">
        <f>SUM(G196:G199)</f>
        <v>2140</v>
      </c>
      <c r="O197" s="123"/>
      <c r="P197" s="123"/>
      <c r="Q197" s="123"/>
      <c r="R197" s="123"/>
      <c r="S197" s="123"/>
      <c r="T197" s="123"/>
    </row>
    <row r="198" spans="1:20" ht="15.75" customHeight="1" x14ac:dyDescent="0.25">
      <c r="A198" s="157">
        <v>454</v>
      </c>
      <c r="B198" s="126" t="s">
        <v>135</v>
      </c>
      <c r="C198" s="171">
        <f>102400+14600</f>
        <v>117000</v>
      </c>
      <c r="D198" s="171">
        <f>117000+65500+20600-30000</f>
        <v>173100</v>
      </c>
      <c r="E198" s="171">
        <v>100000</v>
      </c>
      <c r="F198" s="171">
        <v>40000</v>
      </c>
      <c r="G198" s="171">
        <v>0</v>
      </c>
      <c r="J198" s="123">
        <f>SUM(C196:C199)</f>
        <v>118140</v>
      </c>
      <c r="K198" s="123">
        <f t="shared" ref="K198" si="42">SUM(D196:D199)</f>
        <v>174801</v>
      </c>
      <c r="N198" s="123"/>
    </row>
    <row r="199" spans="1:20" ht="15" customHeight="1" thickBot="1" x14ac:dyDescent="0.3">
      <c r="A199" s="225">
        <v>456</v>
      </c>
      <c r="B199" s="226" t="s">
        <v>204</v>
      </c>
      <c r="C199" s="227">
        <v>140</v>
      </c>
      <c r="D199" s="227">
        <v>140</v>
      </c>
      <c r="E199" s="227">
        <v>140</v>
      </c>
      <c r="F199" s="227">
        <v>140</v>
      </c>
      <c r="G199" s="227">
        <v>140</v>
      </c>
      <c r="I199" s="89"/>
      <c r="N199" s="123"/>
    </row>
    <row r="200" spans="1:20" ht="15.75" thickBot="1" x14ac:dyDescent="0.3">
      <c r="A200" s="222">
        <v>513</v>
      </c>
      <c r="B200" s="223" t="s">
        <v>137</v>
      </c>
      <c r="C200" s="224">
        <v>429800</v>
      </c>
      <c r="D200" s="224">
        <f>429800-42800-25000</f>
        <v>362000</v>
      </c>
      <c r="E200" s="224">
        <v>300000</v>
      </c>
      <c r="F200" s="224">
        <v>11000</v>
      </c>
      <c r="G200" s="224">
        <v>11000</v>
      </c>
      <c r="I200" s="123"/>
    </row>
    <row r="201" spans="1:20" ht="15" customHeight="1" thickBot="1" x14ac:dyDescent="0.3">
      <c r="A201" s="82" t="s">
        <v>138</v>
      </c>
      <c r="B201" s="83"/>
      <c r="C201" s="84">
        <f t="shared" ref="C201" si="43">SUM(C202:C204)</f>
        <v>50940</v>
      </c>
      <c r="D201" s="84">
        <f t="shared" ref="D201:G201" si="44">SUM(D202:D204)</f>
        <v>3740</v>
      </c>
      <c r="E201" s="84">
        <f t="shared" si="44"/>
        <v>10940</v>
      </c>
      <c r="F201" s="84">
        <f t="shared" si="44"/>
        <v>10940</v>
      </c>
      <c r="G201" s="84">
        <f t="shared" si="44"/>
        <v>10940</v>
      </c>
    </row>
    <row r="202" spans="1:20" ht="15.75" customHeight="1" x14ac:dyDescent="0.25">
      <c r="A202" s="206">
        <v>819</v>
      </c>
      <c r="B202" s="85" t="s">
        <v>203</v>
      </c>
      <c r="C202" s="86">
        <v>140</v>
      </c>
      <c r="D202" s="86">
        <v>140</v>
      </c>
      <c r="E202" s="86">
        <v>140</v>
      </c>
      <c r="F202" s="86">
        <v>140</v>
      </c>
      <c r="G202" s="86">
        <v>140</v>
      </c>
    </row>
    <row r="203" spans="1:20" x14ac:dyDescent="0.25">
      <c r="A203" s="207">
        <v>821</v>
      </c>
      <c r="B203" s="208" t="s">
        <v>206</v>
      </c>
      <c r="C203" s="169">
        <v>50000</v>
      </c>
      <c r="D203" s="169">
        <f>50000-2000-41600-3600</f>
        <v>2800</v>
      </c>
      <c r="E203" s="169">
        <v>10000</v>
      </c>
      <c r="F203" s="169">
        <v>10000</v>
      </c>
      <c r="G203" s="169">
        <v>10000</v>
      </c>
    </row>
    <row r="204" spans="1:20" ht="15.75" thickBot="1" x14ac:dyDescent="0.3">
      <c r="A204" s="339">
        <v>821</v>
      </c>
      <c r="B204" s="87" t="s">
        <v>139</v>
      </c>
      <c r="C204" s="42">
        <v>800</v>
      </c>
      <c r="D204" s="42">
        <v>800</v>
      </c>
      <c r="E204" s="42">
        <v>800</v>
      </c>
      <c r="F204" s="42">
        <v>800</v>
      </c>
      <c r="G204" s="42">
        <v>800</v>
      </c>
      <c r="H204" s="89"/>
    </row>
    <row r="205" spans="1:20" x14ac:dyDescent="0.25">
      <c r="A205" s="154"/>
      <c r="B205" s="88"/>
      <c r="C205" s="89"/>
      <c r="D205" s="89"/>
      <c r="E205" s="89"/>
      <c r="F205" s="89"/>
      <c r="G205" s="89"/>
      <c r="H205" s="156"/>
    </row>
    <row r="206" spans="1:20" ht="15.75" x14ac:dyDescent="0.25">
      <c r="A206" s="33"/>
      <c r="B206" s="156"/>
      <c r="C206" s="156"/>
      <c r="D206" s="156"/>
      <c r="E206" s="156"/>
      <c r="F206" s="156"/>
      <c r="G206" s="156"/>
    </row>
    <row r="207" spans="1:20" ht="18.75" thickBot="1" x14ac:dyDescent="0.3">
      <c r="A207" s="642" t="s">
        <v>140</v>
      </c>
      <c r="B207" s="643"/>
      <c r="C207" s="643"/>
      <c r="D207" s="643"/>
      <c r="E207" s="643"/>
      <c r="F207" s="643"/>
      <c r="G207" s="643"/>
    </row>
    <row r="208" spans="1:20" x14ac:dyDescent="0.25">
      <c r="A208" s="644" t="s">
        <v>1</v>
      </c>
      <c r="B208" s="645"/>
      <c r="C208" s="685" t="s">
        <v>233</v>
      </c>
      <c r="D208" s="638" t="s">
        <v>230</v>
      </c>
      <c r="E208" s="638">
        <v>2019</v>
      </c>
      <c r="F208" s="638">
        <v>2020</v>
      </c>
      <c r="G208" s="638">
        <v>2021</v>
      </c>
    </row>
    <row r="209" spans="1:14" ht="15.75" thickBot="1" x14ac:dyDescent="0.3">
      <c r="A209" s="646"/>
      <c r="B209" s="647"/>
      <c r="C209" s="686"/>
      <c r="D209" s="639"/>
      <c r="E209" s="639"/>
      <c r="F209" s="639"/>
      <c r="G209" s="639"/>
    </row>
    <row r="210" spans="1:14" ht="15.75" x14ac:dyDescent="0.25">
      <c r="A210" s="90" t="s">
        <v>141</v>
      </c>
      <c r="B210" s="120"/>
      <c r="C210" s="91">
        <f>C75</f>
        <v>1935086</v>
      </c>
      <c r="D210" s="91">
        <f>D75</f>
        <v>1977948</v>
      </c>
      <c r="E210" s="91">
        <f>E75</f>
        <v>2160910</v>
      </c>
      <c r="F210" s="91">
        <f>F75</f>
        <v>2092630</v>
      </c>
      <c r="G210" s="91">
        <f>G75</f>
        <v>2041490</v>
      </c>
    </row>
    <row r="211" spans="1:14" ht="15.75" x14ac:dyDescent="0.25">
      <c r="A211" s="92" t="s">
        <v>142</v>
      </c>
      <c r="B211" s="209"/>
      <c r="C211" s="93">
        <f>C143</f>
        <v>1885286</v>
      </c>
      <c r="D211" s="93">
        <f>D143</f>
        <v>1940009</v>
      </c>
      <c r="E211" s="93">
        <f>E143</f>
        <v>2152110</v>
      </c>
      <c r="F211" s="93">
        <f>F143</f>
        <v>2083830</v>
      </c>
      <c r="G211" s="93">
        <f>G143</f>
        <v>2032690</v>
      </c>
    </row>
    <row r="212" spans="1:14" ht="15.75" x14ac:dyDescent="0.25">
      <c r="A212" s="634" t="s">
        <v>143</v>
      </c>
      <c r="B212" s="635"/>
      <c r="C212" s="94">
        <f t="shared" ref="C212:G212" si="45">C210-C211</f>
        <v>49800</v>
      </c>
      <c r="D212" s="94">
        <f t="shared" si="45"/>
        <v>37939</v>
      </c>
      <c r="E212" s="94">
        <f t="shared" si="45"/>
        <v>8800</v>
      </c>
      <c r="F212" s="94">
        <f t="shared" si="45"/>
        <v>8800</v>
      </c>
      <c r="G212" s="94">
        <f t="shared" si="45"/>
        <v>8800</v>
      </c>
    </row>
    <row r="213" spans="1:14" ht="15.75" x14ac:dyDescent="0.25">
      <c r="A213" s="92" t="s">
        <v>144</v>
      </c>
      <c r="B213" s="116"/>
      <c r="C213" s="93">
        <f>C149</f>
        <v>527300</v>
      </c>
      <c r="D213" s="93">
        <f>D149</f>
        <v>546400</v>
      </c>
      <c r="E213" s="93">
        <f>E149</f>
        <v>620702</v>
      </c>
      <c r="F213" s="93">
        <f>F149</f>
        <v>201000</v>
      </c>
      <c r="G213" s="93">
        <f>G149</f>
        <v>201000</v>
      </c>
    </row>
    <row r="214" spans="1:14" ht="15.75" x14ac:dyDescent="0.25">
      <c r="A214" s="92" t="s">
        <v>145</v>
      </c>
      <c r="B214" s="116"/>
      <c r="C214" s="8">
        <f>C158</f>
        <v>1074100</v>
      </c>
      <c r="D214" s="8">
        <f>D158</f>
        <v>1117400</v>
      </c>
      <c r="E214" s="8">
        <f>E158</f>
        <v>1020702</v>
      </c>
      <c r="F214" s="8">
        <f>F158</f>
        <v>252000</v>
      </c>
      <c r="G214" s="8">
        <f>G158</f>
        <v>212000</v>
      </c>
    </row>
    <row r="215" spans="1:14" ht="15.75" x14ac:dyDescent="0.25">
      <c r="A215" s="634" t="s">
        <v>146</v>
      </c>
      <c r="B215" s="635"/>
      <c r="C215" s="94">
        <f t="shared" ref="C215:G215" si="46">C213-C214</f>
        <v>-546800</v>
      </c>
      <c r="D215" s="94">
        <f t="shared" si="46"/>
        <v>-571000</v>
      </c>
      <c r="E215" s="94">
        <f t="shared" si="46"/>
        <v>-400000</v>
      </c>
      <c r="F215" s="94">
        <f t="shared" si="46"/>
        <v>-51000</v>
      </c>
      <c r="G215" s="94">
        <f t="shared" si="46"/>
        <v>-11000</v>
      </c>
    </row>
    <row r="216" spans="1:14" ht="15.75" x14ac:dyDescent="0.25">
      <c r="A216" s="95" t="s">
        <v>147</v>
      </c>
      <c r="B216" s="96"/>
      <c r="C216" s="97">
        <f t="shared" ref="C216:G216" si="47">C195</f>
        <v>547940</v>
      </c>
      <c r="D216" s="97">
        <f>D195</f>
        <v>536801</v>
      </c>
      <c r="E216" s="97">
        <f t="shared" si="47"/>
        <v>402140</v>
      </c>
      <c r="F216" s="97">
        <f t="shared" si="47"/>
        <v>53140</v>
      </c>
      <c r="G216" s="97">
        <f t="shared" si="47"/>
        <v>13140</v>
      </c>
    </row>
    <row r="217" spans="1:14" ht="15.75" x14ac:dyDescent="0.25">
      <c r="A217" s="95" t="s">
        <v>148</v>
      </c>
      <c r="B217" s="96"/>
      <c r="C217" s="97">
        <f t="shared" ref="C217:G217" si="48">C201</f>
        <v>50940</v>
      </c>
      <c r="D217" s="97">
        <f>D201</f>
        <v>3740</v>
      </c>
      <c r="E217" s="97">
        <f t="shared" si="48"/>
        <v>10940</v>
      </c>
      <c r="F217" s="97">
        <f t="shared" si="48"/>
        <v>10940</v>
      </c>
      <c r="G217" s="97">
        <f t="shared" si="48"/>
        <v>10940</v>
      </c>
      <c r="N217" s="123"/>
    </row>
    <row r="218" spans="1:14" ht="16.5" thickBot="1" x14ac:dyDescent="0.3">
      <c r="A218" s="636" t="s">
        <v>149</v>
      </c>
      <c r="B218" s="637"/>
      <c r="C218" s="98">
        <f t="shared" ref="C218:G218" si="49">C216-C217</f>
        <v>497000</v>
      </c>
      <c r="D218" s="98">
        <f t="shared" si="49"/>
        <v>533061</v>
      </c>
      <c r="E218" s="98">
        <f t="shared" si="49"/>
        <v>391200</v>
      </c>
      <c r="F218" s="98">
        <f t="shared" si="49"/>
        <v>42200</v>
      </c>
      <c r="G218" s="98">
        <f t="shared" si="49"/>
        <v>2200</v>
      </c>
      <c r="L218" s="123"/>
      <c r="M218" s="123"/>
      <c r="N218" s="123"/>
    </row>
    <row r="219" spans="1:14" ht="16.5" thickBot="1" x14ac:dyDescent="0.3">
      <c r="A219" s="160" t="s">
        <v>150</v>
      </c>
      <c r="B219" s="99"/>
      <c r="C219" s="161">
        <f t="shared" ref="C219:G219" si="50">C212+C215+C218</f>
        <v>0</v>
      </c>
      <c r="D219" s="161">
        <f t="shared" si="50"/>
        <v>0</v>
      </c>
      <c r="E219" s="161">
        <f t="shared" si="50"/>
        <v>0</v>
      </c>
      <c r="F219" s="161">
        <f t="shared" si="50"/>
        <v>0</v>
      </c>
      <c r="G219" s="161">
        <f t="shared" si="50"/>
        <v>0</v>
      </c>
      <c r="J219" s="123"/>
      <c r="K219" s="123"/>
      <c r="L219" s="123"/>
      <c r="M219" s="123"/>
      <c r="N219" s="123"/>
    </row>
    <row r="220" spans="1:14" x14ac:dyDescent="0.25">
      <c r="H220" s="123"/>
      <c r="I220" s="123"/>
      <c r="J220" s="123"/>
      <c r="K220" s="123"/>
      <c r="L220" s="123"/>
      <c r="M220" s="123"/>
      <c r="N220" s="123"/>
    </row>
    <row r="221" spans="1:14" x14ac:dyDescent="0.25">
      <c r="B221" s="162" t="s">
        <v>151</v>
      </c>
      <c r="C221" s="123">
        <f t="shared" ref="C221:G222" si="51">C210+C213+C216</f>
        <v>3010326</v>
      </c>
      <c r="D221" s="123">
        <f t="shared" si="51"/>
        <v>3061149</v>
      </c>
      <c r="E221" s="123">
        <f t="shared" si="51"/>
        <v>3183752</v>
      </c>
      <c r="F221" s="123">
        <f t="shared" si="51"/>
        <v>2346770</v>
      </c>
      <c r="G221" s="123">
        <f t="shared" si="51"/>
        <v>2255630</v>
      </c>
      <c r="H221" s="123"/>
      <c r="I221" s="123"/>
      <c r="J221" s="123"/>
      <c r="K221" s="123"/>
      <c r="L221" s="123"/>
      <c r="M221" s="123"/>
      <c r="N221" s="123"/>
    </row>
    <row r="222" spans="1:14" x14ac:dyDescent="0.25">
      <c r="B222" s="162" t="s">
        <v>152</v>
      </c>
      <c r="C222" s="123">
        <f t="shared" si="51"/>
        <v>3010326</v>
      </c>
      <c r="D222" s="123">
        <f t="shared" si="51"/>
        <v>3061149</v>
      </c>
      <c r="E222" s="123">
        <f t="shared" si="51"/>
        <v>3183752</v>
      </c>
      <c r="F222" s="123">
        <f t="shared" si="51"/>
        <v>2346770</v>
      </c>
      <c r="G222" s="123">
        <f t="shared" si="51"/>
        <v>2255630</v>
      </c>
      <c r="H222" s="123"/>
      <c r="I222" s="123"/>
      <c r="J222" s="123"/>
      <c r="K222" s="123"/>
      <c r="L222" s="123"/>
      <c r="M222" s="123"/>
    </row>
    <row r="223" spans="1:14" x14ac:dyDescent="0.25">
      <c r="B223" s="162"/>
      <c r="C223" s="123"/>
      <c r="D223" s="123"/>
      <c r="E223" s="123"/>
      <c r="F223" s="123"/>
      <c r="G223" s="123"/>
      <c r="H223" s="123"/>
      <c r="I223" s="123"/>
      <c r="J223" s="123"/>
      <c r="K223" s="123"/>
    </row>
    <row r="224" spans="1:14" x14ac:dyDescent="0.25">
      <c r="B224" s="162" t="s">
        <v>153</v>
      </c>
      <c r="C224" s="123">
        <f>C221-C74</f>
        <v>2994516</v>
      </c>
      <c r="D224" s="123">
        <f>D221-D74</f>
        <v>3041650</v>
      </c>
      <c r="E224" s="123">
        <f>E221-E74</f>
        <v>3115422</v>
      </c>
      <c r="F224" s="123">
        <f>F221-F74</f>
        <v>2273510</v>
      </c>
      <c r="G224" s="123">
        <f>G221-G74</f>
        <v>2236610</v>
      </c>
      <c r="H224" s="123"/>
      <c r="I224" s="123"/>
    </row>
    <row r="225" spans="2:8" x14ac:dyDescent="0.25">
      <c r="B225" s="162" t="s">
        <v>154</v>
      </c>
      <c r="C225" s="123">
        <f>C222-C142</f>
        <v>2327226</v>
      </c>
      <c r="D225" s="123">
        <f>D222-D142</f>
        <v>2380238</v>
      </c>
      <c r="E225" s="123">
        <f>E222-E142</f>
        <v>2413787</v>
      </c>
      <c r="F225" s="123">
        <f>F222-F142</f>
        <v>1553975</v>
      </c>
      <c r="G225" s="123">
        <f>G222-G142</f>
        <v>1519930</v>
      </c>
      <c r="H225" s="123"/>
    </row>
    <row r="226" spans="2:8" x14ac:dyDescent="0.25">
      <c r="B226" s="162"/>
      <c r="C226" s="123"/>
      <c r="D226" s="123"/>
      <c r="E226" s="123"/>
      <c r="F226" s="123"/>
      <c r="G226" s="123"/>
    </row>
    <row r="228" spans="2:8" x14ac:dyDescent="0.25">
      <c r="B228" s="110" t="s">
        <v>155</v>
      </c>
    </row>
    <row r="229" spans="2:8" x14ac:dyDescent="0.25">
      <c r="H229" s="100"/>
    </row>
    <row r="230" spans="2:8" x14ac:dyDescent="0.25">
      <c r="B230" s="100" t="s">
        <v>271</v>
      </c>
      <c r="C230" s="100"/>
      <c r="D230" s="100"/>
      <c r="E230" s="100"/>
      <c r="F230" s="100"/>
      <c r="G230" s="100"/>
    </row>
    <row r="231" spans="2:8" x14ac:dyDescent="0.25">
      <c r="B231" s="100" t="s">
        <v>272</v>
      </c>
    </row>
    <row r="232" spans="2:8" x14ac:dyDescent="0.25">
      <c r="B232" s="215"/>
    </row>
    <row r="234" spans="2:8" x14ac:dyDescent="0.25">
      <c r="B234" s="110" t="s">
        <v>273</v>
      </c>
    </row>
    <row r="238" spans="2:8" x14ac:dyDescent="0.25">
      <c r="B238" s="110" t="s">
        <v>274</v>
      </c>
    </row>
    <row r="239" spans="2:8" x14ac:dyDescent="0.25">
      <c r="B239" s="110" t="s">
        <v>275</v>
      </c>
    </row>
  </sheetData>
  <mergeCells count="48">
    <mergeCell ref="A1:G1"/>
    <mergeCell ref="A2:B3"/>
    <mergeCell ref="C2:C3"/>
    <mergeCell ref="D2:D3"/>
    <mergeCell ref="E2:E3"/>
    <mergeCell ref="F2:F3"/>
    <mergeCell ref="G2:G3"/>
    <mergeCell ref="A4:B4"/>
    <mergeCell ref="A12:B12"/>
    <mergeCell ref="A78:G78"/>
    <mergeCell ref="A79:B80"/>
    <mergeCell ref="C79:C80"/>
    <mergeCell ref="D79:D80"/>
    <mergeCell ref="E79:E80"/>
    <mergeCell ref="F79:F80"/>
    <mergeCell ref="G79:G80"/>
    <mergeCell ref="A72:B72"/>
    <mergeCell ref="A74:B74"/>
    <mergeCell ref="A97:B97"/>
    <mergeCell ref="A138:B138"/>
    <mergeCell ref="A141:B141"/>
    <mergeCell ref="A142:B142"/>
    <mergeCell ref="A146:G146"/>
    <mergeCell ref="G147:G148"/>
    <mergeCell ref="A149:B149"/>
    <mergeCell ref="A158:B158"/>
    <mergeCell ref="A192:G192"/>
    <mergeCell ref="A193:B194"/>
    <mergeCell ref="C193:C194"/>
    <mergeCell ref="D193:D194"/>
    <mergeCell ref="E193:E194"/>
    <mergeCell ref="F193:F194"/>
    <mergeCell ref="G193:G194"/>
    <mergeCell ref="A147:B148"/>
    <mergeCell ref="C147:C148"/>
    <mergeCell ref="D147:D148"/>
    <mergeCell ref="E147:E148"/>
    <mergeCell ref="F147:F148"/>
    <mergeCell ref="A212:B212"/>
    <mergeCell ref="A215:B215"/>
    <mergeCell ref="A218:B218"/>
    <mergeCell ref="A207:G207"/>
    <mergeCell ref="A208:B209"/>
    <mergeCell ref="C208:C209"/>
    <mergeCell ref="D208:D209"/>
    <mergeCell ref="E208:E209"/>
    <mergeCell ref="F208:F209"/>
    <mergeCell ref="G208:G209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Header xml:space="preserve">&amp;C&amp;"Arial,Tučné"&amp;14Viacročný rozpočet na roky 2019 - 2021&amp;"-,Normálne"&amp;11
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6"/>
  <sheetViews>
    <sheetView zoomScale="89" zoomScaleNormal="89" workbookViewId="0">
      <selection sqref="A1:G1"/>
    </sheetView>
  </sheetViews>
  <sheetFormatPr defaultRowHeight="15" x14ac:dyDescent="0.25"/>
  <cols>
    <col min="1" max="1" width="6.42578125" customWidth="1"/>
    <col min="2" max="2" width="39.7109375" customWidth="1"/>
    <col min="3" max="3" width="11.5703125" customWidth="1"/>
    <col min="4" max="4" width="11.85546875" customWidth="1"/>
    <col min="5" max="5" width="11" customWidth="1"/>
    <col min="6" max="6" width="10.5703125" customWidth="1"/>
    <col min="7" max="7" width="11.5703125" customWidth="1"/>
    <col min="10" max="10" width="16.140625" bestFit="1" customWidth="1"/>
  </cols>
  <sheetData>
    <row r="1" spans="1:84" ht="18.75" x14ac:dyDescent="0.3">
      <c r="A1" s="681" t="s">
        <v>250</v>
      </c>
      <c r="B1" s="681"/>
      <c r="C1" s="681"/>
      <c r="D1" s="681"/>
      <c r="E1" s="681"/>
      <c r="F1" s="681"/>
      <c r="G1" s="681"/>
      <c r="H1" s="238"/>
    </row>
    <row r="2" spans="1:84" ht="15.75" thickBot="1" x14ac:dyDescent="0.3">
      <c r="H2" s="238"/>
    </row>
    <row r="3" spans="1:84" ht="45.75" thickBot="1" x14ac:dyDescent="0.3">
      <c r="A3" s="277" t="s">
        <v>205</v>
      </c>
      <c r="B3" s="272" t="s">
        <v>211</v>
      </c>
      <c r="C3" s="273" t="s">
        <v>259</v>
      </c>
      <c r="D3" s="274" t="s">
        <v>199</v>
      </c>
      <c r="E3" s="274" t="s">
        <v>200</v>
      </c>
      <c r="F3" s="275" t="s">
        <v>209</v>
      </c>
      <c r="G3" s="276" t="s">
        <v>201</v>
      </c>
      <c r="H3" s="278" t="s">
        <v>217</v>
      </c>
    </row>
    <row r="4" spans="1:84" ht="15.75" thickBot="1" x14ac:dyDescent="0.3">
      <c r="A4" s="107" t="s">
        <v>77</v>
      </c>
      <c r="B4" s="345" t="s">
        <v>164</v>
      </c>
      <c r="C4" s="200">
        <v>211000</v>
      </c>
      <c r="D4" s="194">
        <v>200000</v>
      </c>
      <c r="E4" s="109"/>
      <c r="F4" s="182"/>
      <c r="G4" s="228">
        <v>11000</v>
      </c>
      <c r="H4" s="252">
        <f t="shared" ref="H4:H20" si="0">SUM(D4:G4)</f>
        <v>211000</v>
      </c>
      <c r="I4" s="258">
        <f>C4-H4</f>
        <v>0</v>
      </c>
    </row>
    <row r="5" spans="1:84" x14ac:dyDescent="0.25">
      <c r="A5" s="174" t="s">
        <v>81</v>
      </c>
      <c r="B5" s="190" t="s">
        <v>195</v>
      </c>
      <c r="C5" s="202"/>
      <c r="D5" s="196"/>
      <c r="E5" s="78"/>
      <c r="F5" s="186"/>
      <c r="G5" s="230">
        <v>10000</v>
      </c>
      <c r="H5" s="254">
        <f t="shared" si="0"/>
        <v>10000</v>
      </c>
      <c r="I5" s="258">
        <f t="shared" ref="I5:I21" si="1">C5-H5</f>
        <v>-10000</v>
      </c>
      <c r="J5" s="344">
        <v>10000</v>
      </c>
    </row>
    <row r="6" spans="1:84" ht="15.75" thickBot="1" x14ac:dyDescent="0.3">
      <c r="A6" s="173" t="s">
        <v>132</v>
      </c>
      <c r="B6" s="192" t="s">
        <v>159</v>
      </c>
      <c r="C6" s="203">
        <v>1000</v>
      </c>
      <c r="D6" s="197"/>
      <c r="E6" s="104"/>
      <c r="F6" s="184">
        <v>1000</v>
      </c>
      <c r="G6" s="231"/>
      <c r="H6" s="255">
        <f t="shared" si="0"/>
        <v>1000</v>
      </c>
      <c r="I6" s="258">
        <f t="shared" si="1"/>
        <v>0</v>
      </c>
      <c r="J6" s="344"/>
    </row>
    <row r="7" spans="1:84" x14ac:dyDescent="0.25">
      <c r="A7" s="146" t="s">
        <v>132</v>
      </c>
      <c r="B7" s="346" t="s">
        <v>216</v>
      </c>
      <c r="C7" s="347">
        <v>40000</v>
      </c>
      <c r="D7" s="198"/>
      <c r="E7" s="132">
        <v>40000</v>
      </c>
      <c r="F7" s="185"/>
      <c r="G7" s="232"/>
      <c r="H7" s="253">
        <f t="shared" si="0"/>
        <v>40000</v>
      </c>
      <c r="I7" s="258">
        <f t="shared" si="1"/>
        <v>0</v>
      </c>
    </row>
    <row r="8" spans="1:84" x14ac:dyDescent="0.25">
      <c r="A8" s="188" t="s">
        <v>99</v>
      </c>
      <c r="B8" s="190" t="s">
        <v>156</v>
      </c>
      <c r="C8" s="202"/>
      <c r="D8" s="196"/>
      <c r="E8" s="78"/>
      <c r="F8" s="186"/>
      <c r="G8" s="230">
        <v>300000</v>
      </c>
      <c r="H8" s="254">
        <f t="shared" si="0"/>
        <v>300000</v>
      </c>
      <c r="I8" s="341">
        <f t="shared" si="1"/>
        <v>-300000</v>
      </c>
      <c r="J8" s="344">
        <v>300000</v>
      </c>
      <c r="K8" s="342"/>
      <c r="L8" s="342"/>
      <c r="M8" s="342"/>
      <c r="N8" s="342"/>
      <c r="O8" s="342"/>
    </row>
    <row r="9" spans="1:84" s="239" customFormat="1" x14ac:dyDescent="0.25">
      <c r="A9" s="338"/>
      <c r="B9" s="193"/>
      <c r="C9" s="202"/>
      <c r="D9" s="196"/>
      <c r="E9" s="78"/>
      <c r="F9" s="186"/>
      <c r="G9" s="230"/>
      <c r="H9" s="254">
        <f t="shared" si="0"/>
        <v>0</v>
      </c>
      <c r="I9" s="258">
        <f t="shared" si="1"/>
        <v>0</v>
      </c>
      <c r="J9"/>
      <c r="K9"/>
      <c r="L9"/>
      <c r="M9" s="342"/>
      <c r="N9" s="342"/>
      <c r="O9" s="342"/>
      <c r="P9" s="342"/>
      <c r="Q9" s="342"/>
      <c r="R9" s="342"/>
      <c r="S9" s="342"/>
      <c r="T9"/>
      <c r="U9"/>
      <c r="V9"/>
      <c r="W9"/>
      <c r="X9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</row>
    <row r="10" spans="1:84" x14ac:dyDescent="0.25">
      <c r="A10" s="188"/>
      <c r="B10" s="193"/>
      <c r="C10" s="202"/>
      <c r="D10" s="196"/>
      <c r="E10" s="78"/>
      <c r="F10" s="186"/>
      <c r="G10" s="230"/>
      <c r="H10" s="254">
        <f t="shared" si="0"/>
        <v>0</v>
      </c>
      <c r="I10" s="258">
        <f t="shared" si="1"/>
        <v>0</v>
      </c>
    </row>
    <row r="11" spans="1:84" x14ac:dyDescent="0.25">
      <c r="A11" s="188"/>
      <c r="B11" s="190"/>
      <c r="C11" s="202"/>
      <c r="D11" s="196"/>
      <c r="E11" s="78"/>
      <c r="F11" s="186"/>
      <c r="G11" s="230"/>
      <c r="H11" s="254">
        <f t="shared" si="0"/>
        <v>0</v>
      </c>
      <c r="I11" s="258">
        <f t="shared" si="1"/>
        <v>0</v>
      </c>
    </row>
    <row r="12" spans="1:84" x14ac:dyDescent="0.25">
      <c r="A12" s="188"/>
      <c r="B12" s="190"/>
      <c r="C12" s="202"/>
      <c r="D12" s="196"/>
      <c r="E12" s="78"/>
      <c r="F12" s="186"/>
      <c r="G12" s="230"/>
      <c r="H12" s="254">
        <f t="shared" si="0"/>
        <v>0</v>
      </c>
      <c r="I12" s="258">
        <f t="shared" si="1"/>
        <v>0</v>
      </c>
    </row>
    <row r="13" spans="1:84" x14ac:dyDescent="0.25">
      <c r="A13" s="149"/>
      <c r="B13" s="189"/>
      <c r="C13" s="201"/>
      <c r="D13" s="195"/>
      <c r="E13" s="77"/>
      <c r="F13" s="183"/>
      <c r="G13" s="229"/>
      <c r="H13" s="253">
        <f t="shared" si="0"/>
        <v>0</v>
      </c>
      <c r="I13" s="258">
        <f t="shared" si="1"/>
        <v>0</v>
      </c>
      <c r="T13" s="342"/>
      <c r="U13" s="342"/>
      <c r="V13" s="342"/>
      <c r="W13" s="342"/>
      <c r="X13" s="342"/>
      <c r="Y13" s="342"/>
    </row>
    <row r="14" spans="1:84" x14ac:dyDescent="0.25">
      <c r="A14" s="148"/>
      <c r="B14" s="191"/>
      <c r="C14" s="204"/>
      <c r="D14" s="199"/>
      <c r="E14" s="103"/>
      <c r="F14" s="187"/>
      <c r="G14" s="233"/>
      <c r="H14" s="254">
        <f t="shared" si="0"/>
        <v>0</v>
      </c>
      <c r="I14" s="258">
        <f t="shared" si="1"/>
        <v>0</v>
      </c>
    </row>
    <row r="15" spans="1:84" x14ac:dyDescent="0.25">
      <c r="A15" s="148"/>
      <c r="B15" s="191"/>
      <c r="C15" s="204"/>
      <c r="D15" s="199"/>
      <c r="E15" s="103"/>
      <c r="F15" s="187"/>
      <c r="G15" s="233"/>
      <c r="H15" s="254">
        <f t="shared" si="0"/>
        <v>0</v>
      </c>
      <c r="I15" s="258">
        <f t="shared" si="1"/>
        <v>0</v>
      </c>
    </row>
    <row r="16" spans="1:84" x14ac:dyDescent="0.25">
      <c r="A16" s="148"/>
      <c r="B16" s="191"/>
      <c r="C16" s="204"/>
      <c r="D16" s="199"/>
      <c r="E16" s="103"/>
      <c r="F16" s="187"/>
      <c r="G16" s="233"/>
      <c r="H16" s="254">
        <f t="shared" si="0"/>
        <v>0</v>
      </c>
      <c r="I16" s="258">
        <f t="shared" si="1"/>
        <v>0</v>
      </c>
    </row>
    <row r="17" spans="1:11" x14ac:dyDescent="0.25">
      <c r="A17" s="148"/>
      <c r="B17" s="191"/>
      <c r="C17" s="204"/>
      <c r="D17" s="199"/>
      <c r="E17" s="103"/>
      <c r="F17" s="187"/>
      <c r="G17" s="233"/>
      <c r="H17" s="254">
        <f t="shared" si="0"/>
        <v>0</v>
      </c>
      <c r="I17" s="258">
        <f t="shared" si="1"/>
        <v>0</v>
      </c>
    </row>
    <row r="18" spans="1:11" x14ac:dyDescent="0.25">
      <c r="A18" s="188"/>
      <c r="B18" s="190"/>
      <c r="C18" s="202"/>
      <c r="D18" s="196"/>
      <c r="E18" s="78"/>
      <c r="F18" s="186"/>
      <c r="G18" s="230">
        <v>0</v>
      </c>
      <c r="H18" s="254">
        <f t="shared" si="0"/>
        <v>0</v>
      </c>
      <c r="I18" s="258">
        <f t="shared" si="1"/>
        <v>0</v>
      </c>
    </row>
    <row r="19" spans="1:11" x14ac:dyDescent="0.25">
      <c r="A19" s="151"/>
      <c r="B19" s="190"/>
      <c r="C19" s="202"/>
      <c r="D19" s="196"/>
      <c r="E19" s="78"/>
      <c r="F19" s="186"/>
      <c r="G19" s="230">
        <v>0</v>
      </c>
      <c r="H19" s="254">
        <f t="shared" si="0"/>
        <v>0</v>
      </c>
      <c r="I19" s="258">
        <f t="shared" si="1"/>
        <v>0</v>
      </c>
    </row>
    <row r="20" spans="1:11" ht="15.75" thickBot="1" x14ac:dyDescent="0.3">
      <c r="A20" s="153"/>
      <c r="B20" s="192"/>
      <c r="C20" s="203"/>
      <c r="D20" s="197"/>
      <c r="E20" s="104"/>
      <c r="F20" s="184"/>
      <c r="G20" s="231">
        <v>0</v>
      </c>
      <c r="H20" s="260">
        <f t="shared" si="0"/>
        <v>0</v>
      </c>
      <c r="I20" s="258">
        <f t="shared" si="1"/>
        <v>0</v>
      </c>
    </row>
    <row r="21" spans="1:11" ht="15.75" thickBot="1" x14ac:dyDescent="0.3">
      <c r="A21" s="687" t="s">
        <v>202</v>
      </c>
      <c r="B21" s="688"/>
      <c r="C21" s="205">
        <f t="shared" ref="C21:H21" si="2">SUM(C4:C20)</f>
        <v>252000</v>
      </c>
      <c r="D21" s="205">
        <f t="shared" si="2"/>
        <v>200000</v>
      </c>
      <c r="E21" s="205">
        <f t="shared" si="2"/>
        <v>40000</v>
      </c>
      <c r="F21" s="205">
        <f t="shared" si="2"/>
        <v>1000</v>
      </c>
      <c r="G21" s="205">
        <f t="shared" si="2"/>
        <v>321000</v>
      </c>
      <c r="H21" s="256">
        <f t="shared" si="2"/>
        <v>562000</v>
      </c>
      <c r="I21" s="258">
        <f t="shared" si="1"/>
        <v>-310000</v>
      </c>
    </row>
    <row r="22" spans="1:11" x14ac:dyDescent="0.25">
      <c r="E22" s="261"/>
      <c r="H22" s="343">
        <f>SUM(D21:G21)</f>
        <v>562000</v>
      </c>
    </row>
    <row r="23" spans="1:11" x14ac:dyDescent="0.25">
      <c r="A23" s="239"/>
      <c r="B23" s="240" t="s">
        <v>218</v>
      </c>
    </row>
    <row r="24" spans="1:11" x14ac:dyDescent="0.25">
      <c r="K24" s="259"/>
    </row>
    <row r="25" spans="1:11" x14ac:dyDescent="0.25">
      <c r="B25" t="s">
        <v>155</v>
      </c>
    </row>
    <row r="26" spans="1:11" x14ac:dyDescent="0.25">
      <c r="B26" t="s">
        <v>276</v>
      </c>
    </row>
  </sheetData>
  <sortState ref="A4:H9">
    <sortCondition ref="A4"/>
  </sortState>
  <mergeCells count="2">
    <mergeCell ref="A1:G1"/>
    <mergeCell ref="A21:B2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1"/>
  <sheetViews>
    <sheetView zoomScale="93" zoomScaleNormal="93" workbookViewId="0">
      <selection sqref="A1:C1"/>
    </sheetView>
  </sheetViews>
  <sheetFormatPr defaultRowHeight="15" x14ac:dyDescent="0.25"/>
  <cols>
    <col min="1" max="1" width="11.85546875" customWidth="1"/>
    <col min="2" max="2" width="46.7109375" customWidth="1"/>
    <col min="3" max="3" width="12.7109375" customWidth="1"/>
    <col min="4" max="4" width="10.85546875" customWidth="1"/>
    <col min="5" max="5" width="12.42578125" customWidth="1"/>
    <col min="6" max="6" width="45.28515625" customWidth="1"/>
    <col min="7" max="7" width="11.85546875" customWidth="1"/>
    <col min="8" max="8" width="12.85546875" customWidth="1"/>
    <col min="9" max="9" width="11" customWidth="1"/>
    <col min="10" max="10" width="47.7109375" customWidth="1"/>
    <col min="11" max="11" width="11.7109375" customWidth="1"/>
    <col min="12" max="12" width="6.85546875" customWidth="1"/>
    <col min="13" max="13" width="11.42578125" customWidth="1"/>
    <col min="14" max="14" width="62.7109375" customWidth="1"/>
    <col min="15" max="15" width="11.42578125" customWidth="1"/>
    <col min="16" max="16" width="5.85546875" customWidth="1"/>
    <col min="17" max="17" width="11.85546875" customWidth="1"/>
    <col min="18" max="18" width="49.140625" customWidth="1"/>
    <col min="19" max="19" width="12.42578125" customWidth="1"/>
    <col min="20" max="20" width="15" customWidth="1"/>
    <col min="21" max="21" width="10.7109375" customWidth="1"/>
    <col min="22" max="22" width="10.42578125" customWidth="1"/>
    <col min="23" max="23" width="45.28515625" customWidth="1"/>
    <col min="24" max="24" width="13" customWidth="1"/>
    <col min="25" max="25" width="12.85546875" customWidth="1"/>
    <col min="26" max="26" width="9.7109375" customWidth="1"/>
    <col min="27" max="27" width="10" customWidth="1"/>
    <col min="28" max="28" width="55.140625" customWidth="1"/>
    <col min="29" max="29" width="12.28515625" customWidth="1"/>
    <col min="30" max="30" width="13.42578125" customWidth="1"/>
    <col min="31" max="31" width="10.42578125" customWidth="1"/>
    <col min="33" max="33" width="47.28515625" customWidth="1"/>
    <col min="34" max="34" width="13.85546875" customWidth="1"/>
    <col min="35" max="35" width="17" customWidth="1"/>
    <col min="38" max="38" width="56.7109375" customWidth="1"/>
    <col min="39" max="39" width="15.140625" customWidth="1"/>
  </cols>
  <sheetData>
    <row r="1" spans="1:39" ht="18" x14ac:dyDescent="0.25">
      <c r="A1" s="610" t="s">
        <v>658</v>
      </c>
      <c r="B1" s="610"/>
      <c r="C1" s="610"/>
      <c r="E1" s="610" t="s">
        <v>632</v>
      </c>
      <c r="F1" s="610"/>
      <c r="G1" s="610"/>
      <c r="I1" s="610" t="s">
        <v>603</v>
      </c>
      <c r="J1" s="610"/>
      <c r="K1" s="610"/>
      <c r="M1" s="610" t="s">
        <v>556</v>
      </c>
      <c r="N1" s="610"/>
      <c r="O1" s="610"/>
      <c r="P1" s="432"/>
      <c r="Q1" s="610" t="s">
        <v>525</v>
      </c>
      <c r="R1" s="610"/>
      <c r="S1" s="610"/>
      <c r="V1" s="610" t="s">
        <v>508</v>
      </c>
      <c r="W1" s="610"/>
      <c r="X1" s="610"/>
      <c r="AA1" s="610" t="s">
        <v>424</v>
      </c>
      <c r="AB1" s="610"/>
      <c r="AC1" s="610"/>
      <c r="AF1" s="610" t="s">
        <v>400</v>
      </c>
      <c r="AG1" s="610"/>
      <c r="AH1" s="610"/>
      <c r="AK1" s="610" t="s">
        <v>321</v>
      </c>
      <c r="AL1" s="610"/>
      <c r="AM1" s="610"/>
    </row>
    <row r="2" spans="1:39" x14ac:dyDescent="0.25">
      <c r="A2" s="624" t="s">
        <v>302</v>
      </c>
      <c r="B2" s="624"/>
      <c r="C2" s="624"/>
      <c r="E2" s="624" t="s">
        <v>302</v>
      </c>
      <c r="F2" s="624"/>
      <c r="G2" s="624"/>
      <c r="I2" s="624" t="s">
        <v>302</v>
      </c>
      <c r="J2" s="624"/>
      <c r="K2" s="624"/>
      <c r="M2" s="624" t="s">
        <v>302</v>
      </c>
      <c r="N2" s="624"/>
      <c r="O2" s="624"/>
      <c r="P2" s="432"/>
      <c r="Q2" s="624" t="s">
        <v>302</v>
      </c>
      <c r="R2" s="624"/>
      <c r="S2" s="624"/>
      <c r="V2" s="624" t="s">
        <v>302</v>
      </c>
      <c r="W2" s="624"/>
      <c r="X2" s="624"/>
      <c r="AA2" s="624" t="s">
        <v>302</v>
      </c>
      <c r="AB2" s="624"/>
      <c r="AC2" s="624"/>
      <c r="AF2" s="624" t="s">
        <v>302</v>
      </c>
      <c r="AG2" s="624"/>
      <c r="AH2" s="624"/>
      <c r="AK2" s="624" t="s">
        <v>302</v>
      </c>
      <c r="AL2" s="624"/>
      <c r="AM2" s="624"/>
    </row>
    <row r="3" spans="1:39" x14ac:dyDescent="0.25">
      <c r="A3" s="625" t="s">
        <v>353</v>
      </c>
      <c r="B3" s="625"/>
      <c r="C3" s="625"/>
      <c r="E3" s="625" t="s">
        <v>353</v>
      </c>
      <c r="F3" s="625"/>
      <c r="G3" s="625"/>
      <c r="I3" s="625" t="s">
        <v>353</v>
      </c>
      <c r="J3" s="625"/>
      <c r="K3" s="625"/>
      <c r="M3" s="625" t="s">
        <v>353</v>
      </c>
      <c r="N3" s="625"/>
      <c r="O3" s="625"/>
      <c r="P3" s="432"/>
      <c r="Q3" s="625" t="s">
        <v>353</v>
      </c>
      <c r="R3" s="625"/>
      <c r="S3" s="625"/>
      <c r="V3" s="625" t="s">
        <v>353</v>
      </c>
      <c r="W3" s="625"/>
      <c r="X3" s="625"/>
      <c r="AA3" s="625" t="s">
        <v>353</v>
      </c>
      <c r="AB3" s="625"/>
      <c r="AC3" s="625"/>
      <c r="AF3" s="625" t="s">
        <v>353</v>
      </c>
      <c r="AG3" s="625"/>
      <c r="AH3" s="625"/>
      <c r="AK3" s="625" t="s">
        <v>353</v>
      </c>
      <c r="AL3" s="625"/>
      <c r="AM3" s="625"/>
    </row>
    <row r="4" spans="1:39" x14ac:dyDescent="0.25">
      <c r="A4" s="602"/>
      <c r="B4" s="602"/>
      <c r="C4" s="602"/>
      <c r="E4" s="588"/>
      <c r="F4" s="588"/>
      <c r="G4" s="588"/>
      <c r="I4" s="584"/>
      <c r="J4" s="584"/>
      <c r="K4" s="584"/>
      <c r="M4" s="570"/>
      <c r="N4" s="570"/>
      <c r="O4" s="570"/>
      <c r="P4" s="432"/>
      <c r="Q4" s="564"/>
      <c r="R4" s="564"/>
      <c r="S4" s="564"/>
      <c r="V4" s="557"/>
      <c r="W4" s="557"/>
      <c r="X4" s="557"/>
      <c r="AA4" s="502"/>
      <c r="AB4" s="502"/>
      <c r="AC4" s="502"/>
      <c r="AF4" s="493"/>
      <c r="AG4" s="493"/>
      <c r="AH4" s="493"/>
      <c r="AK4" s="456"/>
      <c r="AL4" s="456"/>
      <c r="AM4" s="456"/>
    </row>
    <row r="5" spans="1:39" ht="15.75" thickBot="1" x14ac:dyDescent="0.3">
      <c r="A5" s="616" t="s">
        <v>303</v>
      </c>
      <c r="B5" s="616"/>
      <c r="C5" s="616"/>
      <c r="E5" s="616" t="s">
        <v>303</v>
      </c>
      <c r="F5" s="616"/>
      <c r="G5" s="616"/>
      <c r="I5" s="616" t="s">
        <v>303</v>
      </c>
      <c r="J5" s="616"/>
      <c r="K5" s="616"/>
      <c r="M5" s="616" t="s">
        <v>303</v>
      </c>
      <c r="N5" s="616"/>
      <c r="O5" s="616"/>
      <c r="P5" s="432"/>
      <c r="Q5" s="616" t="s">
        <v>303</v>
      </c>
      <c r="R5" s="616"/>
      <c r="S5" s="616"/>
      <c r="V5" s="616" t="s">
        <v>303</v>
      </c>
      <c r="W5" s="616"/>
      <c r="X5" s="616"/>
      <c r="AA5" s="616" t="s">
        <v>303</v>
      </c>
      <c r="AB5" s="616"/>
      <c r="AC5" s="616"/>
      <c r="AF5" s="616" t="s">
        <v>303</v>
      </c>
      <c r="AG5" s="616"/>
      <c r="AH5" s="616"/>
      <c r="AK5" s="616" t="s">
        <v>303</v>
      </c>
      <c r="AL5" s="616"/>
      <c r="AM5" s="616"/>
    </row>
    <row r="6" spans="1:39" ht="15.75" thickBot="1" x14ac:dyDescent="0.3">
      <c r="A6" s="395" t="s">
        <v>304</v>
      </c>
      <c r="B6" s="396" t="s">
        <v>305</v>
      </c>
      <c r="C6" s="397" t="s">
        <v>306</v>
      </c>
      <c r="E6" s="395" t="s">
        <v>304</v>
      </c>
      <c r="F6" s="396" t="s">
        <v>305</v>
      </c>
      <c r="G6" s="397" t="s">
        <v>306</v>
      </c>
      <c r="I6" s="395" t="s">
        <v>304</v>
      </c>
      <c r="J6" s="396" t="s">
        <v>305</v>
      </c>
      <c r="K6" s="397" t="s">
        <v>306</v>
      </c>
      <c r="M6" s="395" t="s">
        <v>304</v>
      </c>
      <c r="N6" s="396" t="s">
        <v>305</v>
      </c>
      <c r="O6" s="397" t="s">
        <v>306</v>
      </c>
      <c r="P6" s="432"/>
      <c r="Q6" s="395" t="s">
        <v>304</v>
      </c>
      <c r="R6" s="396" t="s">
        <v>305</v>
      </c>
      <c r="S6" s="397" t="s">
        <v>306</v>
      </c>
      <c r="V6" s="395" t="s">
        <v>304</v>
      </c>
      <c r="W6" s="396" t="s">
        <v>305</v>
      </c>
      <c r="X6" s="397" t="s">
        <v>306</v>
      </c>
      <c r="AA6" s="395" t="s">
        <v>304</v>
      </c>
      <c r="AB6" s="396" t="s">
        <v>305</v>
      </c>
      <c r="AC6" s="397" t="s">
        <v>306</v>
      </c>
      <c r="AF6" s="395" t="s">
        <v>304</v>
      </c>
      <c r="AG6" s="396" t="s">
        <v>305</v>
      </c>
      <c r="AH6" s="397" t="s">
        <v>306</v>
      </c>
      <c r="AK6" s="395" t="s">
        <v>304</v>
      </c>
      <c r="AL6" s="396" t="s">
        <v>305</v>
      </c>
      <c r="AM6" s="397" t="s">
        <v>306</v>
      </c>
    </row>
    <row r="7" spans="1:39" ht="15.75" thickBot="1" x14ac:dyDescent="0.3">
      <c r="A7" s="617" t="s">
        <v>307</v>
      </c>
      <c r="B7" s="618"/>
      <c r="C7" s="398">
        <f>SUM(C8:C15)</f>
        <v>4033</v>
      </c>
      <c r="E7" s="617" t="s">
        <v>307</v>
      </c>
      <c r="F7" s="618"/>
      <c r="G7" s="398">
        <f>SUM(G8:G16)</f>
        <v>-2270</v>
      </c>
      <c r="I7" s="617" t="s">
        <v>307</v>
      </c>
      <c r="J7" s="618"/>
      <c r="K7" s="398">
        <f>SUM(K8:K10)</f>
        <v>310</v>
      </c>
      <c r="M7" s="617" t="s">
        <v>307</v>
      </c>
      <c r="N7" s="618"/>
      <c r="O7" s="398">
        <f>SUM(O8:O18)</f>
        <v>-1424</v>
      </c>
      <c r="P7" s="580"/>
      <c r="Q7" s="617" t="s">
        <v>307</v>
      </c>
      <c r="R7" s="618"/>
      <c r="S7" s="398">
        <f>SUM(S8:S16)</f>
        <v>8163</v>
      </c>
      <c r="V7" s="617" t="s">
        <v>307</v>
      </c>
      <c r="W7" s="618"/>
      <c r="X7" s="398">
        <f>SUM(X8:X12)</f>
        <v>41711</v>
      </c>
      <c r="AA7" s="617" t="s">
        <v>307</v>
      </c>
      <c r="AB7" s="618"/>
      <c r="AC7" s="398">
        <f>SUM(AC8:AC23)</f>
        <v>29045</v>
      </c>
      <c r="AF7" s="617" t="s">
        <v>307</v>
      </c>
      <c r="AG7" s="618"/>
      <c r="AH7" s="398">
        <f>SUM(AH8:AH14)</f>
        <v>6945</v>
      </c>
      <c r="AK7" s="617" t="s">
        <v>307</v>
      </c>
      <c r="AL7" s="618"/>
      <c r="AM7" s="398">
        <f>SUM(AM8:AM23)</f>
        <v>43550</v>
      </c>
    </row>
    <row r="8" spans="1:39" x14ac:dyDescent="0.25">
      <c r="A8" s="399">
        <v>212</v>
      </c>
      <c r="B8" s="400" t="s">
        <v>679</v>
      </c>
      <c r="C8" s="401">
        <v>400</v>
      </c>
      <c r="E8" s="399">
        <v>133</v>
      </c>
      <c r="F8" s="400" t="s">
        <v>662</v>
      </c>
      <c r="G8" s="401">
        <v>400</v>
      </c>
      <c r="I8" s="399">
        <v>312</v>
      </c>
      <c r="J8" s="400" t="s">
        <v>624</v>
      </c>
      <c r="K8" s="401">
        <v>310</v>
      </c>
      <c r="M8" s="453">
        <v>111</v>
      </c>
      <c r="N8" s="400" t="s">
        <v>626</v>
      </c>
      <c r="O8" s="401">
        <v>-5400</v>
      </c>
      <c r="P8" s="432"/>
      <c r="Q8" s="399">
        <v>111</v>
      </c>
      <c r="R8" s="400" t="s">
        <v>534</v>
      </c>
      <c r="S8" s="401">
        <v>-9600</v>
      </c>
      <c r="V8" s="399">
        <v>111</v>
      </c>
      <c r="W8" s="400" t="s">
        <v>308</v>
      </c>
      <c r="X8" s="401">
        <v>40000</v>
      </c>
      <c r="AA8" s="399">
        <v>133</v>
      </c>
      <c r="AB8" s="400" t="s">
        <v>449</v>
      </c>
      <c r="AC8" s="401">
        <v>1000</v>
      </c>
      <c r="AF8" s="399">
        <v>133</v>
      </c>
      <c r="AG8" s="400" t="s">
        <v>410</v>
      </c>
      <c r="AH8" s="401">
        <v>500</v>
      </c>
      <c r="AK8" s="399">
        <v>111</v>
      </c>
      <c r="AL8" s="400" t="s">
        <v>308</v>
      </c>
      <c r="AM8" s="401">
        <v>22000</v>
      </c>
    </row>
    <row r="9" spans="1:39" x14ac:dyDescent="0.25">
      <c r="A9" s="399">
        <v>212</v>
      </c>
      <c r="B9" s="400" t="s">
        <v>680</v>
      </c>
      <c r="C9" s="401">
        <f>-400-117</f>
        <v>-517</v>
      </c>
      <c r="E9" s="399">
        <v>221</v>
      </c>
      <c r="F9" s="400" t="s">
        <v>645</v>
      </c>
      <c r="G9" s="401">
        <v>300</v>
      </c>
      <c r="I9" s="399"/>
      <c r="J9" s="400"/>
      <c r="K9" s="401"/>
      <c r="M9" s="453">
        <v>133</v>
      </c>
      <c r="N9" s="400" t="s">
        <v>627</v>
      </c>
      <c r="O9" s="401">
        <v>1500</v>
      </c>
      <c r="P9" s="432"/>
      <c r="Q9" s="399">
        <v>222</v>
      </c>
      <c r="R9" s="400" t="s">
        <v>561</v>
      </c>
      <c r="S9" s="401">
        <v>400</v>
      </c>
      <c r="V9" s="399">
        <v>292</v>
      </c>
      <c r="W9" s="400" t="s">
        <v>520</v>
      </c>
      <c r="X9" s="401">
        <v>1000</v>
      </c>
      <c r="AA9" s="399">
        <v>212</v>
      </c>
      <c r="AB9" s="400" t="s">
        <v>486</v>
      </c>
      <c r="AC9" s="401">
        <v>1000</v>
      </c>
      <c r="AF9" s="399">
        <v>212</v>
      </c>
      <c r="AG9" s="400" t="s">
        <v>441</v>
      </c>
      <c r="AH9" s="401">
        <v>140</v>
      </c>
      <c r="AK9" s="399">
        <v>212</v>
      </c>
      <c r="AL9" s="400" t="s">
        <v>328</v>
      </c>
      <c r="AM9" s="401">
        <v>500</v>
      </c>
    </row>
    <row r="10" spans="1:39" ht="15.75" thickBot="1" x14ac:dyDescent="0.3">
      <c r="A10" s="399">
        <v>223</v>
      </c>
      <c r="B10" s="400" t="s">
        <v>681</v>
      </c>
      <c r="C10" s="401">
        <v>-1800</v>
      </c>
      <c r="E10" s="399">
        <v>223</v>
      </c>
      <c r="F10" s="400" t="s">
        <v>646</v>
      </c>
      <c r="G10" s="401">
        <v>300</v>
      </c>
      <c r="I10" s="626"/>
      <c r="J10" s="627"/>
      <c r="K10" s="628"/>
      <c r="M10" s="453">
        <v>212</v>
      </c>
      <c r="N10" s="400" t="s">
        <v>628</v>
      </c>
      <c r="O10" s="401">
        <v>40</v>
      </c>
      <c r="P10" s="432"/>
      <c r="Q10" s="399">
        <v>223</v>
      </c>
      <c r="R10" s="400" t="s">
        <v>526</v>
      </c>
      <c r="S10" s="401">
        <v>9600</v>
      </c>
      <c r="V10" s="399">
        <v>312</v>
      </c>
      <c r="W10" s="400" t="s">
        <v>523</v>
      </c>
      <c r="X10" s="401">
        <v>711</v>
      </c>
      <c r="AA10" s="399">
        <v>223</v>
      </c>
      <c r="AB10" s="400" t="s">
        <v>488</v>
      </c>
      <c r="AC10" s="401">
        <v>1000</v>
      </c>
      <c r="AF10" s="399">
        <v>212</v>
      </c>
      <c r="AG10" s="400" t="s">
        <v>442</v>
      </c>
      <c r="AH10" s="401">
        <f>86-226</f>
        <v>-140</v>
      </c>
      <c r="AK10" s="399">
        <v>212</v>
      </c>
      <c r="AL10" s="400" t="s">
        <v>391</v>
      </c>
      <c r="AM10" s="401">
        <v>375</v>
      </c>
    </row>
    <row r="11" spans="1:39" ht="15.75" thickBot="1" x14ac:dyDescent="0.3">
      <c r="A11" s="399">
        <v>223</v>
      </c>
      <c r="B11" s="400" t="s">
        <v>682</v>
      </c>
      <c r="C11" s="401">
        <v>4300</v>
      </c>
      <c r="D11" s="604">
        <f>SUM(C10:C11)</f>
        <v>2500</v>
      </c>
      <c r="E11" s="399">
        <v>223</v>
      </c>
      <c r="F11" s="400" t="s">
        <v>638</v>
      </c>
      <c r="G11" s="401">
        <v>-1000</v>
      </c>
      <c r="I11" s="619" t="s">
        <v>128</v>
      </c>
      <c r="J11" s="629"/>
      <c r="K11" s="407">
        <f>SUM(K12:K14)</f>
        <v>0</v>
      </c>
      <c r="M11" s="453">
        <v>212</v>
      </c>
      <c r="N11" s="455" t="s">
        <v>629</v>
      </c>
      <c r="O11" s="401">
        <f>-40+2100-2100</f>
        <v>-40</v>
      </c>
      <c r="P11" s="432"/>
      <c r="Q11" s="399">
        <v>223</v>
      </c>
      <c r="R11" s="400" t="s">
        <v>544</v>
      </c>
      <c r="S11" s="401">
        <v>200</v>
      </c>
      <c r="V11" s="399"/>
      <c r="W11" s="400"/>
      <c r="X11" s="401"/>
      <c r="AA11" s="399">
        <v>292</v>
      </c>
      <c r="AB11" s="400" t="s">
        <v>487</v>
      </c>
      <c r="AC11" s="401">
        <v>3000</v>
      </c>
      <c r="AF11" s="399">
        <v>312</v>
      </c>
      <c r="AG11" s="400" t="s">
        <v>418</v>
      </c>
      <c r="AH11" s="401">
        <v>6000</v>
      </c>
      <c r="AK11" s="399">
        <v>223</v>
      </c>
      <c r="AL11" s="400" t="s">
        <v>346</v>
      </c>
      <c r="AM11" s="401">
        <v>-2000</v>
      </c>
    </row>
    <row r="12" spans="1:39" ht="15.75" thickBot="1" x14ac:dyDescent="0.3">
      <c r="A12" s="399">
        <v>312</v>
      </c>
      <c r="B12" s="400" t="s">
        <v>683</v>
      </c>
      <c r="C12" s="401">
        <v>500</v>
      </c>
      <c r="E12" s="399">
        <v>292</v>
      </c>
      <c r="F12" s="400" t="s">
        <v>639</v>
      </c>
      <c r="G12" s="401">
        <v>1000</v>
      </c>
      <c r="I12" s="574"/>
      <c r="J12" s="560"/>
      <c r="K12" s="410"/>
      <c r="M12" s="453">
        <v>223</v>
      </c>
      <c r="N12" s="400" t="s">
        <v>641</v>
      </c>
      <c r="O12" s="401">
        <f>1000-1000</f>
        <v>0</v>
      </c>
      <c r="P12" s="432"/>
      <c r="Q12" s="399">
        <v>223</v>
      </c>
      <c r="R12" s="400" t="s">
        <v>527</v>
      </c>
      <c r="S12" s="401">
        <v>-14000</v>
      </c>
      <c r="V12" s="626"/>
      <c r="W12" s="627"/>
      <c r="X12" s="628"/>
      <c r="AA12" s="399">
        <v>311</v>
      </c>
      <c r="AB12" s="400" t="s">
        <v>485</v>
      </c>
      <c r="AC12" s="401">
        <v>3000</v>
      </c>
      <c r="AF12" s="399">
        <v>312</v>
      </c>
      <c r="AG12" s="400" t="s">
        <v>409</v>
      </c>
      <c r="AH12" s="401">
        <v>300</v>
      </c>
      <c r="AK12" s="399">
        <v>292</v>
      </c>
      <c r="AL12" s="400" t="s">
        <v>351</v>
      </c>
      <c r="AM12" s="401">
        <f>2950+20-20</f>
        <v>2950</v>
      </c>
    </row>
    <row r="13" spans="1:39" ht="15.75" thickBot="1" x14ac:dyDescent="0.3">
      <c r="A13" s="399">
        <v>312</v>
      </c>
      <c r="B13" s="400" t="s">
        <v>667</v>
      </c>
      <c r="C13" s="401">
        <v>350</v>
      </c>
      <c r="E13" s="399">
        <v>312</v>
      </c>
      <c r="F13" s="400" t="s">
        <v>663</v>
      </c>
      <c r="G13" s="401">
        <v>-470</v>
      </c>
      <c r="I13" s="575"/>
      <c r="J13" s="443"/>
      <c r="K13" s="576"/>
      <c r="M13" s="399">
        <v>292</v>
      </c>
      <c r="N13" s="400" t="s">
        <v>571</v>
      </c>
      <c r="O13" s="401">
        <v>2500</v>
      </c>
      <c r="P13" s="432"/>
      <c r="Q13" s="399">
        <v>312</v>
      </c>
      <c r="R13" s="400" t="s">
        <v>545</v>
      </c>
      <c r="S13" s="401">
        <v>20000</v>
      </c>
      <c r="T13" s="433"/>
      <c r="V13" s="619" t="s">
        <v>128</v>
      </c>
      <c r="W13" s="629"/>
      <c r="X13" s="407">
        <f>SUM(X14:X15)</f>
        <v>-42000</v>
      </c>
      <c r="AA13" s="399">
        <v>312</v>
      </c>
      <c r="AB13" s="400" t="s">
        <v>490</v>
      </c>
      <c r="AC13" s="401">
        <v>5</v>
      </c>
      <c r="AF13" s="399">
        <v>312</v>
      </c>
      <c r="AG13" s="400" t="s">
        <v>411</v>
      </c>
      <c r="AH13" s="401">
        <v>145</v>
      </c>
      <c r="AK13" s="402">
        <v>292</v>
      </c>
      <c r="AL13" s="455" t="s">
        <v>334</v>
      </c>
      <c r="AM13" s="403">
        <v>12</v>
      </c>
    </row>
    <row r="14" spans="1:39" ht="15.75" thickBot="1" x14ac:dyDescent="0.3">
      <c r="A14" s="399">
        <v>312</v>
      </c>
      <c r="B14" s="400" t="s">
        <v>669</v>
      </c>
      <c r="C14" s="401">
        <v>800</v>
      </c>
      <c r="E14" s="399">
        <v>312</v>
      </c>
      <c r="F14" s="400" t="s">
        <v>634</v>
      </c>
      <c r="G14" s="401">
        <v>-50</v>
      </c>
      <c r="I14" s="630"/>
      <c r="J14" s="631"/>
      <c r="K14" s="632"/>
      <c r="M14" s="399">
        <v>292</v>
      </c>
      <c r="N14" s="400" t="s">
        <v>630</v>
      </c>
      <c r="O14" s="401">
        <v>2200</v>
      </c>
      <c r="P14" s="580"/>
      <c r="Q14" s="437" t="s">
        <v>533</v>
      </c>
      <c r="R14" s="438" t="s">
        <v>543</v>
      </c>
      <c r="S14" s="401">
        <f>1404+53</f>
        <v>1457</v>
      </c>
      <c r="T14" s="433">
        <f>S14+S13+S12+S10+S8+200</f>
        <v>7657</v>
      </c>
      <c r="V14" s="408">
        <v>322</v>
      </c>
      <c r="W14" s="560" t="s">
        <v>463</v>
      </c>
      <c r="X14" s="410">
        <v>-42000</v>
      </c>
      <c r="AA14" s="399">
        <v>312</v>
      </c>
      <c r="AB14" s="400" t="s">
        <v>491</v>
      </c>
      <c r="AC14" s="401">
        <v>200</v>
      </c>
      <c r="AF14" s="399"/>
      <c r="AG14" s="400"/>
      <c r="AH14" s="401"/>
      <c r="AK14" s="402">
        <v>311</v>
      </c>
      <c r="AL14" s="400" t="s">
        <v>325</v>
      </c>
      <c r="AM14" s="403">
        <v>460</v>
      </c>
    </row>
    <row r="15" spans="1:39" ht="15.75" thickBot="1" x14ac:dyDescent="0.3">
      <c r="A15" s="626"/>
      <c r="B15" s="627"/>
      <c r="C15" s="628"/>
      <c r="E15" s="399">
        <v>312</v>
      </c>
      <c r="F15" s="400" t="s">
        <v>635</v>
      </c>
      <c r="G15" s="401">
        <v>-2750</v>
      </c>
      <c r="H15" s="433">
        <f>SUM(G13:G15)</f>
        <v>-3270</v>
      </c>
      <c r="I15" s="621" t="s">
        <v>133</v>
      </c>
      <c r="J15" s="633"/>
      <c r="K15" s="414">
        <f>SUM(K16:K18)</f>
        <v>0</v>
      </c>
      <c r="M15" s="399">
        <v>312</v>
      </c>
      <c r="N15" s="400" t="s">
        <v>631</v>
      </c>
      <c r="O15" s="401">
        <v>1700</v>
      </c>
      <c r="P15" s="432"/>
      <c r="Q15" s="399">
        <v>312</v>
      </c>
      <c r="R15" s="400" t="s">
        <v>523</v>
      </c>
      <c r="S15" s="401">
        <v>106</v>
      </c>
      <c r="V15" s="630"/>
      <c r="W15" s="631"/>
      <c r="X15" s="632"/>
      <c r="AA15" s="399">
        <v>312</v>
      </c>
      <c r="AB15" s="400" t="s">
        <v>489</v>
      </c>
      <c r="AC15" s="401">
        <f>2000+1500</f>
        <v>3500</v>
      </c>
      <c r="AF15" s="626"/>
      <c r="AG15" s="627"/>
      <c r="AH15" s="628"/>
      <c r="AK15" s="402">
        <v>312</v>
      </c>
      <c r="AL15" s="400" t="s">
        <v>382</v>
      </c>
      <c r="AM15" s="403">
        <v>2100</v>
      </c>
    </row>
    <row r="16" spans="1:39" ht="15.75" thickBot="1" x14ac:dyDescent="0.3">
      <c r="A16" s="619" t="s">
        <v>128</v>
      </c>
      <c r="B16" s="629"/>
      <c r="C16" s="407">
        <f>SUM(C17:C19)</f>
        <v>0</v>
      </c>
      <c r="E16" s="626"/>
      <c r="F16" s="627"/>
      <c r="G16" s="628"/>
      <c r="I16" s="415">
        <v>453</v>
      </c>
      <c r="J16" s="416" t="s">
        <v>327</v>
      </c>
      <c r="K16" s="417"/>
      <c r="M16" s="399">
        <v>312</v>
      </c>
      <c r="N16" s="400" t="s">
        <v>572</v>
      </c>
      <c r="O16" s="401">
        <f>-1900-2000-2200</f>
        <v>-6100</v>
      </c>
      <c r="P16" s="432"/>
      <c r="Q16" s="626"/>
      <c r="R16" s="627"/>
      <c r="S16" s="628"/>
      <c r="V16" s="621" t="s">
        <v>133</v>
      </c>
      <c r="W16" s="633"/>
      <c r="X16" s="414">
        <f>SUM(X17:X19)</f>
        <v>0</v>
      </c>
      <c r="AA16" s="399">
        <v>312</v>
      </c>
      <c r="AB16" s="400" t="s">
        <v>432</v>
      </c>
      <c r="AC16" s="401">
        <v>1900</v>
      </c>
      <c r="AF16" s="619" t="s">
        <v>128</v>
      </c>
      <c r="AG16" s="629"/>
      <c r="AH16" s="407">
        <f>SUM(AH17:AH19)</f>
        <v>0</v>
      </c>
      <c r="AK16" s="402">
        <v>312</v>
      </c>
      <c r="AL16" s="400" t="s">
        <v>332</v>
      </c>
      <c r="AM16" s="403">
        <v>30</v>
      </c>
    </row>
    <row r="17" spans="1:39" ht="15.75" thickBot="1" x14ac:dyDescent="0.3">
      <c r="A17" s="574"/>
      <c r="B17" s="560"/>
      <c r="C17" s="410"/>
      <c r="E17" s="619" t="s">
        <v>128</v>
      </c>
      <c r="F17" s="629"/>
      <c r="G17" s="407">
        <f>SUM(G18:G20)</f>
        <v>200</v>
      </c>
      <c r="I17" s="418">
        <v>454</v>
      </c>
      <c r="J17" s="419" t="s">
        <v>309</v>
      </c>
      <c r="K17" s="420"/>
      <c r="M17" s="399">
        <v>312</v>
      </c>
      <c r="N17" s="400" t="s">
        <v>560</v>
      </c>
      <c r="O17" s="401">
        <v>2176</v>
      </c>
      <c r="P17" s="432"/>
      <c r="Q17" s="619" t="s">
        <v>128</v>
      </c>
      <c r="R17" s="629"/>
      <c r="S17" s="407">
        <f>SUM(S18:S19)</f>
        <v>0</v>
      </c>
      <c r="V17" s="415">
        <v>453</v>
      </c>
      <c r="W17" s="416" t="s">
        <v>327</v>
      </c>
      <c r="X17" s="417"/>
      <c r="AA17" s="399">
        <v>312</v>
      </c>
      <c r="AB17" s="400" t="s">
        <v>435</v>
      </c>
      <c r="AC17" s="401">
        <v>2000</v>
      </c>
      <c r="AF17" s="408"/>
      <c r="AG17" s="409"/>
      <c r="AH17" s="410"/>
      <c r="AK17" s="402">
        <v>312</v>
      </c>
      <c r="AL17" s="400" t="s">
        <v>344</v>
      </c>
      <c r="AM17" s="403">
        <f>2000+2000</f>
        <v>4000</v>
      </c>
    </row>
    <row r="18" spans="1:39" ht="15.75" thickBot="1" x14ac:dyDescent="0.3">
      <c r="A18" s="575"/>
      <c r="B18" s="443"/>
      <c r="C18" s="576"/>
      <c r="E18" s="574">
        <v>233</v>
      </c>
      <c r="F18" s="560" t="s">
        <v>460</v>
      </c>
      <c r="G18" s="410">
        <v>200</v>
      </c>
      <c r="I18" s="421">
        <v>513</v>
      </c>
      <c r="J18" s="422" t="s">
        <v>310</v>
      </c>
      <c r="K18" s="423"/>
      <c r="M18" s="626"/>
      <c r="N18" s="627"/>
      <c r="O18" s="628"/>
      <c r="P18" s="432"/>
      <c r="Q18" s="408"/>
      <c r="R18" s="491"/>
      <c r="S18" s="410"/>
      <c r="V18" s="418">
        <v>454</v>
      </c>
      <c r="W18" s="419" t="s">
        <v>309</v>
      </c>
      <c r="X18" s="420"/>
      <c r="AA18" s="399">
        <v>312</v>
      </c>
      <c r="AB18" s="400" t="s">
        <v>433</v>
      </c>
      <c r="AC18" s="401">
        <v>2200</v>
      </c>
      <c r="AF18" s="411"/>
      <c r="AG18" s="443"/>
      <c r="AH18" s="413"/>
      <c r="AK18" s="453">
        <v>312</v>
      </c>
      <c r="AL18" s="400" t="s">
        <v>333</v>
      </c>
      <c r="AM18" s="401">
        <f>-30-100</f>
        <v>-130</v>
      </c>
    </row>
    <row r="19" spans="1:39" ht="15.75" thickBot="1" x14ac:dyDescent="0.3">
      <c r="A19" s="630"/>
      <c r="B19" s="631"/>
      <c r="C19" s="632"/>
      <c r="E19" s="575"/>
      <c r="F19" s="443"/>
      <c r="G19" s="576"/>
      <c r="I19" s="612" t="s">
        <v>311</v>
      </c>
      <c r="J19" s="613"/>
      <c r="K19" s="424">
        <f>K7+K11+K15</f>
        <v>310</v>
      </c>
      <c r="M19" s="619" t="s">
        <v>128</v>
      </c>
      <c r="N19" s="629"/>
      <c r="O19" s="407">
        <f>SUM(O20:O24)</f>
        <v>0</v>
      </c>
      <c r="P19" s="432"/>
      <c r="Q19" s="630"/>
      <c r="R19" s="631"/>
      <c r="S19" s="632"/>
      <c r="V19" s="421">
        <v>513</v>
      </c>
      <c r="W19" s="422" t="s">
        <v>310</v>
      </c>
      <c r="X19" s="423"/>
      <c r="AA19" s="399">
        <v>312</v>
      </c>
      <c r="AB19" s="400" t="s">
        <v>426</v>
      </c>
      <c r="AC19" s="401">
        <v>2000</v>
      </c>
      <c r="AF19" s="411"/>
      <c r="AG19" s="412"/>
      <c r="AH19" s="413"/>
      <c r="AK19" s="453">
        <v>312</v>
      </c>
      <c r="AL19" s="400" t="s">
        <v>348</v>
      </c>
      <c r="AM19" s="401">
        <v>-200</v>
      </c>
    </row>
    <row r="20" spans="1:39" ht="15.75" thickBot="1" x14ac:dyDescent="0.3">
      <c r="A20" s="621" t="s">
        <v>133</v>
      </c>
      <c r="B20" s="633"/>
      <c r="C20" s="414">
        <f>SUM(C21:C23)</f>
        <v>0</v>
      </c>
      <c r="E20" s="630"/>
      <c r="F20" s="631"/>
      <c r="G20" s="632"/>
      <c r="I20" s="425" t="s">
        <v>46</v>
      </c>
      <c r="J20" s="426" t="s">
        <v>575</v>
      </c>
      <c r="K20" s="427"/>
      <c r="M20" s="574">
        <v>322</v>
      </c>
      <c r="N20" s="560" t="s">
        <v>587</v>
      </c>
      <c r="O20" s="410">
        <v>30700</v>
      </c>
      <c r="P20" s="432"/>
      <c r="Q20" s="621" t="s">
        <v>133</v>
      </c>
      <c r="R20" s="633"/>
      <c r="S20" s="414">
        <f>SUM(S21:S23)</f>
        <v>0</v>
      </c>
      <c r="V20" s="612" t="s">
        <v>311</v>
      </c>
      <c r="W20" s="613"/>
      <c r="X20" s="424">
        <f>X7+X13+X16</f>
        <v>-289</v>
      </c>
      <c r="Y20" s="433"/>
      <c r="AA20" s="399">
        <v>312</v>
      </c>
      <c r="AB20" s="400" t="s">
        <v>427</v>
      </c>
      <c r="AC20" s="401">
        <v>8000</v>
      </c>
      <c r="AD20" s="433"/>
      <c r="AF20" s="630"/>
      <c r="AG20" s="631"/>
      <c r="AH20" s="632"/>
      <c r="AK20" s="402">
        <v>312</v>
      </c>
      <c r="AL20" s="400" t="s">
        <v>338</v>
      </c>
      <c r="AM20" s="403">
        <v>-470</v>
      </c>
    </row>
    <row r="21" spans="1:39" ht="15.75" thickBot="1" x14ac:dyDescent="0.3">
      <c r="A21" s="415">
        <v>453</v>
      </c>
      <c r="B21" s="416" t="s">
        <v>327</v>
      </c>
      <c r="C21" s="417"/>
      <c r="E21" s="621" t="s">
        <v>133</v>
      </c>
      <c r="F21" s="633"/>
      <c r="G21" s="414">
        <f>SUM(G22:G24)</f>
        <v>0</v>
      </c>
      <c r="I21" s="428" t="s">
        <v>46</v>
      </c>
      <c r="J21" s="429" t="s">
        <v>576</v>
      </c>
      <c r="K21" s="430"/>
      <c r="M21" s="575">
        <v>322</v>
      </c>
      <c r="N21" s="443" t="s">
        <v>588</v>
      </c>
      <c r="O21" s="576">
        <v>63050</v>
      </c>
      <c r="P21" s="432"/>
      <c r="Q21" s="415">
        <v>453</v>
      </c>
      <c r="R21" s="416" t="s">
        <v>327</v>
      </c>
      <c r="S21" s="417"/>
      <c r="V21" s="425" t="s">
        <v>46</v>
      </c>
      <c r="W21" s="426" t="s">
        <v>312</v>
      </c>
      <c r="X21" s="427"/>
      <c r="AA21" s="399">
        <v>312</v>
      </c>
      <c r="AB21" s="400" t="s">
        <v>471</v>
      </c>
      <c r="AC21" s="401">
        <v>440</v>
      </c>
      <c r="AF21" s="621" t="s">
        <v>133</v>
      </c>
      <c r="AG21" s="633"/>
      <c r="AH21" s="414">
        <f>SUM(AH22:AH24)</f>
        <v>0</v>
      </c>
      <c r="AK21" s="402">
        <v>312</v>
      </c>
      <c r="AL21" s="400" t="s">
        <v>339</v>
      </c>
      <c r="AM21" s="403">
        <v>104</v>
      </c>
    </row>
    <row r="22" spans="1:39" ht="15.75" thickBot="1" x14ac:dyDescent="0.3">
      <c r="A22" s="418">
        <v>454</v>
      </c>
      <c r="B22" s="419" t="s">
        <v>309</v>
      </c>
      <c r="C22" s="420"/>
      <c r="E22" s="415">
        <v>453</v>
      </c>
      <c r="F22" s="416" t="s">
        <v>327</v>
      </c>
      <c r="G22" s="417"/>
      <c r="I22" s="614" t="s">
        <v>314</v>
      </c>
      <c r="J22" s="615"/>
      <c r="K22" s="431">
        <f>SUM(K19:K21)</f>
        <v>310</v>
      </c>
      <c r="M22" s="575">
        <v>322</v>
      </c>
      <c r="N22" s="443" t="s">
        <v>589</v>
      </c>
      <c r="O22" s="576">
        <f>-63050-30700</f>
        <v>-93750</v>
      </c>
      <c r="P22" s="432"/>
      <c r="Q22" s="418">
        <v>454</v>
      </c>
      <c r="R22" s="419" t="s">
        <v>309</v>
      </c>
      <c r="S22" s="420"/>
      <c r="V22" s="428" t="s">
        <v>46</v>
      </c>
      <c r="W22" s="429" t="s">
        <v>313</v>
      </c>
      <c r="X22" s="430"/>
      <c r="AA22" s="399">
        <v>312</v>
      </c>
      <c r="AB22" s="400" t="s">
        <v>492</v>
      </c>
      <c r="AC22" s="401">
        <v>-200</v>
      </c>
      <c r="AF22" s="415">
        <v>453</v>
      </c>
      <c r="AG22" s="416" t="s">
        <v>327</v>
      </c>
      <c r="AH22" s="417"/>
      <c r="AK22" s="404">
        <v>312</v>
      </c>
      <c r="AL22" s="405" t="s">
        <v>347</v>
      </c>
      <c r="AM22" s="406">
        <f>13819+400-400</f>
        <v>13819</v>
      </c>
    </row>
    <row r="23" spans="1:39" ht="15.75" thickBot="1" x14ac:dyDescent="0.3">
      <c r="A23" s="421">
        <v>513</v>
      </c>
      <c r="B23" s="422" t="s">
        <v>310</v>
      </c>
      <c r="C23" s="423"/>
      <c r="E23" s="418">
        <v>454</v>
      </c>
      <c r="F23" s="419" t="s">
        <v>309</v>
      </c>
      <c r="G23" s="420"/>
      <c r="J23" s="432"/>
      <c r="K23" s="433"/>
      <c r="M23" s="575"/>
      <c r="N23" s="443"/>
      <c r="O23" s="576"/>
      <c r="P23" s="432"/>
      <c r="Q23" s="421">
        <v>513</v>
      </c>
      <c r="R23" s="422" t="s">
        <v>310</v>
      </c>
      <c r="S23" s="423"/>
      <c r="V23" s="614" t="s">
        <v>314</v>
      </c>
      <c r="W23" s="615"/>
      <c r="X23" s="431">
        <f>SUM(X20:X22)</f>
        <v>-289</v>
      </c>
      <c r="AA23" s="626"/>
      <c r="AB23" s="627"/>
      <c r="AC23" s="628"/>
      <c r="AF23" s="418">
        <v>454</v>
      </c>
      <c r="AG23" s="419" t="s">
        <v>309</v>
      </c>
      <c r="AH23" s="420"/>
      <c r="AK23" s="453"/>
      <c r="AL23" s="400"/>
      <c r="AM23" s="401"/>
    </row>
    <row r="24" spans="1:39" ht="15.75" thickBot="1" x14ac:dyDescent="0.3">
      <c r="A24" s="612" t="s">
        <v>311</v>
      </c>
      <c r="B24" s="613"/>
      <c r="C24" s="424">
        <f>C7+C16+C20</f>
        <v>4033</v>
      </c>
      <c r="E24" s="421">
        <v>513</v>
      </c>
      <c r="F24" s="422" t="s">
        <v>310</v>
      </c>
      <c r="G24" s="423"/>
      <c r="I24" s="616" t="s">
        <v>315</v>
      </c>
      <c r="J24" s="616"/>
      <c r="K24" s="616"/>
      <c r="M24" s="630"/>
      <c r="N24" s="631"/>
      <c r="O24" s="632"/>
      <c r="P24" s="581"/>
      <c r="Q24" s="612" t="s">
        <v>311</v>
      </c>
      <c r="R24" s="613"/>
      <c r="S24" s="424">
        <f>S7+S17+S20</f>
        <v>8163</v>
      </c>
      <c r="W24" s="432"/>
      <c r="X24" s="433"/>
      <c r="AA24" s="619" t="s">
        <v>128</v>
      </c>
      <c r="AB24" s="629"/>
      <c r="AC24" s="407">
        <f>SUM(AC25:AC30)</f>
        <v>-73700</v>
      </c>
      <c r="AF24" s="421">
        <v>513</v>
      </c>
      <c r="AG24" s="422" t="s">
        <v>310</v>
      </c>
      <c r="AH24" s="423"/>
      <c r="AK24" s="626"/>
      <c r="AL24" s="627"/>
      <c r="AM24" s="628"/>
    </row>
    <row r="25" spans="1:39" ht="15.75" thickBot="1" x14ac:dyDescent="0.3">
      <c r="A25" s="425" t="s">
        <v>46</v>
      </c>
      <c r="B25" s="426" t="s">
        <v>575</v>
      </c>
      <c r="C25" s="427">
        <v>2</v>
      </c>
      <c r="E25" s="612" t="s">
        <v>311</v>
      </c>
      <c r="F25" s="613"/>
      <c r="G25" s="424">
        <f>G7+G17+G21</f>
        <v>-2070</v>
      </c>
      <c r="I25" s="434" t="s">
        <v>205</v>
      </c>
      <c r="J25" s="435" t="s">
        <v>316</v>
      </c>
      <c r="K25" s="436" t="s">
        <v>306</v>
      </c>
      <c r="M25" s="621" t="s">
        <v>133</v>
      </c>
      <c r="N25" s="633"/>
      <c r="O25" s="414">
        <f>SUM(O26:O28)</f>
        <v>0</v>
      </c>
      <c r="P25" s="432"/>
      <c r="Q25" s="425" t="s">
        <v>46</v>
      </c>
      <c r="R25" s="426" t="s">
        <v>539</v>
      </c>
      <c r="S25" s="427">
        <v>1260</v>
      </c>
      <c r="V25" s="616" t="s">
        <v>315</v>
      </c>
      <c r="W25" s="616"/>
      <c r="X25" s="616"/>
      <c r="AA25" s="408">
        <v>233</v>
      </c>
      <c r="AB25" s="409" t="s">
        <v>460</v>
      </c>
      <c r="AC25" s="410">
        <f>1700+300</f>
        <v>2000</v>
      </c>
      <c r="AF25" s="612" t="s">
        <v>311</v>
      </c>
      <c r="AG25" s="613"/>
      <c r="AH25" s="424">
        <f>AH7+AH16+AH21</f>
        <v>6945</v>
      </c>
      <c r="AK25" s="619" t="s">
        <v>128</v>
      </c>
      <c r="AL25" s="629"/>
      <c r="AM25" s="407">
        <f>SUM(AM26:AM28)</f>
        <v>14518</v>
      </c>
    </row>
    <row r="26" spans="1:39" ht="15.75" thickBot="1" x14ac:dyDescent="0.3">
      <c r="A26" s="428" t="s">
        <v>46</v>
      </c>
      <c r="B26" s="429" t="s">
        <v>576</v>
      </c>
      <c r="C26" s="430">
        <v>0</v>
      </c>
      <c r="E26" s="425" t="s">
        <v>46</v>
      </c>
      <c r="F26" s="426" t="s">
        <v>575</v>
      </c>
      <c r="G26" s="427">
        <v>679</v>
      </c>
      <c r="I26" s="617" t="s">
        <v>307</v>
      </c>
      <c r="J26" s="618"/>
      <c r="K26" s="398">
        <f>SUM(K27:K37)</f>
        <v>310</v>
      </c>
      <c r="M26" s="415">
        <v>453</v>
      </c>
      <c r="N26" s="416" t="s">
        <v>327</v>
      </c>
      <c r="O26" s="417"/>
      <c r="P26" s="432"/>
      <c r="Q26" s="428" t="s">
        <v>46</v>
      </c>
      <c r="R26" s="429" t="s">
        <v>540</v>
      </c>
      <c r="S26" s="430">
        <v>4330</v>
      </c>
      <c r="V26" s="434" t="s">
        <v>205</v>
      </c>
      <c r="W26" s="435" t="s">
        <v>316</v>
      </c>
      <c r="X26" s="436" t="s">
        <v>306</v>
      </c>
      <c r="AA26" s="411">
        <v>322</v>
      </c>
      <c r="AB26" s="491" t="s">
        <v>463</v>
      </c>
      <c r="AC26" s="413">
        <v>42000</v>
      </c>
      <c r="AF26" s="425" t="s">
        <v>46</v>
      </c>
      <c r="AG26" s="426" t="s">
        <v>312</v>
      </c>
      <c r="AH26" s="427"/>
      <c r="AK26" s="408">
        <v>322</v>
      </c>
      <c r="AL26" s="409" t="s">
        <v>366</v>
      </c>
      <c r="AM26" s="410">
        <v>18815</v>
      </c>
    </row>
    <row r="27" spans="1:39" ht="15.75" thickBot="1" x14ac:dyDescent="0.3">
      <c r="A27" s="614" t="s">
        <v>314</v>
      </c>
      <c r="B27" s="615"/>
      <c r="C27" s="431">
        <f>SUM(C24:C26)</f>
        <v>4035</v>
      </c>
      <c r="E27" s="428" t="s">
        <v>46</v>
      </c>
      <c r="F27" s="429" t="s">
        <v>576</v>
      </c>
      <c r="G27" s="430"/>
      <c r="I27" s="437" t="s">
        <v>50</v>
      </c>
      <c r="J27" s="438" t="s">
        <v>618</v>
      </c>
      <c r="K27" s="401">
        <v>520</v>
      </c>
      <c r="M27" s="418">
        <v>454</v>
      </c>
      <c r="N27" s="419" t="s">
        <v>309</v>
      </c>
      <c r="O27" s="420"/>
      <c r="P27" s="582"/>
      <c r="Q27" s="614" t="s">
        <v>314</v>
      </c>
      <c r="R27" s="615"/>
      <c r="S27" s="431">
        <f>SUM(S24:S26)</f>
        <v>13753</v>
      </c>
      <c r="V27" s="617" t="s">
        <v>307</v>
      </c>
      <c r="W27" s="618"/>
      <c r="X27" s="398">
        <f>SUM(X28:X41)</f>
        <v>41000</v>
      </c>
      <c r="AA27" s="411">
        <v>322</v>
      </c>
      <c r="AB27" s="412" t="s">
        <v>437</v>
      </c>
      <c r="AC27" s="413">
        <f>67300-122300</f>
        <v>-55000</v>
      </c>
      <c r="AF27" s="428" t="s">
        <v>46</v>
      </c>
      <c r="AG27" s="429" t="s">
        <v>313</v>
      </c>
      <c r="AH27" s="430"/>
      <c r="AK27" s="411">
        <v>322</v>
      </c>
      <c r="AL27" s="443" t="s">
        <v>369</v>
      </c>
      <c r="AM27" s="413">
        <v>2253</v>
      </c>
    </row>
    <row r="28" spans="1:39" ht="15.75" thickBot="1" x14ac:dyDescent="0.3">
      <c r="B28" s="432"/>
      <c r="C28" s="433"/>
      <c r="E28" s="614" t="s">
        <v>314</v>
      </c>
      <c r="F28" s="615"/>
      <c r="G28" s="431">
        <f>SUM(G25:G27)</f>
        <v>-1391</v>
      </c>
      <c r="I28" s="437" t="s">
        <v>64</v>
      </c>
      <c r="J28" s="438" t="s">
        <v>617</v>
      </c>
      <c r="K28" s="401">
        <f>8+192</f>
        <v>200</v>
      </c>
      <c r="M28" s="421">
        <v>513</v>
      </c>
      <c r="N28" s="422" t="s">
        <v>310</v>
      </c>
      <c r="O28" s="423"/>
      <c r="P28" s="432"/>
      <c r="R28" s="432"/>
      <c r="S28" s="433"/>
      <c r="V28" s="437" t="s">
        <v>50</v>
      </c>
      <c r="W28" s="438" t="s">
        <v>532</v>
      </c>
      <c r="X28" s="401">
        <v>6000</v>
      </c>
      <c r="AA28" s="411">
        <v>322</v>
      </c>
      <c r="AB28" s="491" t="s">
        <v>438</v>
      </c>
      <c r="AC28" s="413">
        <f>53650-114850</f>
        <v>-61200</v>
      </c>
      <c r="AF28" s="614" t="s">
        <v>314</v>
      </c>
      <c r="AG28" s="615"/>
      <c r="AH28" s="431">
        <f>SUM(AH25:AH27)</f>
        <v>6945</v>
      </c>
      <c r="AK28" s="411">
        <v>322</v>
      </c>
      <c r="AL28" s="412" t="s">
        <v>370</v>
      </c>
      <c r="AM28" s="413">
        <v>-6550</v>
      </c>
    </row>
    <row r="29" spans="1:39" ht="15.75" thickBot="1" x14ac:dyDescent="0.3">
      <c r="A29" s="616" t="s">
        <v>315</v>
      </c>
      <c r="B29" s="616"/>
      <c r="C29" s="616"/>
      <c r="F29" s="432"/>
      <c r="G29" s="433"/>
      <c r="I29" s="437" t="s">
        <v>67</v>
      </c>
      <c r="J29" s="438" t="s">
        <v>609</v>
      </c>
      <c r="K29" s="401">
        <v>3950</v>
      </c>
      <c r="M29" s="612" t="s">
        <v>311</v>
      </c>
      <c r="N29" s="613"/>
      <c r="O29" s="424">
        <f>O7+O19+O25</f>
        <v>-1424</v>
      </c>
      <c r="P29" s="432"/>
      <c r="Q29" s="616" t="s">
        <v>315</v>
      </c>
      <c r="R29" s="616"/>
      <c r="S29" s="616"/>
      <c r="V29" s="437" t="s">
        <v>71</v>
      </c>
      <c r="W29" s="438" t="s">
        <v>439</v>
      </c>
      <c r="X29" s="401">
        <v>-6000</v>
      </c>
      <c r="AA29" s="411">
        <v>322</v>
      </c>
      <c r="AB29" s="491" t="s">
        <v>493</v>
      </c>
      <c r="AC29" s="413">
        <f>193500-195000</f>
        <v>-1500</v>
      </c>
      <c r="AG29" s="432"/>
      <c r="AH29" s="433"/>
      <c r="AK29" s="630"/>
      <c r="AL29" s="631"/>
      <c r="AM29" s="632"/>
    </row>
    <row r="30" spans="1:39" ht="15.75" thickBot="1" x14ac:dyDescent="0.3">
      <c r="A30" s="434" t="s">
        <v>205</v>
      </c>
      <c r="B30" s="435" t="s">
        <v>316</v>
      </c>
      <c r="C30" s="436" t="s">
        <v>306</v>
      </c>
      <c r="E30" s="616" t="s">
        <v>315</v>
      </c>
      <c r="F30" s="616"/>
      <c r="G30" s="616"/>
      <c r="I30" s="437" t="s">
        <v>79</v>
      </c>
      <c r="J30" s="400" t="s">
        <v>610</v>
      </c>
      <c r="K30" s="401">
        <v>-300</v>
      </c>
      <c r="M30" s="425" t="s">
        <v>46</v>
      </c>
      <c r="N30" s="426" t="s">
        <v>575</v>
      </c>
      <c r="O30" s="427"/>
      <c r="P30" s="432"/>
      <c r="Q30" s="434" t="s">
        <v>205</v>
      </c>
      <c r="R30" s="435" t="s">
        <v>316</v>
      </c>
      <c r="S30" s="436" t="s">
        <v>306</v>
      </c>
      <c r="V30" s="437" t="s">
        <v>81</v>
      </c>
      <c r="W30" s="438" t="s">
        <v>517</v>
      </c>
      <c r="X30" s="401">
        <v>1000</v>
      </c>
      <c r="AA30" s="630"/>
      <c r="AB30" s="631"/>
      <c r="AC30" s="632"/>
      <c r="AF30" s="616" t="s">
        <v>315</v>
      </c>
      <c r="AG30" s="616"/>
      <c r="AH30" s="616"/>
      <c r="AK30" s="621" t="s">
        <v>133</v>
      </c>
      <c r="AL30" s="633"/>
      <c r="AM30" s="414">
        <f>SUM(AM31:AM33)</f>
        <v>0</v>
      </c>
    </row>
    <row r="31" spans="1:39" ht="15.75" thickBot="1" x14ac:dyDescent="0.3">
      <c r="A31" s="617" t="s">
        <v>307</v>
      </c>
      <c r="B31" s="618"/>
      <c r="C31" s="398">
        <f>SUM(C32:C40)</f>
        <v>3350</v>
      </c>
      <c r="E31" s="434" t="s">
        <v>205</v>
      </c>
      <c r="F31" s="435" t="s">
        <v>316</v>
      </c>
      <c r="G31" s="436" t="s">
        <v>306</v>
      </c>
      <c r="I31" s="437" t="s">
        <v>83</v>
      </c>
      <c r="J31" s="438" t="s">
        <v>612</v>
      </c>
      <c r="K31" s="401">
        <v>400</v>
      </c>
      <c r="M31" s="428" t="s">
        <v>46</v>
      </c>
      <c r="N31" s="429" t="s">
        <v>576</v>
      </c>
      <c r="O31" s="430"/>
      <c r="P31" s="583"/>
      <c r="Q31" s="617" t="s">
        <v>307</v>
      </c>
      <c r="R31" s="618"/>
      <c r="S31" s="398">
        <f>SUM(S32:S37)</f>
        <v>8057</v>
      </c>
      <c r="V31" s="437" t="s">
        <v>81</v>
      </c>
      <c r="W31" s="438" t="s">
        <v>518</v>
      </c>
      <c r="X31" s="401">
        <v>-1000</v>
      </c>
      <c r="AA31" s="621" t="s">
        <v>133</v>
      </c>
      <c r="AB31" s="633"/>
      <c r="AC31" s="414">
        <f>SUM(AC32:AC34)</f>
        <v>121500</v>
      </c>
      <c r="AF31" s="434" t="s">
        <v>205</v>
      </c>
      <c r="AG31" s="435" t="s">
        <v>316</v>
      </c>
      <c r="AH31" s="436" t="s">
        <v>306</v>
      </c>
      <c r="AK31" s="415">
        <v>453</v>
      </c>
      <c r="AL31" s="416" t="s">
        <v>327</v>
      </c>
      <c r="AM31" s="417">
        <f>-500+500</f>
        <v>0</v>
      </c>
    </row>
    <row r="32" spans="1:39" ht="15.75" thickBot="1" x14ac:dyDescent="0.3">
      <c r="A32" s="437" t="s">
        <v>52</v>
      </c>
      <c r="B32" s="438" t="s">
        <v>666</v>
      </c>
      <c r="C32" s="401">
        <v>-100</v>
      </c>
      <c r="E32" s="617" t="s">
        <v>307</v>
      </c>
      <c r="F32" s="618"/>
      <c r="G32" s="398">
        <f>SUM(G33:G45)</f>
        <v>1000</v>
      </c>
      <c r="I32" s="437" t="s">
        <v>97</v>
      </c>
      <c r="J32" s="438" t="s">
        <v>613</v>
      </c>
      <c r="K32" s="401">
        <v>-850</v>
      </c>
      <c r="M32" s="614" t="s">
        <v>314</v>
      </c>
      <c r="N32" s="615"/>
      <c r="O32" s="431">
        <f>SUM(O29:O31)</f>
        <v>-1424</v>
      </c>
      <c r="P32" s="432"/>
      <c r="Q32" s="437" t="s">
        <v>71</v>
      </c>
      <c r="R32" s="438" t="s">
        <v>530</v>
      </c>
      <c r="S32" s="401">
        <v>-500</v>
      </c>
      <c r="V32" s="437" t="s">
        <v>83</v>
      </c>
      <c r="W32" s="438" t="s">
        <v>519</v>
      </c>
      <c r="X32" s="401">
        <v>2000</v>
      </c>
      <c r="AA32" s="415">
        <v>453</v>
      </c>
      <c r="AB32" s="416" t="s">
        <v>327</v>
      </c>
      <c r="AC32" s="417"/>
      <c r="AF32" s="617" t="s">
        <v>307</v>
      </c>
      <c r="AG32" s="618"/>
      <c r="AH32" s="398">
        <f>SUM(AH33:AH47)</f>
        <v>6945</v>
      </c>
      <c r="AK32" s="418">
        <v>454</v>
      </c>
      <c r="AL32" s="419" t="s">
        <v>309</v>
      </c>
      <c r="AM32" s="420"/>
    </row>
    <row r="33" spans="1:40" ht="15.75" thickBot="1" x14ac:dyDescent="0.3">
      <c r="A33" s="437" t="s">
        <v>64</v>
      </c>
      <c r="B33" s="438" t="s">
        <v>660</v>
      </c>
      <c r="C33" s="401">
        <v>100</v>
      </c>
      <c r="E33" s="437" t="s">
        <v>50</v>
      </c>
      <c r="F33" s="438" t="s">
        <v>664</v>
      </c>
      <c r="G33" s="401">
        <f>10000-300-4000-2500</f>
        <v>3200</v>
      </c>
      <c r="I33" s="437" t="s">
        <v>99</v>
      </c>
      <c r="J33" s="438" t="s">
        <v>611</v>
      </c>
      <c r="K33" s="401">
        <f>-470-50</f>
        <v>-520</v>
      </c>
      <c r="N33" s="432"/>
      <c r="O33" s="433"/>
      <c r="P33" s="432"/>
      <c r="Q33" s="437" t="s">
        <v>87</v>
      </c>
      <c r="R33" s="438" t="s">
        <v>529</v>
      </c>
      <c r="S33" s="401">
        <v>500</v>
      </c>
      <c r="V33" s="437" t="s">
        <v>99</v>
      </c>
      <c r="W33" s="438" t="s">
        <v>511</v>
      </c>
      <c r="X33" s="401">
        <v>-1500</v>
      </c>
      <c r="AA33" s="418">
        <v>454</v>
      </c>
      <c r="AB33" s="419" t="s">
        <v>309</v>
      </c>
      <c r="AC33" s="420">
        <v>121500</v>
      </c>
      <c r="AF33" s="437" t="s">
        <v>52</v>
      </c>
      <c r="AG33" s="438" t="s">
        <v>414</v>
      </c>
      <c r="AH33" s="401">
        <f>-1300+211-211</f>
        <v>-1300</v>
      </c>
      <c r="AK33" s="421">
        <v>513</v>
      </c>
      <c r="AL33" s="422" t="s">
        <v>310</v>
      </c>
      <c r="AM33" s="423"/>
    </row>
    <row r="34" spans="1:40" ht="15.75" thickBot="1" x14ac:dyDescent="0.3">
      <c r="A34" s="437" t="s">
        <v>69</v>
      </c>
      <c r="B34" s="438" t="s">
        <v>668</v>
      </c>
      <c r="C34" s="401">
        <f>500+350</f>
        <v>850</v>
      </c>
      <c r="E34" s="437" t="s">
        <v>53</v>
      </c>
      <c r="F34" s="438" t="s">
        <v>649</v>
      </c>
      <c r="G34" s="401">
        <f>200</f>
        <v>200</v>
      </c>
      <c r="I34" s="437" t="s">
        <v>99</v>
      </c>
      <c r="J34" s="438" t="s">
        <v>614</v>
      </c>
      <c r="K34" s="401">
        <f>-900-1000</f>
        <v>-1900</v>
      </c>
      <c r="M34" s="616" t="s">
        <v>315</v>
      </c>
      <c r="N34" s="616"/>
      <c r="O34" s="616"/>
      <c r="Q34" s="437" t="s">
        <v>99</v>
      </c>
      <c r="R34" s="438" t="s">
        <v>522</v>
      </c>
      <c r="S34" s="401">
        <v>150</v>
      </c>
      <c r="V34" s="437" t="s">
        <v>99</v>
      </c>
      <c r="W34" s="438" t="s">
        <v>516</v>
      </c>
      <c r="X34" s="401">
        <v>-2400</v>
      </c>
      <c r="AA34" s="421">
        <v>513</v>
      </c>
      <c r="AB34" s="422" t="s">
        <v>310</v>
      </c>
      <c r="AC34" s="423"/>
      <c r="AF34" s="437" t="s">
        <v>56</v>
      </c>
      <c r="AG34" s="438" t="s">
        <v>412</v>
      </c>
      <c r="AH34" s="401">
        <v>145</v>
      </c>
      <c r="AK34" s="612" t="s">
        <v>311</v>
      </c>
      <c r="AL34" s="613"/>
      <c r="AM34" s="424">
        <f>AM7+AM25+AM30</f>
        <v>58068</v>
      </c>
    </row>
    <row r="35" spans="1:40" ht="15.75" thickBot="1" x14ac:dyDescent="0.3">
      <c r="A35" s="437" t="s">
        <v>109</v>
      </c>
      <c r="B35" s="400" t="s">
        <v>685</v>
      </c>
      <c r="C35" s="401">
        <v>1210</v>
      </c>
      <c r="E35" s="437" t="s">
        <v>54</v>
      </c>
      <c r="F35" s="438" t="s">
        <v>636</v>
      </c>
      <c r="G35" s="401">
        <v>-2800</v>
      </c>
      <c r="I35" s="437" t="s">
        <v>100</v>
      </c>
      <c r="J35" s="438" t="s">
        <v>615</v>
      </c>
      <c r="K35" s="401">
        <v>100</v>
      </c>
      <c r="M35" s="434" t="s">
        <v>205</v>
      </c>
      <c r="N35" s="435" t="s">
        <v>316</v>
      </c>
      <c r="O35" s="436" t="s">
        <v>306</v>
      </c>
      <c r="Q35" s="437" t="s">
        <v>104</v>
      </c>
      <c r="R35" s="438" t="s">
        <v>581</v>
      </c>
      <c r="S35" s="401">
        <v>-150</v>
      </c>
      <c r="V35" s="437" t="s">
        <v>99</v>
      </c>
      <c r="W35" s="438" t="s">
        <v>522</v>
      </c>
      <c r="X35" s="401">
        <v>-1000</v>
      </c>
      <c r="AA35" s="612" t="s">
        <v>311</v>
      </c>
      <c r="AB35" s="613"/>
      <c r="AC35" s="424">
        <f>AC7+AC24+AC31</f>
        <v>76845</v>
      </c>
      <c r="AF35" s="437" t="s">
        <v>62</v>
      </c>
      <c r="AG35" s="438" t="s">
        <v>401</v>
      </c>
      <c r="AH35" s="401">
        <v>1300</v>
      </c>
      <c r="AK35" s="425" t="s">
        <v>46</v>
      </c>
      <c r="AL35" s="426" t="s">
        <v>312</v>
      </c>
      <c r="AM35" s="427"/>
    </row>
    <row r="36" spans="1:40" ht="15.75" thickBot="1" x14ac:dyDescent="0.3">
      <c r="A36" s="437" t="s">
        <v>111</v>
      </c>
      <c r="B36" s="400" t="s">
        <v>686</v>
      </c>
      <c r="C36" s="401">
        <v>530</v>
      </c>
      <c r="E36" s="437" t="s">
        <v>99</v>
      </c>
      <c r="F36" s="438" t="s">
        <v>652</v>
      </c>
      <c r="G36" s="401">
        <v>-100</v>
      </c>
      <c r="I36" s="437" t="s">
        <v>104</v>
      </c>
      <c r="J36" s="438" t="s">
        <v>616</v>
      </c>
      <c r="K36" s="401">
        <v>-1600</v>
      </c>
      <c r="M36" s="617" t="s">
        <v>307</v>
      </c>
      <c r="N36" s="618"/>
      <c r="O36" s="398">
        <f>SUM(O37:O44)</f>
        <v>-3600</v>
      </c>
      <c r="Q36" s="437" t="s">
        <v>326</v>
      </c>
      <c r="R36" s="438" t="s">
        <v>528</v>
      </c>
      <c r="S36" s="401">
        <f>8057</f>
        <v>8057</v>
      </c>
      <c r="V36" s="437" t="s">
        <v>106</v>
      </c>
      <c r="W36" s="438" t="s">
        <v>513</v>
      </c>
      <c r="X36" s="401">
        <v>1700</v>
      </c>
      <c r="AA36" s="425" t="s">
        <v>46</v>
      </c>
      <c r="AB36" s="426" t="s">
        <v>312</v>
      </c>
      <c r="AC36" s="427"/>
      <c r="AF36" s="437" t="s">
        <v>69</v>
      </c>
      <c r="AG36" s="438" t="s">
        <v>415</v>
      </c>
      <c r="AH36" s="401">
        <v>-2000</v>
      </c>
      <c r="AK36" s="428" t="s">
        <v>46</v>
      </c>
      <c r="AL36" s="429" t="s">
        <v>313</v>
      </c>
      <c r="AM36" s="430"/>
    </row>
    <row r="37" spans="1:40" ht="15.75" thickBot="1" x14ac:dyDescent="0.3">
      <c r="A37" s="437" t="s">
        <v>113</v>
      </c>
      <c r="B37" s="400" t="s">
        <v>685</v>
      </c>
      <c r="C37" s="401">
        <v>-1100</v>
      </c>
      <c r="E37" s="437" t="s">
        <v>99</v>
      </c>
      <c r="F37" s="400" t="s">
        <v>637</v>
      </c>
      <c r="G37" s="401">
        <v>-700</v>
      </c>
      <c r="I37" s="437" t="s">
        <v>106</v>
      </c>
      <c r="J37" s="438" t="s">
        <v>625</v>
      </c>
      <c r="K37" s="401">
        <v>310</v>
      </c>
      <c r="M37" s="437" t="s">
        <v>71</v>
      </c>
      <c r="N37" s="438" t="s">
        <v>593</v>
      </c>
      <c r="O37" s="401">
        <v>2500</v>
      </c>
      <c r="Q37" s="437"/>
      <c r="R37" s="438"/>
      <c r="S37" s="401"/>
      <c r="V37" s="437" t="s">
        <v>106</v>
      </c>
      <c r="W37" s="438" t="s">
        <v>514</v>
      </c>
      <c r="X37" s="401">
        <v>4500</v>
      </c>
      <c r="AA37" s="428" t="s">
        <v>46</v>
      </c>
      <c r="AB37" s="429" t="s">
        <v>313</v>
      </c>
      <c r="AC37" s="430"/>
      <c r="AF37" s="437" t="s">
        <v>104</v>
      </c>
      <c r="AG37" s="438" t="s">
        <v>422</v>
      </c>
      <c r="AH37" s="401">
        <v>6000</v>
      </c>
      <c r="AK37" s="614" t="s">
        <v>314</v>
      </c>
      <c r="AL37" s="615"/>
      <c r="AM37" s="431">
        <f>SUM(AM34:AM36)</f>
        <v>58068</v>
      </c>
    </row>
    <row r="38" spans="1:40" ht="15.75" thickBot="1" x14ac:dyDescent="0.3">
      <c r="A38" s="437" t="s">
        <v>115</v>
      </c>
      <c r="B38" s="400" t="s">
        <v>685</v>
      </c>
      <c r="C38" s="401">
        <v>1860</v>
      </c>
      <c r="D38" s="604">
        <f>SUM(C35:C38)</f>
        <v>2500</v>
      </c>
      <c r="E38" s="437" t="s">
        <v>100</v>
      </c>
      <c r="F38" s="400" t="s">
        <v>653</v>
      </c>
      <c r="G38" s="401">
        <v>100</v>
      </c>
      <c r="I38" s="439"/>
      <c r="J38" s="440"/>
      <c r="K38" s="441"/>
      <c r="M38" s="437" t="s">
        <v>99</v>
      </c>
      <c r="N38" s="400" t="s">
        <v>573</v>
      </c>
      <c r="O38" s="401">
        <f>-1900-2000-2200-1700</f>
        <v>-7800</v>
      </c>
      <c r="Q38" s="439"/>
      <c r="R38" s="440"/>
      <c r="S38" s="441"/>
      <c r="V38" s="437" t="s">
        <v>326</v>
      </c>
      <c r="W38" s="438" t="s">
        <v>521</v>
      </c>
      <c r="X38" s="401">
        <v>2700</v>
      </c>
      <c r="AA38" s="614" t="s">
        <v>314</v>
      </c>
      <c r="AB38" s="615"/>
      <c r="AC38" s="431">
        <f>SUM(AC35:AC37)</f>
        <v>76845</v>
      </c>
      <c r="AF38" s="437" t="s">
        <v>417</v>
      </c>
      <c r="AG38" s="438" t="s">
        <v>407</v>
      </c>
      <c r="AH38" s="401">
        <f>1000+1000</f>
        <v>2000</v>
      </c>
      <c r="AL38" s="432"/>
      <c r="AM38" s="433"/>
    </row>
    <row r="39" spans="1:40" ht="15.75" thickBot="1" x14ac:dyDescent="0.3">
      <c r="A39" s="437"/>
      <c r="B39" s="438"/>
      <c r="C39" s="401"/>
      <c r="E39" s="437" t="s">
        <v>104</v>
      </c>
      <c r="F39" s="438" t="s">
        <v>647</v>
      </c>
      <c r="G39" s="401">
        <v>700</v>
      </c>
      <c r="I39" s="619" t="s">
        <v>128</v>
      </c>
      <c r="J39" s="620"/>
      <c r="K39" s="407">
        <f>SUM(K40:K44)</f>
        <v>0</v>
      </c>
      <c r="M39" s="437" t="s">
        <v>104</v>
      </c>
      <c r="N39" s="438" t="s">
        <v>574</v>
      </c>
      <c r="O39" s="401">
        <f>-1660-200-240</f>
        <v>-2100</v>
      </c>
      <c r="Q39" s="619" t="s">
        <v>128</v>
      </c>
      <c r="R39" s="620"/>
      <c r="S39" s="407">
        <f>SUM(S40:S43)</f>
        <v>0</v>
      </c>
      <c r="V39" s="437" t="s">
        <v>120</v>
      </c>
      <c r="W39" s="438" t="s">
        <v>515</v>
      </c>
      <c r="X39" s="401">
        <v>31000</v>
      </c>
      <c r="AB39" s="432"/>
      <c r="AC39" s="433"/>
      <c r="AF39" s="437" t="s">
        <v>122</v>
      </c>
      <c r="AG39" s="438" t="s">
        <v>423</v>
      </c>
      <c r="AH39" s="401">
        <v>500</v>
      </c>
      <c r="AK39" s="616" t="s">
        <v>315</v>
      </c>
      <c r="AL39" s="616"/>
      <c r="AM39" s="616"/>
    </row>
    <row r="40" spans="1:40" ht="15.75" thickBot="1" x14ac:dyDescent="0.3">
      <c r="A40" s="437"/>
      <c r="B40" s="438"/>
      <c r="C40" s="401"/>
      <c r="E40" s="437" t="s">
        <v>122</v>
      </c>
      <c r="F40" s="438" t="s">
        <v>648</v>
      </c>
      <c r="G40" s="401">
        <v>400</v>
      </c>
      <c r="I40" s="442" t="s">
        <v>77</v>
      </c>
      <c r="J40" s="443" t="s">
        <v>604</v>
      </c>
      <c r="K40" s="444">
        <v>10000</v>
      </c>
      <c r="M40" s="437" t="s">
        <v>104</v>
      </c>
      <c r="N40" s="438" t="s">
        <v>582</v>
      </c>
      <c r="O40" s="401">
        <v>2500</v>
      </c>
      <c r="P40" s="433"/>
      <c r="Q40" s="442"/>
      <c r="R40" s="443"/>
      <c r="S40" s="444"/>
      <c r="V40" s="437" t="s">
        <v>122</v>
      </c>
      <c r="W40" s="438" t="s">
        <v>512</v>
      </c>
      <c r="X40" s="401">
        <v>4000</v>
      </c>
      <c r="AA40" s="616" t="s">
        <v>315</v>
      </c>
      <c r="AB40" s="616"/>
      <c r="AC40" s="616"/>
      <c r="AF40" s="437" t="s">
        <v>125</v>
      </c>
      <c r="AG40" s="438" t="s">
        <v>406</v>
      </c>
      <c r="AH40" s="401">
        <v>300</v>
      </c>
      <c r="AK40" s="434" t="s">
        <v>205</v>
      </c>
      <c r="AL40" s="435" t="s">
        <v>316</v>
      </c>
      <c r="AM40" s="436" t="s">
        <v>306</v>
      </c>
    </row>
    <row r="41" spans="1:40" ht="15.75" thickBot="1" x14ac:dyDescent="0.3">
      <c r="A41" s="439"/>
      <c r="B41" s="440"/>
      <c r="C41" s="441"/>
      <c r="E41" s="437"/>
      <c r="F41" s="438"/>
      <c r="G41" s="401"/>
      <c r="I41" s="442" t="s">
        <v>120</v>
      </c>
      <c r="J41" s="443" t="s">
        <v>586</v>
      </c>
      <c r="K41" s="444">
        <v>-10000</v>
      </c>
      <c r="M41" s="437" t="s">
        <v>600</v>
      </c>
      <c r="N41" s="438" t="s">
        <v>591</v>
      </c>
      <c r="O41" s="401">
        <f>300+500</f>
        <v>800</v>
      </c>
      <c r="Q41" s="442"/>
      <c r="R41" s="443"/>
      <c r="S41" s="444"/>
      <c r="V41" s="437"/>
      <c r="W41" s="438"/>
      <c r="X41" s="401"/>
      <c r="AA41" s="434" t="s">
        <v>205</v>
      </c>
      <c r="AB41" s="435" t="s">
        <v>316</v>
      </c>
      <c r="AC41" s="436" t="s">
        <v>306</v>
      </c>
      <c r="AF41" s="437"/>
      <c r="AG41" s="438"/>
      <c r="AH41" s="401"/>
      <c r="AK41" s="617" t="s">
        <v>307</v>
      </c>
      <c r="AL41" s="618"/>
      <c r="AM41" s="398">
        <f>SUM(AM42:AM69)</f>
        <v>29671</v>
      </c>
    </row>
    <row r="42" spans="1:40" ht="15.75" thickBot="1" x14ac:dyDescent="0.3">
      <c r="A42" s="619" t="s">
        <v>128</v>
      </c>
      <c r="B42" s="620"/>
      <c r="C42" s="407">
        <f>SUM(C43:C47)</f>
        <v>0</v>
      </c>
      <c r="E42" s="437"/>
      <c r="F42" s="438"/>
      <c r="G42" s="401"/>
      <c r="I42" s="442"/>
      <c r="J42" s="443"/>
      <c r="K42" s="444"/>
      <c r="M42" s="437" t="s">
        <v>642</v>
      </c>
      <c r="N42" s="438" t="s">
        <v>643</v>
      </c>
      <c r="O42" s="401">
        <f>-700+700</f>
        <v>0</v>
      </c>
      <c r="Q42" s="442"/>
      <c r="R42" s="443"/>
      <c r="S42" s="444"/>
      <c r="V42" s="439"/>
      <c r="W42" s="440"/>
      <c r="X42" s="441"/>
      <c r="AA42" s="617" t="s">
        <v>307</v>
      </c>
      <c r="AB42" s="618"/>
      <c r="AC42" s="398">
        <f>SUM(AC43:AC60)</f>
        <v>25745</v>
      </c>
      <c r="AF42" s="437"/>
      <c r="AG42" s="438"/>
      <c r="AH42" s="401"/>
      <c r="AK42" s="437" t="s">
        <v>50</v>
      </c>
      <c r="AL42" s="438" t="s">
        <v>363</v>
      </c>
      <c r="AM42" s="401">
        <f>2600-2600+300</f>
        <v>300</v>
      </c>
    </row>
    <row r="43" spans="1:40" ht="15.75" thickBot="1" x14ac:dyDescent="0.3">
      <c r="A43" s="442"/>
      <c r="B43" s="443"/>
      <c r="C43" s="444"/>
      <c r="E43" s="437"/>
      <c r="F43" s="438"/>
      <c r="G43" s="401"/>
      <c r="I43" s="442"/>
      <c r="J43" s="443"/>
      <c r="K43" s="444"/>
      <c r="M43" s="437" t="s">
        <v>122</v>
      </c>
      <c r="N43" s="438" t="s">
        <v>577</v>
      </c>
      <c r="O43" s="401">
        <v>500</v>
      </c>
      <c r="Q43" s="442"/>
      <c r="R43" s="443"/>
      <c r="S43" s="444"/>
      <c r="V43" s="619" t="s">
        <v>128</v>
      </c>
      <c r="W43" s="620"/>
      <c r="X43" s="407">
        <f>SUM(X44:X47)</f>
        <v>-42000</v>
      </c>
      <c r="AA43" s="437" t="s">
        <v>53</v>
      </c>
      <c r="AB43" s="438" t="s">
        <v>466</v>
      </c>
      <c r="AC43" s="401">
        <f>1000+1000</f>
        <v>2000</v>
      </c>
      <c r="AF43" s="437"/>
      <c r="AG43" s="438"/>
      <c r="AH43" s="401"/>
      <c r="AK43" s="437" t="s">
        <v>52</v>
      </c>
      <c r="AL43" s="438" t="s">
        <v>392</v>
      </c>
      <c r="AM43" s="401">
        <f>300+200-200</f>
        <v>300</v>
      </c>
    </row>
    <row r="44" spans="1:40" ht="15.75" thickBot="1" x14ac:dyDescent="0.3">
      <c r="A44" s="442"/>
      <c r="B44" s="443"/>
      <c r="C44" s="444"/>
      <c r="E44" s="437"/>
      <c r="F44" s="438"/>
      <c r="G44" s="401"/>
      <c r="I44" s="442"/>
      <c r="J44" s="443"/>
      <c r="K44" s="444"/>
      <c r="M44" s="437"/>
      <c r="N44" s="438"/>
      <c r="O44" s="401"/>
      <c r="Q44" s="621" t="s">
        <v>133</v>
      </c>
      <c r="R44" s="622"/>
      <c r="S44" s="414">
        <f>S45</f>
        <v>0</v>
      </c>
      <c r="V44" s="442" t="s">
        <v>64</v>
      </c>
      <c r="W44" s="443" t="s">
        <v>467</v>
      </c>
      <c r="X44" s="444">
        <v>-45000</v>
      </c>
      <c r="AA44" s="437" t="s">
        <v>54</v>
      </c>
      <c r="AB44" s="438" t="s">
        <v>472</v>
      </c>
      <c r="AC44" s="401">
        <v>440</v>
      </c>
      <c r="AF44" s="437"/>
      <c r="AG44" s="438"/>
      <c r="AH44" s="401"/>
      <c r="AK44" s="437" t="s">
        <v>54</v>
      </c>
      <c r="AL44" s="438" t="s">
        <v>383</v>
      </c>
      <c r="AM44" s="401">
        <f>130-130</f>
        <v>0</v>
      </c>
    </row>
    <row r="45" spans="1:40" ht="15.75" thickBot="1" x14ac:dyDescent="0.3">
      <c r="A45" s="442"/>
      <c r="B45" s="443"/>
      <c r="C45" s="444"/>
      <c r="E45" s="437"/>
      <c r="F45" s="438"/>
      <c r="G45" s="401"/>
      <c r="I45" s="621" t="s">
        <v>133</v>
      </c>
      <c r="J45" s="622"/>
      <c r="K45" s="414">
        <f>K46</f>
        <v>0</v>
      </c>
      <c r="M45" s="439"/>
      <c r="N45" s="440"/>
      <c r="O45" s="441"/>
      <c r="Q45" s="445" t="s">
        <v>69</v>
      </c>
      <c r="R45" s="446" t="s">
        <v>317</v>
      </c>
      <c r="S45" s="420"/>
      <c r="V45" s="442" t="s">
        <v>132</v>
      </c>
      <c r="W45" s="443" t="s">
        <v>480</v>
      </c>
      <c r="X45" s="444">
        <v>3000</v>
      </c>
      <c r="AA45" s="437" t="s">
        <v>56</v>
      </c>
      <c r="AB45" s="438" t="s">
        <v>505</v>
      </c>
      <c r="AC45" s="401">
        <v>5</v>
      </c>
      <c r="AF45" s="437"/>
      <c r="AG45" s="438"/>
      <c r="AH45" s="401"/>
      <c r="AK45" s="437" t="s">
        <v>56</v>
      </c>
      <c r="AL45" s="438" t="s">
        <v>393</v>
      </c>
      <c r="AM45" s="401">
        <f>2100-1000+1000</f>
        <v>2100</v>
      </c>
      <c r="AN45" t="s">
        <v>381</v>
      </c>
    </row>
    <row r="46" spans="1:40" ht="15.75" thickBot="1" x14ac:dyDescent="0.3">
      <c r="A46" s="442"/>
      <c r="B46" s="443"/>
      <c r="C46" s="444"/>
      <c r="E46" s="439"/>
      <c r="F46" s="440"/>
      <c r="G46" s="441"/>
      <c r="I46" s="445" t="s">
        <v>69</v>
      </c>
      <c r="J46" s="446" t="s">
        <v>317</v>
      </c>
      <c r="K46" s="420"/>
      <c r="M46" s="619" t="s">
        <v>128</v>
      </c>
      <c r="N46" s="620"/>
      <c r="O46" s="407">
        <f>SUM(O47:O56)</f>
        <v>0</v>
      </c>
      <c r="Q46" s="612" t="s">
        <v>311</v>
      </c>
      <c r="R46" s="613"/>
      <c r="S46" s="424">
        <f>S31+S39+S44</f>
        <v>8057</v>
      </c>
      <c r="V46" s="442"/>
      <c r="W46" s="443"/>
      <c r="X46" s="444"/>
      <c r="AA46" s="437" t="s">
        <v>62</v>
      </c>
      <c r="AB46" s="438" t="s">
        <v>401</v>
      </c>
      <c r="AC46" s="401">
        <v>-1300</v>
      </c>
      <c r="AF46" s="437"/>
      <c r="AG46" s="438"/>
      <c r="AH46" s="401"/>
      <c r="AK46" s="437" t="s">
        <v>59</v>
      </c>
      <c r="AL46" s="438" t="s">
        <v>335</v>
      </c>
      <c r="AM46" s="401">
        <v>12</v>
      </c>
    </row>
    <row r="47" spans="1:40" ht="15.75" thickBot="1" x14ac:dyDescent="0.3">
      <c r="A47" s="442"/>
      <c r="B47" s="443"/>
      <c r="C47" s="444"/>
      <c r="E47" s="619" t="s">
        <v>128</v>
      </c>
      <c r="F47" s="620"/>
      <c r="G47" s="407">
        <f>SUM(G48:G52)</f>
        <v>200</v>
      </c>
      <c r="I47" s="612" t="s">
        <v>311</v>
      </c>
      <c r="J47" s="613"/>
      <c r="K47" s="424">
        <f>K26+K39+K45</f>
        <v>310</v>
      </c>
      <c r="M47" s="442" t="s">
        <v>50</v>
      </c>
      <c r="N47" s="443" t="s">
        <v>557</v>
      </c>
      <c r="O47" s="444">
        <f>6000-18900+18900</f>
        <v>6000</v>
      </c>
      <c r="Q47" s="448" t="s">
        <v>46</v>
      </c>
      <c r="R47" s="449" t="s">
        <v>542</v>
      </c>
      <c r="S47" s="450">
        <v>1260</v>
      </c>
      <c r="V47" s="442"/>
      <c r="W47" s="443"/>
      <c r="X47" s="444"/>
      <c r="AA47" s="437" t="s">
        <v>71</v>
      </c>
      <c r="AB47" s="438" t="s">
        <v>439</v>
      </c>
      <c r="AC47" s="401">
        <v>-700</v>
      </c>
      <c r="AF47" s="437"/>
      <c r="AG47" s="438"/>
      <c r="AH47" s="401"/>
      <c r="AK47" s="437" t="s">
        <v>62</v>
      </c>
      <c r="AL47" s="438" t="s">
        <v>336</v>
      </c>
      <c r="AM47" s="401">
        <f>300-300</f>
        <v>0</v>
      </c>
    </row>
    <row r="48" spans="1:40" ht="15.75" thickBot="1" x14ac:dyDescent="0.3">
      <c r="A48" s="621" t="s">
        <v>133</v>
      </c>
      <c r="B48" s="622"/>
      <c r="C48" s="414">
        <f>C49</f>
        <v>0</v>
      </c>
      <c r="E48" s="442" t="s">
        <v>132</v>
      </c>
      <c r="F48" s="443" t="s">
        <v>665</v>
      </c>
      <c r="G48" s="444">
        <v>200</v>
      </c>
      <c r="I48" s="448" t="s">
        <v>46</v>
      </c>
      <c r="J48" s="449" t="s">
        <v>542</v>
      </c>
      <c r="K48" s="450"/>
      <c r="M48" s="442" t="s">
        <v>50</v>
      </c>
      <c r="N48" s="443" t="s">
        <v>399</v>
      </c>
      <c r="O48" s="444">
        <v>-12500</v>
      </c>
      <c r="Q48" s="448" t="s">
        <v>46</v>
      </c>
      <c r="R48" s="449" t="s">
        <v>541</v>
      </c>
      <c r="S48" s="450">
        <f>106+4330</f>
        <v>4436</v>
      </c>
      <c r="V48" s="621" t="s">
        <v>133</v>
      </c>
      <c r="W48" s="622"/>
      <c r="X48" s="414">
        <f>X49</f>
        <v>0</v>
      </c>
      <c r="AA48" s="437" t="s">
        <v>87</v>
      </c>
      <c r="AB48" s="438" t="s">
        <v>484</v>
      </c>
      <c r="AC48" s="401">
        <v>1600</v>
      </c>
      <c r="AF48" s="439"/>
      <c r="AG48" s="440"/>
      <c r="AH48" s="441"/>
      <c r="AK48" s="437" t="s">
        <v>67</v>
      </c>
      <c r="AL48" s="438" t="s">
        <v>394</v>
      </c>
      <c r="AM48" s="401">
        <f>300-300</f>
        <v>0</v>
      </c>
    </row>
    <row r="49" spans="1:40" ht="15.75" thickBot="1" x14ac:dyDescent="0.3">
      <c r="A49" s="445" t="s">
        <v>69</v>
      </c>
      <c r="B49" s="446" t="s">
        <v>317</v>
      </c>
      <c r="C49" s="420"/>
      <c r="E49" s="442"/>
      <c r="F49" s="443"/>
      <c r="G49" s="444"/>
      <c r="I49" s="577" t="s">
        <v>46</v>
      </c>
      <c r="J49" s="578" t="s">
        <v>541</v>
      </c>
      <c r="K49" s="579"/>
      <c r="M49" s="442" t="s">
        <v>77</v>
      </c>
      <c r="N49" s="443" t="s">
        <v>570</v>
      </c>
      <c r="O49" s="444">
        <v>1500</v>
      </c>
      <c r="Q49" s="614" t="s">
        <v>314</v>
      </c>
      <c r="R49" s="623"/>
      <c r="S49" s="431">
        <f>SUM(S46:S48)</f>
        <v>13753</v>
      </c>
      <c r="V49" s="445" t="s">
        <v>69</v>
      </c>
      <c r="W49" s="446" t="s">
        <v>317</v>
      </c>
      <c r="X49" s="420"/>
      <c r="AA49" s="437" t="s">
        <v>97</v>
      </c>
      <c r="AB49" s="438" t="s">
        <v>506</v>
      </c>
      <c r="AC49" s="401">
        <f>500-1300</f>
        <v>-800</v>
      </c>
      <c r="AF49" s="619" t="s">
        <v>128</v>
      </c>
      <c r="AG49" s="620"/>
      <c r="AH49" s="407">
        <f>SUM(AH50:AH55)</f>
        <v>0</v>
      </c>
      <c r="AK49" s="437" t="s">
        <v>69</v>
      </c>
      <c r="AL49" s="438" t="s">
        <v>384</v>
      </c>
      <c r="AM49" s="401">
        <f>200-200</f>
        <v>0</v>
      </c>
    </row>
    <row r="50" spans="1:40" ht="15.75" thickBot="1" x14ac:dyDescent="0.3">
      <c r="A50" s="612" t="s">
        <v>311</v>
      </c>
      <c r="B50" s="613"/>
      <c r="C50" s="424">
        <f>C31+C42+C48</f>
        <v>3350</v>
      </c>
      <c r="E50" s="442"/>
      <c r="F50" s="443"/>
      <c r="G50" s="444"/>
      <c r="I50" s="614" t="s">
        <v>314</v>
      </c>
      <c r="J50" s="623"/>
      <c r="K50" s="431">
        <f>SUM(K47:K49)</f>
        <v>310</v>
      </c>
      <c r="M50" s="442" t="s">
        <v>132</v>
      </c>
      <c r="N50" s="443" t="s">
        <v>584</v>
      </c>
      <c r="O50" s="444">
        <v>-2270</v>
      </c>
      <c r="R50" s="451" t="s">
        <v>319</v>
      </c>
      <c r="S50" s="433">
        <f>S49-S27</f>
        <v>0</v>
      </c>
      <c r="V50" s="612" t="s">
        <v>311</v>
      </c>
      <c r="W50" s="613"/>
      <c r="X50" s="424">
        <f>X27+X43+X48</f>
        <v>-1000</v>
      </c>
      <c r="AA50" s="437" t="s">
        <v>97</v>
      </c>
      <c r="AB50" s="438" t="s">
        <v>461</v>
      </c>
      <c r="AC50" s="401">
        <v>-1300</v>
      </c>
      <c r="AF50" s="442" t="s">
        <v>50</v>
      </c>
      <c r="AG50" s="443" t="s">
        <v>399</v>
      </c>
      <c r="AH50" s="444">
        <f>44000-15000</f>
        <v>29000</v>
      </c>
      <c r="AK50" s="437" t="s">
        <v>69</v>
      </c>
      <c r="AL50" s="438" t="s">
        <v>329</v>
      </c>
      <c r="AM50" s="401">
        <f>4400+3000+5600+4000-1500</f>
        <v>15500</v>
      </c>
    </row>
    <row r="51" spans="1:40" x14ac:dyDescent="0.25">
      <c r="A51" s="448" t="s">
        <v>46</v>
      </c>
      <c r="B51" s="449" t="s">
        <v>542</v>
      </c>
      <c r="C51" s="450">
        <v>2</v>
      </c>
      <c r="E51" s="442"/>
      <c r="F51" s="443"/>
      <c r="G51" s="444"/>
      <c r="J51" s="451" t="s">
        <v>319</v>
      </c>
      <c r="K51" s="433">
        <f>K50-K22</f>
        <v>0</v>
      </c>
      <c r="M51" s="442" t="s">
        <v>85</v>
      </c>
      <c r="N51" s="443" t="s">
        <v>558</v>
      </c>
      <c r="O51" s="444">
        <v>2500</v>
      </c>
      <c r="V51" s="448" t="s">
        <v>46</v>
      </c>
      <c r="W51" s="449" t="s">
        <v>318</v>
      </c>
      <c r="X51" s="450"/>
      <c r="AA51" s="437" t="s">
        <v>99</v>
      </c>
      <c r="AB51" s="438" t="s">
        <v>425</v>
      </c>
      <c r="AC51" s="401">
        <v>2250</v>
      </c>
      <c r="AF51" s="442" t="s">
        <v>50</v>
      </c>
      <c r="AG51" s="443" t="s">
        <v>371</v>
      </c>
      <c r="AH51" s="444">
        <f>26440-37600</f>
        <v>-11160</v>
      </c>
      <c r="AK51" s="437" t="s">
        <v>71</v>
      </c>
      <c r="AL51" s="438" t="s">
        <v>385</v>
      </c>
      <c r="AM51" s="401">
        <f>-40+375-605+270-40+40</f>
        <v>0</v>
      </c>
    </row>
    <row r="52" spans="1:40" ht="15.75" thickBot="1" x14ac:dyDescent="0.3">
      <c r="A52" s="577" t="s">
        <v>46</v>
      </c>
      <c r="B52" s="578" t="s">
        <v>541</v>
      </c>
      <c r="C52" s="579">
        <f>800-117</f>
        <v>683</v>
      </c>
      <c r="E52" s="442"/>
      <c r="F52" s="443"/>
      <c r="G52" s="444"/>
      <c r="M52" s="442" t="s">
        <v>106</v>
      </c>
      <c r="N52" s="443" t="s">
        <v>438</v>
      </c>
      <c r="O52" s="444">
        <f>-1800</f>
        <v>-1800</v>
      </c>
      <c r="Q52" t="s">
        <v>320</v>
      </c>
      <c r="V52" s="448" t="s">
        <v>46</v>
      </c>
      <c r="W52" s="449" t="s">
        <v>331</v>
      </c>
      <c r="X52" s="450">
        <v>711</v>
      </c>
      <c r="AA52" s="437" t="s">
        <v>99</v>
      </c>
      <c r="AB52" s="438" t="s">
        <v>431</v>
      </c>
      <c r="AC52" s="401">
        <v>2000</v>
      </c>
      <c r="AF52" s="442" t="s">
        <v>132</v>
      </c>
      <c r="AG52" s="443" t="s">
        <v>216</v>
      </c>
      <c r="AH52" s="444">
        <f>48830-66670</f>
        <v>-17840</v>
      </c>
      <c r="AK52" s="437" t="s">
        <v>73</v>
      </c>
      <c r="AL52" s="438" t="s">
        <v>357</v>
      </c>
      <c r="AM52" s="401">
        <v>220</v>
      </c>
    </row>
    <row r="53" spans="1:40" ht="15.75" thickBot="1" x14ac:dyDescent="0.3">
      <c r="A53" s="614" t="s">
        <v>314</v>
      </c>
      <c r="B53" s="623"/>
      <c r="C53" s="431">
        <f>SUM(C50:C52)</f>
        <v>4035</v>
      </c>
      <c r="E53" s="621" t="s">
        <v>133</v>
      </c>
      <c r="F53" s="622"/>
      <c r="G53" s="414">
        <f>G54</f>
        <v>0</v>
      </c>
      <c r="I53" t="s">
        <v>320</v>
      </c>
      <c r="M53" s="442" t="s">
        <v>600</v>
      </c>
      <c r="N53" s="443" t="s">
        <v>583</v>
      </c>
      <c r="O53" s="444">
        <v>10000</v>
      </c>
      <c r="P53" s="581"/>
      <c r="Q53" s="394" t="s">
        <v>551</v>
      </c>
      <c r="V53" s="614" t="s">
        <v>314</v>
      </c>
      <c r="W53" s="623"/>
      <c r="X53" s="431">
        <f>SUM(X50:X52)</f>
        <v>-289</v>
      </c>
      <c r="AA53" s="437" t="s">
        <v>99</v>
      </c>
      <c r="AB53" s="438" t="s">
        <v>497</v>
      </c>
      <c r="AC53" s="401">
        <v>3000</v>
      </c>
      <c r="AF53" s="442"/>
      <c r="AG53" s="443"/>
      <c r="AH53" s="444"/>
      <c r="AK53" s="437" t="s">
        <v>76</v>
      </c>
      <c r="AL53" s="438" t="s">
        <v>386</v>
      </c>
      <c r="AM53" s="401">
        <f>50-50+150</f>
        <v>150</v>
      </c>
    </row>
    <row r="54" spans="1:40" ht="15.75" thickBot="1" x14ac:dyDescent="0.3">
      <c r="B54" s="451" t="s">
        <v>319</v>
      </c>
      <c r="C54" s="433">
        <f>C53-C27</f>
        <v>0</v>
      </c>
      <c r="E54" s="445" t="s">
        <v>69</v>
      </c>
      <c r="F54" s="446" t="s">
        <v>317</v>
      </c>
      <c r="G54" s="420"/>
      <c r="I54" s="394" t="s">
        <v>608</v>
      </c>
      <c r="M54" s="442" t="s">
        <v>326</v>
      </c>
      <c r="N54" s="443" t="s">
        <v>559</v>
      </c>
      <c r="O54" s="444">
        <f>-220-380-380-220</f>
        <v>-1200</v>
      </c>
      <c r="P54" s="432"/>
      <c r="W54" s="451" t="s">
        <v>319</v>
      </c>
      <c r="X54" s="433">
        <f>X53-X23</f>
        <v>0</v>
      </c>
      <c r="AA54" s="437" t="s">
        <v>99</v>
      </c>
      <c r="AB54" s="438" t="s">
        <v>448</v>
      </c>
      <c r="AC54" s="401">
        <v>50</v>
      </c>
      <c r="AF54" s="442"/>
      <c r="AG54" s="443"/>
      <c r="AH54" s="444"/>
      <c r="AK54" s="437" t="s">
        <v>77</v>
      </c>
      <c r="AL54" s="438" t="s">
        <v>364</v>
      </c>
      <c r="AM54" s="401">
        <f>-4000</f>
        <v>-4000</v>
      </c>
    </row>
    <row r="55" spans="1:40" ht="15.75" thickBot="1" x14ac:dyDescent="0.3">
      <c r="E55" s="612" t="s">
        <v>311</v>
      </c>
      <c r="F55" s="613"/>
      <c r="G55" s="424">
        <f>G32+G47+G53</f>
        <v>1200</v>
      </c>
      <c r="M55" s="442" t="s">
        <v>120</v>
      </c>
      <c r="N55" s="443" t="s">
        <v>586</v>
      </c>
      <c r="O55" s="444">
        <v>-2230</v>
      </c>
      <c r="P55" s="432"/>
      <c r="AA55" s="437" t="s">
        <v>99</v>
      </c>
      <c r="AB55" s="438" t="s">
        <v>436</v>
      </c>
      <c r="AC55" s="401">
        <v>2800</v>
      </c>
      <c r="AF55" s="442"/>
      <c r="AG55" s="443"/>
      <c r="AH55" s="444"/>
      <c r="AK55" s="437" t="s">
        <v>83</v>
      </c>
      <c r="AL55" s="438" t="s">
        <v>365</v>
      </c>
      <c r="AM55" s="401">
        <v>-2000</v>
      </c>
    </row>
    <row r="56" spans="1:40" ht="15.75" thickBot="1" x14ac:dyDescent="0.3">
      <c r="A56" t="s">
        <v>320</v>
      </c>
      <c r="E56" s="448" t="s">
        <v>46</v>
      </c>
      <c r="F56" s="449" t="s">
        <v>542</v>
      </c>
      <c r="G56" s="450">
        <v>679</v>
      </c>
      <c r="M56" s="442"/>
      <c r="N56" s="443"/>
      <c r="O56" s="444"/>
      <c r="P56" s="582"/>
      <c r="V56" t="s">
        <v>320</v>
      </c>
      <c r="Y56" s="433"/>
      <c r="AA56" s="437" t="s">
        <v>99</v>
      </c>
      <c r="AB56" s="438" t="s">
        <v>434</v>
      </c>
      <c r="AC56" s="401">
        <v>3000</v>
      </c>
      <c r="AD56" s="433"/>
      <c r="AF56" s="621" t="s">
        <v>133</v>
      </c>
      <c r="AG56" s="622"/>
      <c r="AH56" s="414">
        <f>AH57</f>
        <v>0</v>
      </c>
      <c r="AK56" s="437" t="s">
        <v>85</v>
      </c>
      <c r="AL56" s="438" t="s">
        <v>324</v>
      </c>
      <c r="AM56" s="401">
        <v>-3000</v>
      </c>
    </row>
    <row r="57" spans="1:40" ht="15.75" thickBot="1" x14ac:dyDescent="0.3">
      <c r="A57" s="394" t="s">
        <v>670</v>
      </c>
      <c r="E57" s="577" t="s">
        <v>46</v>
      </c>
      <c r="F57" s="578" t="s">
        <v>541</v>
      </c>
      <c r="G57" s="579">
        <v>-3270</v>
      </c>
      <c r="M57" s="621" t="s">
        <v>133</v>
      </c>
      <c r="N57" s="622"/>
      <c r="O57" s="414">
        <f>O58</f>
        <v>0</v>
      </c>
      <c r="P57" s="432"/>
      <c r="V57" s="394" t="s">
        <v>538</v>
      </c>
      <c r="AA57" s="437" t="s">
        <v>104</v>
      </c>
      <c r="AB57" s="438" t="s">
        <v>428</v>
      </c>
      <c r="AC57" s="401">
        <v>8800</v>
      </c>
      <c r="AF57" s="445" t="s">
        <v>69</v>
      </c>
      <c r="AG57" s="446" t="s">
        <v>317</v>
      </c>
      <c r="AH57" s="420"/>
      <c r="AK57" s="437" t="s">
        <v>87</v>
      </c>
      <c r="AL57" s="438" t="s">
        <v>387</v>
      </c>
      <c r="AM57" s="401">
        <f>2200+200</f>
        <v>2400</v>
      </c>
    </row>
    <row r="58" spans="1:40" ht="15.75" thickBot="1" x14ac:dyDescent="0.3">
      <c r="E58" s="614" t="s">
        <v>314</v>
      </c>
      <c r="F58" s="623"/>
      <c r="G58" s="431">
        <f>SUM(G55:G57)</f>
        <v>-1391</v>
      </c>
      <c r="M58" s="445" t="s">
        <v>69</v>
      </c>
      <c r="N58" s="446" t="s">
        <v>317</v>
      </c>
      <c r="O58" s="420"/>
      <c r="AA58" s="437" t="s">
        <v>104</v>
      </c>
      <c r="AB58" s="438" t="s">
        <v>496</v>
      </c>
      <c r="AC58" s="401">
        <f>-800-500-1000-200+1700+1500</f>
        <v>700</v>
      </c>
      <c r="AF58" s="612" t="s">
        <v>311</v>
      </c>
      <c r="AG58" s="613"/>
      <c r="AH58" s="424">
        <f>AH32+AH49+AH56</f>
        <v>6945</v>
      </c>
      <c r="AK58" s="437" t="s">
        <v>87</v>
      </c>
      <c r="AL58" s="438" t="s">
        <v>380</v>
      </c>
      <c r="AM58" s="401">
        <v>375</v>
      </c>
      <c r="AN58" t="s">
        <v>381</v>
      </c>
    </row>
    <row r="59" spans="1:40" ht="15.75" thickBot="1" x14ac:dyDescent="0.3">
      <c r="F59" s="451" t="s">
        <v>319</v>
      </c>
      <c r="G59" s="433">
        <f>G58-G28</f>
        <v>0</v>
      </c>
      <c r="M59" s="612" t="s">
        <v>311</v>
      </c>
      <c r="N59" s="613"/>
      <c r="O59" s="424">
        <f>O36+O46+O57</f>
        <v>-3600</v>
      </c>
      <c r="Y59" s="433"/>
      <c r="AA59" s="437" t="s">
        <v>104</v>
      </c>
      <c r="AB59" s="438" t="s">
        <v>462</v>
      </c>
      <c r="AC59" s="401">
        <f>200</f>
        <v>200</v>
      </c>
      <c r="AD59" s="433"/>
      <c r="AF59" s="448" t="s">
        <v>46</v>
      </c>
      <c r="AG59" s="449" t="s">
        <v>318</v>
      </c>
      <c r="AH59" s="450"/>
      <c r="AK59" s="437" t="s">
        <v>94</v>
      </c>
      <c r="AL59" s="438" t="s">
        <v>337</v>
      </c>
      <c r="AM59" s="401">
        <v>300</v>
      </c>
    </row>
    <row r="60" spans="1:40" ht="15.75" thickBot="1" x14ac:dyDescent="0.3">
      <c r="M60" s="448" t="s">
        <v>46</v>
      </c>
      <c r="N60" s="449" t="s">
        <v>542</v>
      </c>
      <c r="O60" s="450"/>
      <c r="AA60" s="437" t="s">
        <v>106</v>
      </c>
      <c r="AB60" s="438" t="s">
        <v>440</v>
      </c>
      <c r="AC60" s="401">
        <v>3000</v>
      </c>
      <c r="AF60" s="448" t="s">
        <v>46</v>
      </c>
      <c r="AG60" s="449" t="s">
        <v>331</v>
      </c>
      <c r="AH60" s="450"/>
      <c r="AK60" s="437" t="s">
        <v>97</v>
      </c>
      <c r="AL60" s="438" t="s">
        <v>360</v>
      </c>
      <c r="AM60" s="401">
        <f>444+460+116-116</f>
        <v>904</v>
      </c>
    </row>
    <row r="61" spans="1:40" ht="15.75" thickBot="1" x14ac:dyDescent="0.3">
      <c r="E61" t="s">
        <v>320</v>
      </c>
      <c r="M61" s="577" t="s">
        <v>46</v>
      </c>
      <c r="N61" s="578" t="s">
        <v>541</v>
      </c>
      <c r="O61" s="579">
        <v>2176</v>
      </c>
      <c r="AA61" s="439"/>
      <c r="AB61" s="440"/>
      <c r="AC61" s="441"/>
      <c r="AF61" s="614" t="s">
        <v>314</v>
      </c>
      <c r="AG61" s="623"/>
      <c r="AH61" s="431">
        <f>SUM(AH58:AH60)</f>
        <v>6945</v>
      </c>
      <c r="AK61" s="437" t="s">
        <v>97</v>
      </c>
      <c r="AL61" s="438" t="s">
        <v>340</v>
      </c>
      <c r="AM61" s="401">
        <f>500+500-500</f>
        <v>500</v>
      </c>
    </row>
    <row r="62" spans="1:40" ht="15.75" thickBot="1" x14ac:dyDescent="0.3">
      <c r="E62" s="394" t="s">
        <v>651</v>
      </c>
      <c r="M62" s="614" t="s">
        <v>314</v>
      </c>
      <c r="N62" s="623"/>
      <c r="O62" s="431">
        <f>SUM(O59:O61)</f>
        <v>-1424</v>
      </c>
      <c r="Y62" s="433"/>
      <c r="AA62" s="619" t="s">
        <v>128</v>
      </c>
      <c r="AB62" s="620"/>
      <c r="AC62" s="407">
        <f>SUM(AC63:AC69)</f>
        <v>51100</v>
      </c>
      <c r="AD62" s="433"/>
      <c r="AG62" s="451" t="s">
        <v>319</v>
      </c>
      <c r="AH62" s="433">
        <f>AH61-AH28</f>
        <v>0</v>
      </c>
      <c r="AK62" s="437" t="s">
        <v>99</v>
      </c>
      <c r="AL62" s="438" t="s">
        <v>345</v>
      </c>
      <c r="AM62" s="401">
        <f>2400</f>
        <v>2400</v>
      </c>
    </row>
    <row r="63" spans="1:40" x14ac:dyDescent="0.25">
      <c r="N63" s="451" t="s">
        <v>319</v>
      </c>
      <c r="O63" s="433">
        <f>O62-O32</f>
        <v>0</v>
      </c>
      <c r="AA63" s="442" t="s">
        <v>50</v>
      </c>
      <c r="AB63" s="443" t="s">
        <v>430</v>
      </c>
      <c r="AC63" s="444">
        <f>37500-44000</f>
        <v>-6500</v>
      </c>
      <c r="AK63" s="437" t="s">
        <v>99</v>
      </c>
      <c r="AL63" s="438" t="s">
        <v>344</v>
      </c>
      <c r="AM63" s="401">
        <f>2000+2200+400</f>
        <v>4600</v>
      </c>
    </row>
    <row r="64" spans="1:40" x14ac:dyDescent="0.25">
      <c r="AA64" s="442" t="s">
        <v>64</v>
      </c>
      <c r="AB64" s="443" t="s">
        <v>467</v>
      </c>
      <c r="AC64" s="444">
        <v>45000</v>
      </c>
      <c r="AF64" t="s">
        <v>320</v>
      </c>
      <c r="AK64" s="437" t="s">
        <v>102</v>
      </c>
      <c r="AL64" s="438" t="s">
        <v>388</v>
      </c>
      <c r="AM64" s="401">
        <f>30-500+500</f>
        <v>30</v>
      </c>
    </row>
    <row r="65" spans="13:39" x14ac:dyDescent="0.25">
      <c r="M65" t="s">
        <v>320</v>
      </c>
      <c r="AA65" s="442" t="s">
        <v>77</v>
      </c>
      <c r="AB65" s="443" t="s">
        <v>464</v>
      </c>
      <c r="AC65" s="444">
        <f>203700-206000</f>
        <v>-2300</v>
      </c>
      <c r="AF65" s="394" t="s">
        <v>416</v>
      </c>
      <c r="AK65" s="437" t="s">
        <v>104</v>
      </c>
      <c r="AL65" s="438" t="s">
        <v>375</v>
      </c>
      <c r="AM65" s="401">
        <v>6000</v>
      </c>
    </row>
    <row r="66" spans="13:39" x14ac:dyDescent="0.25">
      <c r="M66" s="394" t="s">
        <v>592</v>
      </c>
      <c r="Y66" s="433"/>
      <c r="AA66" s="442" t="s">
        <v>132</v>
      </c>
      <c r="AB66" s="443" t="s">
        <v>480</v>
      </c>
      <c r="AC66" s="444">
        <f>11600-1800</f>
        <v>9800</v>
      </c>
      <c r="AD66" s="433"/>
      <c r="AK66" s="437" t="s">
        <v>106</v>
      </c>
      <c r="AL66" s="438" t="s">
        <v>389</v>
      </c>
      <c r="AM66" s="401">
        <f>470-470+510+190-1200+500-160+160</f>
        <v>0</v>
      </c>
    </row>
    <row r="67" spans="13:39" x14ac:dyDescent="0.25">
      <c r="Y67" s="433"/>
      <c r="AA67" s="442" t="s">
        <v>83</v>
      </c>
      <c r="AB67" s="443" t="s">
        <v>494</v>
      </c>
      <c r="AC67" s="444">
        <v>1800</v>
      </c>
      <c r="AD67" s="433"/>
      <c r="AK67" s="437" t="s">
        <v>326</v>
      </c>
      <c r="AL67" s="438" t="s">
        <v>390</v>
      </c>
      <c r="AM67" s="401">
        <f>800-800</f>
        <v>0</v>
      </c>
    </row>
    <row r="68" spans="13:39" x14ac:dyDescent="0.25">
      <c r="Y68" s="433"/>
      <c r="AA68" s="442" t="s">
        <v>97</v>
      </c>
      <c r="AB68" s="443" t="s">
        <v>495</v>
      </c>
      <c r="AC68" s="444">
        <v>3300</v>
      </c>
      <c r="AD68" s="433"/>
      <c r="AK68" s="437" t="s">
        <v>120</v>
      </c>
      <c r="AL68" s="438" t="s">
        <v>396</v>
      </c>
      <c r="AM68" s="401">
        <f>104+976+1500+4000-4000</f>
        <v>2580</v>
      </c>
    </row>
    <row r="69" spans="13:39" ht="15.75" thickBot="1" x14ac:dyDescent="0.3">
      <c r="Y69" s="433"/>
      <c r="AA69" s="442"/>
      <c r="AB69" s="443"/>
      <c r="AC69" s="444"/>
      <c r="AD69" s="433"/>
      <c r="AK69" s="437" t="s">
        <v>122</v>
      </c>
      <c r="AL69" s="438" t="s">
        <v>395</v>
      </c>
      <c r="AM69" s="401">
        <f>500-500</f>
        <v>0</v>
      </c>
    </row>
    <row r="70" spans="13:39" ht="15.75" thickBot="1" x14ac:dyDescent="0.3">
      <c r="AA70" s="621" t="s">
        <v>133</v>
      </c>
      <c r="AB70" s="622"/>
      <c r="AC70" s="414">
        <f>AC71</f>
        <v>0</v>
      </c>
      <c r="AK70" s="439"/>
      <c r="AL70" s="440"/>
      <c r="AM70" s="441"/>
    </row>
    <row r="71" spans="13:39" ht="15.75" thickBot="1" x14ac:dyDescent="0.3">
      <c r="AA71" s="445" t="s">
        <v>69</v>
      </c>
      <c r="AB71" s="446" t="s">
        <v>317</v>
      </c>
      <c r="AC71" s="420"/>
      <c r="AK71" s="619" t="s">
        <v>128</v>
      </c>
      <c r="AL71" s="620"/>
      <c r="AM71" s="407">
        <f>SUM(AM72:AM81)</f>
        <v>14518</v>
      </c>
    </row>
    <row r="72" spans="13:39" ht="15.75" thickBot="1" x14ac:dyDescent="0.3">
      <c r="AA72" s="612" t="s">
        <v>311</v>
      </c>
      <c r="AB72" s="613"/>
      <c r="AC72" s="424">
        <f>AC42+AC62+AC70</f>
        <v>76845</v>
      </c>
      <c r="AK72" s="442" t="s">
        <v>50</v>
      </c>
      <c r="AL72" s="443" t="s">
        <v>371</v>
      </c>
      <c r="AM72" s="444">
        <v>27600</v>
      </c>
    </row>
    <row r="73" spans="13:39" x14ac:dyDescent="0.25">
      <c r="AA73" s="448" t="s">
        <v>46</v>
      </c>
      <c r="AB73" s="449" t="s">
        <v>318</v>
      </c>
      <c r="AC73" s="450"/>
      <c r="AK73" s="442" t="s">
        <v>50</v>
      </c>
      <c r="AL73" s="443" t="s">
        <v>368</v>
      </c>
      <c r="AM73" s="444">
        <v>2403</v>
      </c>
    </row>
    <row r="74" spans="13:39" ht="15.75" thickBot="1" x14ac:dyDescent="0.3">
      <c r="AA74" s="448" t="s">
        <v>46</v>
      </c>
      <c r="AB74" s="449" t="s">
        <v>331</v>
      </c>
      <c r="AC74" s="450"/>
      <c r="AK74" s="442" t="s">
        <v>62</v>
      </c>
      <c r="AL74" s="443" t="s">
        <v>372</v>
      </c>
      <c r="AM74" s="444">
        <v>20000</v>
      </c>
    </row>
    <row r="75" spans="13:39" ht="15.75" thickBot="1" x14ac:dyDescent="0.3">
      <c r="AA75" s="614" t="s">
        <v>314</v>
      </c>
      <c r="AB75" s="623"/>
      <c r="AC75" s="431">
        <f>SUM(AC72:AC74)</f>
        <v>76845</v>
      </c>
      <c r="AK75" s="442" t="s">
        <v>71</v>
      </c>
      <c r="AL75" s="443" t="s">
        <v>255</v>
      </c>
      <c r="AM75" s="444">
        <v>-25000</v>
      </c>
    </row>
    <row r="76" spans="13:39" x14ac:dyDescent="0.25">
      <c r="AB76" s="451" t="s">
        <v>319</v>
      </c>
      <c r="AC76" s="433">
        <f>AC75-AC38</f>
        <v>0</v>
      </c>
      <c r="AK76" s="442" t="s">
        <v>132</v>
      </c>
      <c r="AL76" s="443" t="s">
        <v>216</v>
      </c>
      <c r="AM76" s="444">
        <v>-9060</v>
      </c>
    </row>
    <row r="77" spans="13:39" x14ac:dyDescent="0.25">
      <c r="AK77" s="442" t="s">
        <v>83</v>
      </c>
      <c r="AL77" s="491" t="s">
        <v>221</v>
      </c>
      <c r="AM77" s="444">
        <v>-12270</v>
      </c>
    </row>
    <row r="78" spans="13:39" x14ac:dyDescent="0.25">
      <c r="AA78" t="s">
        <v>320</v>
      </c>
      <c r="AK78" s="442" t="s">
        <v>106</v>
      </c>
      <c r="AL78" s="412" t="s">
        <v>374</v>
      </c>
      <c r="AM78" s="444">
        <v>-800</v>
      </c>
    </row>
    <row r="79" spans="13:39" x14ac:dyDescent="0.25">
      <c r="AA79" s="394" t="s">
        <v>483</v>
      </c>
      <c r="AK79" s="442" t="s">
        <v>326</v>
      </c>
      <c r="AL79" s="490" t="s">
        <v>246</v>
      </c>
      <c r="AM79" s="444">
        <v>600</v>
      </c>
    </row>
    <row r="80" spans="13:39" x14ac:dyDescent="0.25">
      <c r="AK80" s="442" t="s">
        <v>120</v>
      </c>
      <c r="AL80" s="443" t="s">
        <v>367</v>
      </c>
      <c r="AM80" s="444">
        <v>11045</v>
      </c>
    </row>
    <row r="81" spans="37:39" ht="15.75" thickBot="1" x14ac:dyDescent="0.3">
      <c r="AK81" s="442"/>
      <c r="AL81" s="443"/>
      <c r="AM81" s="444"/>
    </row>
    <row r="82" spans="37:39" ht="15.75" thickBot="1" x14ac:dyDescent="0.3">
      <c r="AK82" s="621" t="s">
        <v>133</v>
      </c>
      <c r="AL82" s="622"/>
      <c r="AM82" s="414">
        <f>AM83</f>
        <v>60</v>
      </c>
    </row>
    <row r="83" spans="37:39" ht="15.75" thickBot="1" x14ac:dyDescent="0.3">
      <c r="AK83" s="445" t="s">
        <v>69</v>
      </c>
      <c r="AL83" s="446" t="s">
        <v>317</v>
      </c>
      <c r="AM83" s="447">
        <v>60</v>
      </c>
    </row>
    <row r="84" spans="37:39" ht="15.75" thickBot="1" x14ac:dyDescent="0.3">
      <c r="AK84" s="612" t="s">
        <v>311</v>
      </c>
      <c r="AL84" s="613"/>
      <c r="AM84" s="424">
        <f>AM41+AM71+AM82</f>
        <v>44249</v>
      </c>
    </row>
    <row r="85" spans="37:39" x14ac:dyDescent="0.25">
      <c r="AK85" s="448" t="s">
        <v>46</v>
      </c>
      <c r="AL85" s="449" t="s">
        <v>318</v>
      </c>
      <c r="AM85" s="450"/>
    </row>
    <row r="86" spans="37:39" ht="15.75" thickBot="1" x14ac:dyDescent="0.3">
      <c r="AK86" s="448" t="s">
        <v>46</v>
      </c>
      <c r="AL86" s="449" t="s">
        <v>331</v>
      </c>
      <c r="AM86" s="450">
        <v>13819</v>
      </c>
    </row>
    <row r="87" spans="37:39" ht="15.75" thickBot="1" x14ac:dyDescent="0.3">
      <c r="AK87" s="614" t="s">
        <v>314</v>
      </c>
      <c r="AL87" s="623"/>
      <c r="AM87" s="431">
        <f>SUM(AM84:AM86)</f>
        <v>58068</v>
      </c>
    </row>
    <row r="88" spans="37:39" x14ac:dyDescent="0.25">
      <c r="AL88" s="451" t="s">
        <v>319</v>
      </c>
      <c r="AM88" s="433">
        <f>AM87-AM37</f>
        <v>0</v>
      </c>
    </row>
    <row r="90" spans="37:39" x14ac:dyDescent="0.25">
      <c r="AK90" t="s">
        <v>320</v>
      </c>
    </row>
    <row r="91" spans="37:39" x14ac:dyDescent="0.25">
      <c r="AK91" s="394" t="s">
        <v>376</v>
      </c>
    </row>
  </sheetData>
  <sortState ref="E33:G41">
    <sortCondition ref="E33"/>
  </sortState>
  <mergeCells count="153">
    <mergeCell ref="A24:B24"/>
    <mergeCell ref="A27:B27"/>
    <mergeCell ref="A29:C29"/>
    <mergeCell ref="A31:B31"/>
    <mergeCell ref="A42:B42"/>
    <mergeCell ref="A48:B48"/>
    <mergeCell ref="A50:B50"/>
    <mergeCell ref="A53:B53"/>
    <mergeCell ref="A1:C1"/>
    <mergeCell ref="A2:C2"/>
    <mergeCell ref="A3:C3"/>
    <mergeCell ref="A5:C5"/>
    <mergeCell ref="A7:B7"/>
    <mergeCell ref="A15:C15"/>
    <mergeCell ref="A16:B16"/>
    <mergeCell ref="A19:C19"/>
    <mergeCell ref="A20:B20"/>
    <mergeCell ref="E25:F25"/>
    <mergeCell ref="E28:F28"/>
    <mergeCell ref="E30:G30"/>
    <mergeCell ref="E32:F32"/>
    <mergeCell ref="E47:F47"/>
    <mergeCell ref="E53:F53"/>
    <mergeCell ref="E55:F55"/>
    <mergeCell ref="E58:F58"/>
    <mergeCell ref="E1:G1"/>
    <mergeCell ref="E2:G2"/>
    <mergeCell ref="E3:G3"/>
    <mergeCell ref="E5:G5"/>
    <mergeCell ref="E7:F7"/>
    <mergeCell ref="E16:G16"/>
    <mergeCell ref="E17:F17"/>
    <mergeCell ref="E20:G20"/>
    <mergeCell ref="E21:F21"/>
    <mergeCell ref="M59:N59"/>
    <mergeCell ref="M62:N62"/>
    <mergeCell ref="M32:N32"/>
    <mergeCell ref="M34:O34"/>
    <mergeCell ref="M36:N36"/>
    <mergeCell ref="M46:N46"/>
    <mergeCell ref="M57:N57"/>
    <mergeCell ref="M18:O18"/>
    <mergeCell ref="M19:N19"/>
    <mergeCell ref="M24:O24"/>
    <mergeCell ref="M25:N25"/>
    <mergeCell ref="M29:N29"/>
    <mergeCell ref="M1:O1"/>
    <mergeCell ref="M2:O2"/>
    <mergeCell ref="M3:O3"/>
    <mergeCell ref="M5:O5"/>
    <mergeCell ref="M7:N7"/>
    <mergeCell ref="Q46:R46"/>
    <mergeCell ref="Q49:R49"/>
    <mergeCell ref="Q27:R27"/>
    <mergeCell ref="Q29:S29"/>
    <mergeCell ref="Q31:R31"/>
    <mergeCell ref="Q39:R39"/>
    <mergeCell ref="Q44:R44"/>
    <mergeCell ref="Q16:S16"/>
    <mergeCell ref="Q17:R17"/>
    <mergeCell ref="Q19:S19"/>
    <mergeCell ref="Q20:R20"/>
    <mergeCell ref="Q24:R24"/>
    <mergeCell ref="Q1:S1"/>
    <mergeCell ref="Q2:S2"/>
    <mergeCell ref="Q3:S3"/>
    <mergeCell ref="Q5:S5"/>
    <mergeCell ref="Q7:R7"/>
    <mergeCell ref="V50:W50"/>
    <mergeCell ref="V53:W53"/>
    <mergeCell ref="V23:W23"/>
    <mergeCell ref="V25:X25"/>
    <mergeCell ref="V27:W27"/>
    <mergeCell ref="V43:W43"/>
    <mergeCell ref="V48:W48"/>
    <mergeCell ref="V12:X12"/>
    <mergeCell ref="V13:W13"/>
    <mergeCell ref="V15:X15"/>
    <mergeCell ref="V16:W16"/>
    <mergeCell ref="V20:W20"/>
    <mergeCell ref="V1:X1"/>
    <mergeCell ref="V2:X2"/>
    <mergeCell ref="V3:X3"/>
    <mergeCell ref="V5:X5"/>
    <mergeCell ref="V7:W7"/>
    <mergeCell ref="AK39:AM39"/>
    <mergeCell ref="AK1:AM1"/>
    <mergeCell ref="AK2:AM2"/>
    <mergeCell ref="AK3:AM3"/>
    <mergeCell ref="AK5:AM5"/>
    <mergeCell ref="AK7:AL7"/>
    <mergeCell ref="AK24:AM24"/>
    <mergeCell ref="AK25:AL25"/>
    <mergeCell ref="AK29:AM29"/>
    <mergeCell ref="AK30:AL30"/>
    <mergeCell ref="AK34:AL34"/>
    <mergeCell ref="AK37:AL37"/>
    <mergeCell ref="AF1:AH1"/>
    <mergeCell ref="AF2:AH2"/>
    <mergeCell ref="AF3:AH3"/>
    <mergeCell ref="AF5:AH5"/>
    <mergeCell ref="AF7:AG7"/>
    <mergeCell ref="AF15:AH15"/>
    <mergeCell ref="AF16:AG16"/>
    <mergeCell ref="AK41:AL41"/>
    <mergeCell ref="AK71:AL71"/>
    <mergeCell ref="AK82:AL82"/>
    <mergeCell ref="AK84:AL84"/>
    <mergeCell ref="AK87:AL87"/>
    <mergeCell ref="AF58:AG58"/>
    <mergeCell ref="AF61:AG61"/>
    <mergeCell ref="AA72:AB72"/>
    <mergeCell ref="AA75:AB75"/>
    <mergeCell ref="AA62:AB62"/>
    <mergeCell ref="AA70:AB70"/>
    <mergeCell ref="AF20:AH20"/>
    <mergeCell ref="AF21:AG21"/>
    <mergeCell ref="AF25:AG25"/>
    <mergeCell ref="AF28:AG28"/>
    <mergeCell ref="AF30:AH30"/>
    <mergeCell ref="AF32:AG32"/>
    <mergeCell ref="AF49:AG49"/>
    <mergeCell ref="AF56:AG56"/>
    <mergeCell ref="AA1:AC1"/>
    <mergeCell ref="AA2:AC2"/>
    <mergeCell ref="AA3:AC3"/>
    <mergeCell ref="AA5:AC5"/>
    <mergeCell ref="AA7:AB7"/>
    <mergeCell ref="AA23:AC23"/>
    <mergeCell ref="AA24:AB24"/>
    <mergeCell ref="AA30:AC30"/>
    <mergeCell ref="AA31:AB31"/>
    <mergeCell ref="AA35:AB35"/>
    <mergeCell ref="AA38:AB38"/>
    <mergeCell ref="AA40:AC40"/>
    <mergeCell ref="AA42:AB42"/>
    <mergeCell ref="I19:J19"/>
    <mergeCell ref="I22:J22"/>
    <mergeCell ref="I24:K24"/>
    <mergeCell ref="I26:J26"/>
    <mergeCell ref="I39:J39"/>
    <mergeCell ref="I45:J45"/>
    <mergeCell ref="I47:J47"/>
    <mergeCell ref="I50:J50"/>
    <mergeCell ref="I1:K1"/>
    <mergeCell ref="I2:K2"/>
    <mergeCell ref="I3:K3"/>
    <mergeCell ref="I5:K5"/>
    <mergeCell ref="I7:J7"/>
    <mergeCell ref="I10:K10"/>
    <mergeCell ref="I11:J11"/>
    <mergeCell ref="I14:K14"/>
    <mergeCell ref="I15:J15"/>
  </mergeCells>
  <pageMargins left="0.7" right="0.7" top="0.75" bottom="0.75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39"/>
  <sheetViews>
    <sheetView tabSelected="1" zoomScale="96" zoomScaleNormal="96" workbookViewId="0">
      <selection sqref="A1:M1"/>
    </sheetView>
  </sheetViews>
  <sheetFormatPr defaultRowHeight="15" x14ac:dyDescent="0.25"/>
  <cols>
    <col min="1" max="1" width="6" style="110" customWidth="1"/>
    <col min="2" max="2" width="68.42578125" style="110" customWidth="1"/>
    <col min="3" max="13" width="12.5703125" style="110" customWidth="1"/>
    <col min="14" max="14" width="7.85546875" style="110" customWidth="1"/>
    <col min="15" max="15" width="9.140625" style="110"/>
    <col min="16" max="16" width="11.7109375" style="110" customWidth="1"/>
    <col min="17" max="17" width="11.28515625" style="110" customWidth="1"/>
    <col min="18" max="18" width="9.140625" style="110"/>
    <col min="19" max="19" width="11" style="110" customWidth="1"/>
    <col min="20" max="16384" width="9.140625" style="110"/>
  </cols>
  <sheetData>
    <row r="1" spans="1:14" ht="18.75" thickBot="1" x14ac:dyDescent="0.3">
      <c r="A1" s="674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2" spans="1:14" ht="18.75" customHeight="1" x14ac:dyDescent="0.25">
      <c r="A2" s="644" t="s">
        <v>1</v>
      </c>
      <c r="B2" s="645"/>
      <c r="C2" s="638" t="s">
        <v>323</v>
      </c>
      <c r="D2" s="638" t="s">
        <v>562</v>
      </c>
      <c r="E2" s="638" t="s">
        <v>563</v>
      </c>
      <c r="F2" s="638" t="s">
        <v>564</v>
      </c>
      <c r="G2" s="638" t="s">
        <v>565</v>
      </c>
      <c r="H2" s="638" t="s">
        <v>566</v>
      </c>
      <c r="I2" s="638" t="s">
        <v>567</v>
      </c>
      <c r="J2" s="638" t="s">
        <v>605</v>
      </c>
      <c r="K2" s="638" t="s">
        <v>640</v>
      </c>
      <c r="L2" s="638" t="s">
        <v>656</v>
      </c>
      <c r="M2" s="638" t="s">
        <v>677</v>
      </c>
      <c r="N2" s="662" t="s">
        <v>352</v>
      </c>
    </row>
    <row r="3" spans="1:14" ht="15.75" thickBot="1" x14ac:dyDescent="0.3">
      <c r="A3" s="646"/>
      <c r="B3" s="647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63"/>
    </row>
    <row r="4" spans="1:14" ht="15.75" thickBot="1" x14ac:dyDescent="0.3">
      <c r="A4" s="664" t="s">
        <v>2</v>
      </c>
      <c r="B4" s="665"/>
      <c r="C4" s="1">
        <f t="shared" ref="C4:M4" si="0">SUM(C5:C11)</f>
        <v>1151580</v>
      </c>
      <c r="D4" s="1">
        <f t="shared" si="0"/>
        <v>1173580</v>
      </c>
      <c r="E4" s="1">
        <f t="shared" si="0"/>
        <v>1174080</v>
      </c>
      <c r="F4" s="1">
        <f t="shared" si="0"/>
        <v>1175080</v>
      </c>
      <c r="G4" s="1">
        <f t="shared" si="0"/>
        <v>1215080</v>
      </c>
      <c r="H4" s="1">
        <f t="shared" si="0"/>
        <v>1205480</v>
      </c>
      <c r="I4" s="1">
        <f t="shared" si="0"/>
        <v>1201580</v>
      </c>
      <c r="J4" s="1">
        <f t="shared" si="0"/>
        <v>1201580</v>
      </c>
      <c r="K4" s="1">
        <f t="shared" ref="K4:L4" si="1">SUM(K5:K11)</f>
        <v>1201980</v>
      </c>
      <c r="L4" s="1">
        <f t="shared" si="1"/>
        <v>1201980</v>
      </c>
      <c r="M4" s="1">
        <f t="shared" si="0"/>
        <v>1187235.2</v>
      </c>
      <c r="N4" s="466">
        <f>M4/L4</f>
        <v>0.98773290736950692</v>
      </c>
    </row>
    <row r="5" spans="1:14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52">
        <f>1109000+40000</f>
        <v>1149000</v>
      </c>
      <c r="H5" s="452">
        <f>1109000+40000-9600</f>
        <v>1139400</v>
      </c>
      <c r="I5" s="452">
        <f>1109000+40000-9600-5400</f>
        <v>1134000</v>
      </c>
      <c r="J5" s="4">
        <f>1109000+40000-9600-5400</f>
        <v>1134000</v>
      </c>
      <c r="K5" s="4">
        <f>1109000+40000-9600-5400</f>
        <v>1134000</v>
      </c>
      <c r="L5" s="4">
        <f>1109000+40000-9600-5400</f>
        <v>1134000</v>
      </c>
      <c r="M5" s="4">
        <v>1127294</v>
      </c>
      <c r="N5" s="466">
        <f t="shared" ref="N5:N68" si="2">M5/L5</f>
        <v>0.99408641975308643</v>
      </c>
    </row>
    <row r="6" spans="1:14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34680</v>
      </c>
      <c r="H6" s="101">
        <v>34680</v>
      </c>
      <c r="I6" s="101">
        <v>34680</v>
      </c>
      <c r="J6" s="101">
        <v>34680</v>
      </c>
      <c r="K6" s="101">
        <v>34680</v>
      </c>
      <c r="L6" s="101">
        <v>34680</v>
      </c>
      <c r="M6" s="101">
        <v>32335</v>
      </c>
      <c r="N6" s="466">
        <f t="shared" si="2"/>
        <v>0.9323817762399077</v>
      </c>
    </row>
    <row r="7" spans="1:14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  <c r="H7" s="7">
        <v>1000</v>
      </c>
      <c r="I7" s="7">
        <v>1000</v>
      </c>
      <c r="J7" s="7">
        <v>1000</v>
      </c>
      <c r="K7" s="7">
        <v>1000</v>
      </c>
      <c r="L7" s="7">
        <v>1000</v>
      </c>
      <c r="M7" s="7">
        <v>837</v>
      </c>
      <c r="N7" s="466">
        <f t="shared" si="2"/>
        <v>0.83699999999999997</v>
      </c>
    </row>
    <row r="8" spans="1:14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 t="shared" ref="E8:L8" si="3">400+500</f>
        <v>900</v>
      </c>
      <c r="F8" s="9">
        <f t="shared" si="3"/>
        <v>900</v>
      </c>
      <c r="G8" s="9">
        <f t="shared" si="3"/>
        <v>900</v>
      </c>
      <c r="H8" s="9">
        <f t="shared" si="3"/>
        <v>900</v>
      </c>
      <c r="I8" s="9">
        <f t="shared" si="3"/>
        <v>900</v>
      </c>
      <c r="J8" s="9">
        <f t="shared" si="3"/>
        <v>900</v>
      </c>
      <c r="K8" s="9">
        <f t="shared" si="3"/>
        <v>900</v>
      </c>
      <c r="L8" s="9">
        <f t="shared" si="3"/>
        <v>900</v>
      </c>
      <c r="M8" s="8">
        <v>520</v>
      </c>
      <c r="N8" s="466">
        <f t="shared" si="2"/>
        <v>0.57777777777777772</v>
      </c>
    </row>
    <row r="9" spans="1:14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1500</v>
      </c>
      <c r="H9" s="8">
        <v>1500</v>
      </c>
      <c r="I9" s="459">
        <f>1500+1500</f>
        <v>3000</v>
      </c>
      <c r="J9" s="8">
        <f>1500+1500</f>
        <v>3000</v>
      </c>
      <c r="K9" s="8">
        <f>1500+1500</f>
        <v>3000</v>
      </c>
      <c r="L9" s="8">
        <f>1500+1500</f>
        <v>3000</v>
      </c>
      <c r="M9" s="8">
        <v>2465.1999999999998</v>
      </c>
      <c r="N9" s="466">
        <f t="shared" si="2"/>
        <v>0.82173333333333332</v>
      </c>
    </row>
    <row r="10" spans="1:14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 t="shared" ref="F10:J10" si="4">4000+1000</f>
        <v>5000</v>
      </c>
      <c r="G10" s="9">
        <f t="shared" si="4"/>
        <v>5000</v>
      </c>
      <c r="H10" s="9">
        <f t="shared" si="4"/>
        <v>5000</v>
      </c>
      <c r="I10" s="9">
        <f t="shared" si="4"/>
        <v>5000</v>
      </c>
      <c r="J10" s="9">
        <f t="shared" si="4"/>
        <v>5000</v>
      </c>
      <c r="K10" s="459">
        <f>4000+1000+400</f>
        <v>5400</v>
      </c>
      <c r="L10" s="9">
        <f>4000+1000+400</f>
        <v>5400</v>
      </c>
      <c r="M10" s="8">
        <v>5114</v>
      </c>
      <c r="N10" s="466">
        <f t="shared" si="2"/>
        <v>0.94703703703703701</v>
      </c>
    </row>
    <row r="11" spans="1:14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23000</v>
      </c>
      <c r="H11" s="337">
        <v>23000</v>
      </c>
      <c r="I11" s="337">
        <v>23000</v>
      </c>
      <c r="J11" s="337">
        <v>23000</v>
      </c>
      <c r="K11" s="337">
        <v>23000</v>
      </c>
      <c r="L11" s="337">
        <v>23000</v>
      </c>
      <c r="M11" s="337">
        <v>18670</v>
      </c>
      <c r="N11" s="466">
        <f t="shared" si="2"/>
        <v>0.81173913043478263</v>
      </c>
    </row>
    <row r="12" spans="1:14" ht="15.75" thickBot="1" x14ac:dyDescent="0.3">
      <c r="A12" s="664" t="s">
        <v>10</v>
      </c>
      <c r="B12" s="665"/>
      <c r="C12" s="1">
        <f t="shared" ref="C12:M12" si="5">SUM(C13:C32)</f>
        <v>218240</v>
      </c>
      <c r="D12" s="1">
        <f t="shared" si="5"/>
        <v>217115</v>
      </c>
      <c r="E12" s="1">
        <f t="shared" si="5"/>
        <v>217115</v>
      </c>
      <c r="F12" s="1">
        <f t="shared" si="5"/>
        <v>219115</v>
      </c>
      <c r="G12" s="1">
        <f t="shared" si="5"/>
        <v>219115</v>
      </c>
      <c r="H12" s="1">
        <f t="shared" si="5"/>
        <v>215315</v>
      </c>
      <c r="I12" s="1">
        <f t="shared" si="5"/>
        <v>215315</v>
      </c>
      <c r="J12" s="1">
        <f t="shared" ref="J12:L12" si="6">SUM(J13:J32)</f>
        <v>215315</v>
      </c>
      <c r="K12" s="1">
        <f t="shared" si="6"/>
        <v>214915</v>
      </c>
      <c r="L12" s="1">
        <f t="shared" si="6"/>
        <v>217298</v>
      </c>
      <c r="M12" s="1">
        <f t="shared" si="5"/>
        <v>202091</v>
      </c>
      <c r="N12" s="466">
        <f t="shared" si="2"/>
        <v>0.93001776362414745</v>
      </c>
    </row>
    <row r="13" spans="1:14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 t="shared" ref="E13:H13" si="7">1967+140</f>
        <v>2107</v>
      </c>
      <c r="F13" s="270">
        <f t="shared" si="7"/>
        <v>2107</v>
      </c>
      <c r="G13" s="270">
        <f t="shared" si="7"/>
        <v>2107</v>
      </c>
      <c r="H13" s="270">
        <f t="shared" si="7"/>
        <v>2107</v>
      </c>
      <c r="I13" s="504">
        <f>1967+140+40</f>
        <v>2147</v>
      </c>
      <c r="J13" s="270">
        <f>1967+140+40</f>
        <v>2147</v>
      </c>
      <c r="K13" s="270">
        <f>1967+140+40</f>
        <v>2147</v>
      </c>
      <c r="L13" s="270">
        <f>1967+140+40</f>
        <v>2147</v>
      </c>
      <c r="M13" s="270">
        <v>2105</v>
      </c>
      <c r="N13" s="466">
        <f t="shared" si="2"/>
        <v>0.98043782021425241</v>
      </c>
    </row>
    <row r="14" spans="1:14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7300</v>
      </c>
      <c r="H14" s="216">
        <v>7300</v>
      </c>
      <c r="I14" s="216">
        <v>7300</v>
      </c>
      <c r="J14" s="216">
        <v>7300</v>
      </c>
      <c r="K14" s="216">
        <v>7300</v>
      </c>
      <c r="L14" s="463">
        <f>7300+400</f>
        <v>7700</v>
      </c>
      <c r="M14" s="216">
        <v>7680</v>
      </c>
      <c r="N14" s="466">
        <f t="shared" si="2"/>
        <v>0.9974025974025974</v>
      </c>
    </row>
    <row r="15" spans="1:14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 t="shared" ref="E15:L15" si="8">3910-140</f>
        <v>3770</v>
      </c>
      <c r="F15" s="170">
        <f t="shared" si="8"/>
        <v>3770</v>
      </c>
      <c r="G15" s="170">
        <f t="shared" si="8"/>
        <v>3770</v>
      </c>
      <c r="H15" s="170">
        <f t="shared" si="8"/>
        <v>3770</v>
      </c>
      <c r="I15" s="170">
        <f t="shared" si="8"/>
        <v>3770</v>
      </c>
      <c r="J15" s="170">
        <f t="shared" si="8"/>
        <v>3770</v>
      </c>
      <c r="K15" s="170">
        <f t="shared" si="8"/>
        <v>3770</v>
      </c>
      <c r="L15" s="170">
        <f t="shared" si="8"/>
        <v>3770</v>
      </c>
      <c r="M15" s="170">
        <v>3649</v>
      </c>
      <c r="N15" s="466">
        <f t="shared" si="2"/>
        <v>0.96790450928381966</v>
      </c>
    </row>
    <row r="16" spans="1:14" x14ac:dyDescent="0.25">
      <c r="A16" s="115">
        <v>212</v>
      </c>
      <c r="B16" s="116" t="s">
        <v>14</v>
      </c>
      <c r="C16" s="9">
        <v>18763</v>
      </c>
      <c r="D16" s="459">
        <f t="shared" ref="D16:H16" si="9">18763+500+375</f>
        <v>19638</v>
      </c>
      <c r="E16" s="9">
        <f t="shared" si="9"/>
        <v>19638</v>
      </c>
      <c r="F16" s="9">
        <f t="shared" si="9"/>
        <v>19638</v>
      </c>
      <c r="G16" s="9">
        <f t="shared" si="9"/>
        <v>19638</v>
      </c>
      <c r="H16" s="9">
        <f t="shared" si="9"/>
        <v>19638</v>
      </c>
      <c r="I16" s="459">
        <f>18763+500+375-40</f>
        <v>19598</v>
      </c>
      <c r="J16" s="9">
        <f>18763+500+375-40</f>
        <v>19598</v>
      </c>
      <c r="K16" s="9">
        <f>18763+500+375-40</f>
        <v>19598</v>
      </c>
      <c r="L16" s="459">
        <f>18763+500+375-40-400-117</f>
        <v>19081</v>
      </c>
      <c r="M16" s="9">
        <v>17433</v>
      </c>
      <c r="N16" s="466">
        <f t="shared" si="2"/>
        <v>0.91363136103977782</v>
      </c>
    </row>
    <row r="17" spans="1:25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 t="shared" ref="F17:L17" si="10">400+1000</f>
        <v>1400</v>
      </c>
      <c r="G17" s="219">
        <f t="shared" si="10"/>
        <v>1400</v>
      </c>
      <c r="H17" s="219">
        <f t="shared" si="10"/>
        <v>1400</v>
      </c>
      <c r="I17" s="219">
        <f t="shared" si="10"/>
        <v>1400</v>
      </c>
      <c r="J17" s="219">
        <f t="shared" si="10"/>
        <v>1400</v>
      </c>
      <c r="K17" s="219">
        <f t="shared" si="10"/>
        <v>1400</v>
      </c>
      <c r="L17" s="219">
        <f t="shared" si="10"/>
        <v>1400</v>
      </c>
      <c r="M17" s="219">
        <v>1280</v>
      </c>
      <c r="N17" s="466">
        <f t="shared" si="2"/>
        <v>0.91428571428571426</v>
      </c>
      <c r="O17" s="123">
        <f t="shared" ref="O17:T17" si="11">SUM(C13:C17)</f>
        <v>32340</v>
      </c>
      <c r="P17" s="123">
        <f t="shared" si="11"/>
        <v>33215</v>
      </c>
      <c r="Q17" s="123">
        <f t="shared" si="11"/>
        <v>33215</v>
      </c>
      <c r="R17" s="123">
        <f t="shared" si="11"/>
        <v>34215</v>
      </c>
      <c r="S17" s="123">
        <f t="shared" si="11"/>
        <v>34215</v>
      </c>
      <c r="T17" s="123">
        <f t="shared" si="11"/>
        <v>34215</v>
      </c>
      <c r="U17" s="123">
        <f t="shared" ref="U17" si="12">SUM(I13:I17)</f>
        <v>34215</v>
      </c>
      <c r="V17" s="123">
        <f t="shared" ref="V17" si="13">SUM(J13:J17)</f>
        <v>34215</v>
      </c>
      <c r="W17" s="123">
        <f t="shared" ref="W17" si="14">SUM(K13:K17)</f>
        <v>34215</v>
      </c>
      <c r="X17" s="123">
        <f t="shared" ref="X17:Y17" si="15">SUM(L13:L17)</f>
        <v>34098</v>
      </c>
      <c r="Y17" s="123">
        <f t="shared" si="15"/>
        <v>32147</v>
      </c>
    </row>
    <row r="18" spans="1:25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5000</v>
      </c>
      <c r="H18" s="220">
        <v>5000</v>
      </c>
      <c r="I18" s="220">
        <v>5000</v>
      </c>
      <c r="J18" s="220">
        <v>5000</v>
      </c>
      <c r="K18" s="601">
        <f>5000+300</f>
        <v>5300</v>
      </c>
      <c r="L18" s="220">
        <f>5000+300</f>
        <v>5300</v>
      </c>
      <c r="M18" s="220">
        <v>5069</v>
      </c>
      <c r="N18" s="466">
        <f t="shared" si="2"/>
        <v>0.95641509433962268</v>
      </c>
    </row>
    <row r="19" spans="1:25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555">
        <v>400</v>
      </c>
      <c r="I19" s="219">
        <v>400</v>
      </c>
      <c r="J19" s="219">
        <v>400</v>
      </c>
      <c r="K19" s="219">
        <v>400</v>
      </c>
      <c r="L19" s="219">
        <v>400</v>
      </c>
      <c r="M19" s="219">
        <v>400</v>
      </c>
      <c r="N19" s="466">
        <f t="shared" si="2"/>
        <v>1</v>
      </c>
    </row>
    <row r="20" spans="1:25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900</v>
      </c>
      <c r="H20" s="216">
        <v>900</v>
      </c>
      <c r="I20" s="216">
        <v>900</v>
      </c>
      <c r="J20" s="216">
        <v>900</v>
      </c>
      <c r="K20" s="216">
        <v>900</v>
      </c>
      <c r="L20" s="216">
        <v>900</v>
      </c>
      <c r="M20" s="216">
        <v>503</v>
      </c>
      <c r="N20" s="466">
        <f t="shared" si="2"/>
        <v>0.55888888888888888</v>
      </c>
    </row>
    <row r="21" spans="1:25" x14ac:dyDescent="0.25">
      <c r="A21" s="115">
        <v>223</v>
      </c>
      <c r="B21" s="116" t="s">
        <v>19</v>
      </c>
      <c r="C21" s="9">
        <v>20000</v>
      </c>
      <c r="D21" s="459">
        <f t="shared" ref="D21:L21" si="16">20000-2000</f>
        <v>18000</v>
      </c>
      <c r="E21" s="9">
        <f t="shared" si="16"/>
        <v>18000</v>
      </c>
      <c r="F21" s="9">
        <f t="shared" si="16"/>
        <v>18000</v>
      </c>
      <c r="G21" s="9">
        <f t="shared" si="16"/>
        <v>18000</v>
      </c>
      <c r="H21" s="9">
        <f t="shared" si="16"/>
        <v>18000</v>
      </c>
      <c r="I21" s="9">
        <f t="shared" si="16"/>
        <v>18000</v>
      </c>
      <c r="J21" s="9">
        <f t="shared" si="16"/>
        <v>18000</v>
      </c>
      <c r="K21" s="9">
        <f t="shared" si="16"/>
        <v>18000</v>
      </c>
      <c r="L21" s="9">
        <f t="shared" si="16"/>
        <v>18000</v>
      </c>
      <c r="M21" s="9">
        <v>15427</v>
      </c>
      <c r="N21" s="466">
        <f t="shared" si="2"/>
        <v>0.85705555555555557</v>
      </c>
    </row>
    <row r="22" spans="1:25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500</v>
      </c>
      <c r="H22" s="9">
        <v>500</v>
      </c>
      <c r="I22" s="9">
        <v>500</v>
      </c>
      <c r="J22" s="9">
        <v>500</v>
      </c>
      <c r="K22" s="9">
        <v>500</v>
      </c>
      <c r="L22" s="9">
        <v>500</v>
      </c>
      <c r="M22" s="9">
        <v>0</v>
      </c>
      <c r="N22" s="466">
        <f t="shared" si="2"/>
        <v>0</v>
      </c>
    </row>
    <row r="23" spans="1:25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f>33000+1000</f>
        <v>34000</v>
      </c>
      <c r="H23" s="9">
        <f>33000+1000</f>
        <v>34000</v>
      </c>
      <c r="I23" s="9">
        <f>33000+1000</f>
        <v>34000</v>
      </c>
      <c r="J23" s="9">
        <f>33000+1000</f>
        <v>34000</v>
      </c>
      <c r="K23" s="459">
        <f>33000+1000-1000</f>
        <v>33000</v>
      </c>
      <c r="L23" s="9">
        <f>33000+1000-1000</f>
        <v>33000</v>
      </c>
      <c r="M23" s="9">
        <v>31823</v>
      </c>
      <c r="N23" s="466">
        <f t="shared" si="2"/>
        <v>0.96433333333333338</v>
      </c>
    </row>
    <row r="24" spans="1:25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1000</v>
      </c>
      <c r="H24" s="9">
        <v>1000</v>
      </c>
      <c r="I24" s="9">
        <v>1000</v>
      </c>
      <c r="J24" s="9">
        <v>1000</v>
      </c>
      <c r="K24" s="9">
        <v>1000</v>
      </c>
      <c r="L24" s="9">
        <v>1000</v>
      </c>
      <c r="M24" s="9">
        <v>255</v>
      </c>
      <c r="N24" s="466">
        <f t="shared" si="2"/>
        <v>0.255</v>
      </c>
    </row>
    <row r="25" spans="1:25" x14ac:dyDescent="0.25">
      <c r="A25" s="115">
        <v>223</v>
      </c>
      <c r="B25" s="116" t="s">
        <v>21</v>
      </c>
      <c r="C25" s="9">
        <v>700</v>
      </c>
      <c r="D25" s="9">
        <v>700</v>
      </c>
      <c r="E25" s="9">
        <v>700</v>
      </c>
      <c r="F25" s="9">
        <v>700</v>
      </c>
      <c r="G25" s="9">
        <v>700</v>
      </c>
      <c r="H25" s="9">
        <v>700</v>
      </c>
      <c r="I25" s="9">
        <v>700</v>
      </c>
      <c r="J25" s="9">
        <v>700</v>
      </c>
      <c r="K25" s="459">
        <f>700+300</f>
        <v>1000</v>
      </c>
      <c r="L25" s="9">
        <f>700+300</f>
        <v>1000</v>
      </c>
      <c r="M25" s="9">
        <v>913</v>
      </c>
      <c r="N25" s="466">
        <f t="shared" si="2"/>
        <v>0.91300000000000003</v>
      </c>
    </row>
    <row r="26" spans="1:25" x14ac:dyDescent="0.25">
      <c r="A26" s="115">
        <v>223</v>
      </c>
      <c r="B26" s="116" t="s">
        <v>22</v>
      </c>
      <c r="C26" s="9">
        <f t="shared" ref="C26:L26" si="17">31000+2000</f>
        <v>33000</v>
      </c>
      <c r="D26" s="9">
        <f t="shared" si="17"/>
        <v>33000</v>
      </c>
      <c r="E26" s="9">
        <f t="shared" si="17"/>
        <v>33000</v>
      </c>
      <c r="F26" s="9">
        <f t="shared" si="17"/>
        <v>33000</v>
      </c>
      <c r="G26" s="9">
        <f t="shared" si="17"/>
        <v>33000</v>
      </c>
      <c r="H26" s="9">
        <f t="shared" si="17"/>
        <v>33000</v>
      </c>
      <c r="I26" s="9">
        <f t="shared" si="17"/>
        <v>33000</v>
      </c>
      <c r="J26" s="9">
        <f t="shared" si="17"/>
        <v>33000</v>
      </c>
      <c r="K26" s="9">
        <f t="shared" si="17"/>
        <v>33000</v>
      </c>
      <c r="L26" s="9">
        <f t="shared" si="17"/>
        <v>33000</v>
      </c>
      <c r="M26" s="9">
        <v>30304</v>
      </c>
      <c r="N26" s="466">
        <f t="shared" si="2"/>
        <v>0.91830303030303029</v>
      </c>
    </row>
    <row r="27" spans="1:25" x14ac:dyDescent="0.25">
      <c r="A27" s="115">
        <v>223</v>
      </c>
      <c r="B27" s="116" t="s">
        <v>23</v>
      </c>
      <c r="C27" s="9">
        <v>21460</v>
      </c>
      <c r="D27" s="9">
        <v>21460</v>
      </c>
      <c r="E27" s="9">
        <v>21460</v>
      </c>
      <c r="F27" s="9">
        <v>21460</v>
      </c>
      <c r="G27" s="9">
        <v>21460</v>
      </c>
      <c r="H27" s="9">
        <v>21460</v>
      </c>
      <c r="I27" s="9">
        <v>21460</v>
      </c>
      <c r="J27" s="9">
        <v>21460</v>
      </c>
      <c r="K27" s="9">
        <v>21460</v>
      </c>
      <c r="L27" s="9">
        <v>21460</v>
      </c>
      <c r="M27" s="9">
        <v>17085</v>
      </c>
      <c r="N27" s="466">
        <f t="shared" si="2"/>
        <v>0.79613233923578752</v>
      </c>
    </row>
    <row r="28" spans="1:25" x14ac:dyDescent="0.25">
      <c r="A28" s="115">
        <v>223</v>
      </c>
      <c r="B28" s="116" t="s">
        <v>24</v>
      </c>
      <c r="C28" s="9">
        <v>18000</v>
      </c>
      <c r="D28" s="9">
        <v>18000</v>
      </c>
      <c r="E28" s="9">
        <v>18000</v>
      </c>
      <c r="F28" s="9">
        <v>18000</v>
      </c>
      <c r="G28" s="9">
        <v>18000</v>
      </c>
      <c r="H28" s="459">
        <f>18000+9600</f>
        <v>27600</v>
      </c>
      <c r="I28" s="459">
        <f>18000+9600-1000</f>
        <v>26600</v>
      </c>
      <c r="J28" s="9">
        <f>18000+9600-1000</f>
        <v>26600</v>
      </c>
      <c r="K28" s="9">
        <f>18000+9600-1000</f>
        <v>26600</v>
      </c>
      <c r="L28" s="459">
        <f>18000+9600-1000-1800</f>
        <v>24800</v>
      </c>
      <c r="M28" s="9">
        <v>24783</v>
      </c>
      <c r="N28" s="466">
        <f t="shared" si="2"/>
        <v>0.99931451612903222</v>
      </c>
    </row>
    <row r="29" spans="1:25" x14ac:dyDescent="0.25">
      <c r="A29" s="115">
        <v>223</v>
      </c>
      <c r="B29" s="116" t="s">
        <v>222</v>
      </c>
      <c r="C29" s="9">
        <v>240</v>
      </c>
      <c r="D29" s="9">
        <v>240</v>
      </c>
      <c r="E29" s="9">
        <v>240</v>
      </c>
      <c r="F29" s="9">
        <v>240</v>
      </c>
      <c r="G29" s="9">
        <v>240</v>
      </c>
      <c r="H29" s="9">
        <v>240</v>
      </c>
      <c r="I29" s="9">
        <v>240</v>
      </c>
      <c r="J29" s="9">
        <v>240</v>
      </c>
      <c r="K29" s="9">
        <v>240</v>
      </c>
      <c r="L29" s="9">
        <v>240</v>
      </c>
      <c r="M29" s="9">
        <v>43</v>
      </c>
      <c r="N29" s="466">
        <f t="shared" si="2"/>
        <v>0.17916666666666667</v>
      </c>
    </row>
    <row r="30" spans="1:25" x14ac:dyDescent="0.25">
      <c r="A30" s="115">
        <v>223</v>
      </c>
      <c r="B30" s="116" t="s">
        <v>25</v>
      </c>
      <c r="C30" s="9">
        <v>2000</v>
      </c>
      <c r="D30" s="9">
        <v>2000</v>
      </c>
      <c r="E30" s="9">
        <v>2000</v>
      </c>
      <c r="F30" s="9">
        <v>2000</v>
      </c>
      <c r="G30" s="9">
        <v>2000</v>
      </c>
      <c r="H30" s="459">
        <f>2000+200</f>
        <v>2200</v>
      </c>
      <c r="I30" s="9">
        <f>2000+200</f>
        <v>2200</v>
      </c>
      <c r="J30" s="9">
        <f>2000+200</f>
        <v>2200</v>
      </c>
      <c r="K30" s="9">
        <f>2000+200</f>
        <v>2200</v>
      </c>
      <c r="L30" s="9">
        <f>2000+200</f>
        <v>2200</v>
      </c>
      <c r="M30" s="9">
        <v>2057</v>
      </c>
      <c r="N30" s="466">
        <f t="shared" si="2"/>
        <v>0.93500000000000005</v>
      </c>
    </row>
    <row r="31" spans="1:25" x14ac:dyDescent="0.25">
      <c r="A31" s="164">
        <v>223</v>
      </c>
      <c r="B31" s="165" t="s">
        <v>187</v>
      </c>
      <c r="C31" s="271">
        <v>50000</v>
      </c>
      <c r="D31" s="271">
        <v>50000</v>
      </c>
      <c r="E31" s="271">
        <v>50000</v>
      </c>
      <c r="F31" s="271">
        <v>50000</v>
      </c>
      <c r="G31" s="271">
        <v>50000</v>
      </c>
      <c r="H31" s="567">
        <f>50000-14000</f>
        <v>36000</v>
      </c>
      <c r="I31" s="567">
        <f>50000-14000+1000</f>
        <v>37000</v>
      </c>
      <c r="J31" s="271">
        <f>50000-14000+1000</f>
        <v>37000</v>
      </c>
      <c r="K31" s="271">
        <f>50000-14000+1000</f>
        <v>37000</v>
      </c>
      <c r="L31" s="567">
        <f>50000-14000+1000+4300</f>
        <v>41300</v>
      </c>
      <c r="M31" s="271">
        <v>41282</v>
      </c>
      <c r="N31" s="466">
        <f t="shared" si="2"/>
        <v>0.9995641646489104</v>
      </c>
      <c r="O31" s="123">
        <f t="shared" ref="O31" si="18">SUM(C20:C32)</f>
        <v>180900</v>
      </c>
      <c r="P31" s="123">
        <f t="shared" ref="P31" si="19">SUM(D20:D32)</f>
        <v>178900</v>
      </c>
      <c r="Q31" s="123">
        <f t="shared" ref="Q31" si="20">SUM(E20:E32)</f>
        <v>178900</v>
      </c>
      <c r="R31" s="123">
        <f t="shared" ref="R31" si="21">SUM(F20:F32)</f>
        <v>179900</v>
      </c>
      <c r="S31" s="123">
        <f t="shared" ref="S31" si="22">SUM(G20:G32)</f>
        <v>179900</v>
      </c>
      <c r="T31" s="123">
        <f t="shared" ref="T31" si="23">SUM(H20:H32)</f>
        <v>175700</v>
      </c>
      <c r="U31" s="123">
        <f t="shared" ref="U31" si="24">SUM(I20:I32)</f>
        <v>175700</v>
      </c>
      <c r="V31" s="123">
        <f t="shared" ref="V31" si="25">SUM(J20:J32)</f>
        <v>175700</v>
      </c>
      <c r="W31" s="123">
        <f t="shared" ref="W31" si="26">SUM(K20:K32)</f>
        <v>175000</v>
      </c>
      <c r="X31" s="123">
        <f t="shared" ref="X31:Y31" si="27">SUM(L20:L32)</f>
        <v>177500</v>
      </c>
      <c r="Y31" s="123">
        <f t="shared" si="27"/>
        <v>164475</v>
      </c>
    </row>
    <row r="32" spans="1:25" ht="15.75" thickBot="1" x14ac:dyDescent="0.3">
      <c r="A32" s="117">
        <v>223</v>
      </c>
      <c r="B32" s="118" t="s">
        <v>26</v>
      </c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0</v>
      </c>
      <c r="N32" s="466">
        <f t="shared" si="2"/>
        <v>0</v>
      </c>
      <c r="O32" s="123">
        <f t="shared" ref="O32" si="28">SUM(C18:C32)</f>
        <v>185900</v>
      </c>
      <c r="P32" s="123">
        <f t="shared" ref="P32" si="29">SUM(D18:D32)</f>
        <v>183900</v>
      </c>
      <c r="Q32" s="123">
        <f t="shared" ref="Q32" si="30">SUM(E18:E32)</f>
        <v>183900</v>
      </c>
      <c r="R32" s="123">
        <f t="shared" ref="R32" si="31">SUM(F18:F32)</f>
        <v>184900</v>
      </c>
      <c r="S32" s="123">
        <f t="shared" ref="S32" si="32">SUM(G18:G32)</f>
        <v>184900</v>
      </c>
      <c r="T32" s="123">
        <f t="shared" ref="T32" si="33">SUM(H18:H32)</f>
        <v>181100</v>
      </c>
      <c r="U32" s="123">
        <f t="shared" ref="U32" si="34">SUM(I18:I32)</f>
        <v>181100</v>
      </c>
      <c r="V32" s="123">
        <f t="shared" ref="V32" si="35">SUM(J18:J32)</f>
        <v>181100</v>
      </c>
      <c r="W32" s="123">
        <f t="shared" ref="W32" si="36">SUM(K18:K32)</f>
        <v>180700</v>
      </c>
      <c r="X32" s="123">
        <f t="shared" ref="X32:Y32" si="37">SUM(L18:L32)</f>
        <v>183200</v>
      </c>
      <c r="Y32" s="123">
        <f t="shared" si="37"/>
        <v>169944</v>
      </c>
    </row>
    <row r="33" spans="1:22" ht="15.75" thickBot="1" x14ac:dyDescent="0.3">
      <c r="A33" s="599" t="s">
        <v>27</v>
      </c>
      <c r="B33" s="600"/>
      <c r="C33" s="1">
        <f t="shared" ref="C33:M33" si="38">SUM(C34)</f>
        <v>400</v>
      </c>
      <c r="D33" s="1">
        <f t="shared" si="38"/>
        <v>400</v>
      </c>
      <c r="E33" s="1">
        <f t="shared" si="38"/>
        <v>400</v>
      </c>
      <c r="F33" s="1">
        <f t="shared" si="38"/>
        <v>400</v>
      </c>
      <c r="G33" s="1">
        <f t="shared" si="38"/>
        <v>400</v>
      </c>
      <c r="H33" s="1">
        <f t="shared" si="38"/>
        <v>400</v>
      </c>
      <c r="I33" s="1">
        <f t="shared" si="38"/>
        <v>400</v>
      </c>
      <c r="J33" s="1">
        <f t="shared" si="38"/>
        <v>400</v>
      </c>
      <c r="K33" s="1">
        <f t="shared" si="38"/>
        <v>400</v>
      </c>
      <c r="L33" s="1">
        <f t="shared" si="38"/>
        <v>400</v>
      </c>
      <c r="M33" s="1">
        <f t="shared" si="38"/>
        <v>396</v>
      </c>
      <c r="N33" s="466">
        <f t="shared" si="2"/>
        <v>0.99</v>
      </c>
      <c r="O33" s="123"/>
      <c r="P33" s="123"/>
      <c r="Q33" s="123"/>
      <c r="R33" s="123"/>
      <c r="S33" s="123"/>
      <c r="T33" s="123"/>
      <c r="U33" s="123"/>
      <c r="V33" s="123"/>
    </row>
    <row r="34" spans="1:22" ht="15.75" thickBot="1" x14ac:dyDescent="0.3">
      <c r="A34" s="124">
        <v>240</v>
      </c>
      <c r="B34" s="125" t="s">
        <v>28</v>
      </c>
      <c r="C34" s="10">
        <v>400</v>
      </c>
      <c r="D34" s="10">
        <v>400</v>
      </c>
      <c r="E34" s="10">
        <v>400</v>
      </c>
      <c r="F34" s="10">
        <v>400</v>
      </c>
      <c r="G34" s="10">
        <v>400</v>
      </c>
      <c r="H34" s="10">
        <v>400</v>
      </c>
      <c r="I34" s="10">
        <v>400</v>
      </c>
      <c r="J34" s="10">
        <v>400</v>
      </c>
      <c r="K34" s="10">
        <v>400</v>
      </c>
      <c r="L34" s="10">
        <v>400</v>
      </c>
      <c r="M34" s="10">
        <v>396</v>
      </c>
      <c r="N34" s="466">
        <f t="shared" si="2"/>
        <v>0.99</v>
      </c>
    </row>
    <row r="35" spans="1:22" ht="15.75" thickBot="1" x14ac:dyDescent="0.3">
      <c r="A35" s="599" t="s">
        <v>29</v>
      </c>
      <c r="B35" s="600"/>
      <c r="C35" s="1">
        <f t="shared" ref="C35:M35" si="39">SUM(C36:C42)</f>
        <v>28250</v>
      </c>
      <c r="D35" s="1">
        <f t="shared" si="39"/>
        <v>31212</v>
      </c>
      <c r="E35" s="1">
        <f t="shared" si="39"/>
        <v>31212</v>
      </c>
      <c r="F35" s="1">
        <f t="shared" si="39"/>
        <v>34212</v>
      </c>
      <c r="G35" s="1">
        <f t="shared" si="39"/>
        <v>35212</v>
      </c>
      <c r="H35" s="1">
        <f t="shared" si="39"/>
        <v>35212</v>
      </c>
      <c r="I35" s="1">
        <f t="shared" si="39"/>
        <v>39912</v>
      </c>
      <c r="J35" s="1">
        <f t="shared" si="39"/>
        <v>39912</v>
      </c>
      <c r="K35" s="1">
        <f t="shared" si="39"/>
        <v>40912</v>
      </c>
      <c r="L35" s="1">
        <f t="shared" si="39"/>
        <v>40912</v>
      </c>
      <c r="M35" s="1">
        <f t="shared" si="39"/>
        <v>24990</v>
      </c>
      <c r="N35" s="466">
        <f t="shared" si="2"/>
        <v>0.61082323034806418</v>
      </c>
    </row>
    <row r="36" spans="1:22" x14ac:dyDescent="0.25">
      <c r="A36" s="13">
        <v>292</v>
      </c>
      <c r="B36" s="14" t="s">
        <v>30</v>
      </c>
      <c r="C36" s="15">
        <v>0</v>
      </c>
      <c r="D36" s="15">
        <v>0</v>
      </c>
      <c r="E36" s="15">
        <v>0</v>
      </c>
      <c r="F36" s="15">
        <v>0</v>
      </c>
      <c r="G36" s="482">
        <v>1000</v>
      </c>
      <c r="H36" s="15">
        <v>1000</v>
      </c>
      <c r="I36" s="15">
        <v>1000</v>
      </c>
      <c r="J36" s="15">
        <v>1000</v>
      </c>
      <c r="K36" s="15">
        <v>1000</v>
      </c>
      <c r="L36" s="15">
        <v>1000</v>
      </c>
      <c r="M36" s="15">
        <v>0</v>
      </c>
      <c r="N36" s="466">
        <f t="shared" si="2"/>
        <v>0</v>
      </c>
    </row>
    <row r="37" spans="1:22" x14ac:dyDescent="0.25">
      <c r="A37" s="13">
        <v>292</v>
      </c>
      <c r="B37" s="14" t="s">
        <v>31</v>
      </c>
      <c r="C37" s="15">
        <v>400</v>
      </c>
      <c r="D37" s="15">
        <v>400</v>
      </c>
      <c r="E37" s="15">
        <v>400</v>
      </c>
      <c r="F37" s="15">
        <v>400</v>
      </c>
      <c r="G37" s="15">
        <v>400</v>
      </c>
      <c r="H37" s="15">
        <v>400</v>
      </c>
      <c r="I37" s="15">
        <v>400</v>
      </c>
      <c r="J37" s="15">
        <v>400</v>
      </c>
      <c r="K37" s="15">
        <v>400</v>
      </c>
      <c r="L37" s="15">
        <v>400</v>
      </c>
      <c r="M37" s="15">
        <v>241</v>
      </c>
      <c r="N37" s="466">
        <f t="shared" si="2"/>
        <v>0.60250000000000004</v>
      </c>
    </row>
    <row r="38" spans="1:22" x14ac:dyDescent="0.25">
      <c r="A38" s="16">
        <v>292</v>
      </c>
      <c r="B38" s="17" t="s">
        <v>176</v>
      </c>
      <c r="C38" s="168">
        <v>0</v>
      </c>
      <c r="D38" s="465">
        <v>2950</v>
      </c>
      <c r="E38" s="168">
        <v>2950</v>
      </c>
      <c r="F38" s="168">
        <v>2950</v>
      </c>
      <c r="G38" s="168">
        <v>2950</v>
      </c>
      <c r="H38" s="168">
        <v>2950</v>
      </c>
      <c r="I38" s="168">
        <v>2950</v>
      </c>
      <c r="J38" s="168">
        <v>2950</v>
      </c>
      <c r="K38" s="168">
        <v>2950</v>
      </c>
      <c r="L38" s="168">
        <v>2950</v>
      </c>
      <c r="M38" s="168">
        <v>2949</v>
      </c>
      <c r="N38" s="466">
        <f t="shared" si="2"/>
        <v>0.99966101694915255</v>
      </c>
    </row>
    <row r="39" spans="1:22" x14ac:dyDescent="0.25">
      <c r="A39" s="16">
        <v>292</v>
      </c>
      <c r="B39" s="17" t="s">
        <v>177</v>
      </c>
      <c r="C39" s="18">
        <v>10000</v>
      </c>
      <c r="D39" s="18">
        <v>10000</v>
      </c>
      <c r="E39" s="18">
        <v>10000</v>
      </c>
      <c r="F39" s="18">
        <v>10000</v>
      </c>
      <c r="G39" s="18">
        <v>10000</v>
      </c>
      <c r="H39" s="18">
        <v>10000</v>
      </c>
      <c r="I39" s="18">
        <v>10000</v>
      </c>
      <c r="J39" s="18">
        <v>10000</v>
      </c>
      <c r="K39" s="18">
        <v>10000</v>
      </c>
      <c r="L39" s="18">
        <v>10000</v>
      </c>
      <c r="M39" s="18">
        <v>308</v>
      </c>
      <c r="N39" s="466">
        <f t="shared" si="2"/>
        <v>3.0800000000000001E-2</v>
      </c>
    </row>
    <row r="40" spans="1:22" x14ac:dyDescent="0.25">
      <c r="A40" s="16">
        <v>292</v>
      </c>
      <c r="B40" s="116" t="s">
        <v>32</v>
      </c>
      <c r="C40" s="171">
        <v>240</v>
      </c>
      <c r="D40" s="460">
        <f t="shared" ref="D40:L40" si="40">240+12</f>
        <v>252</v>
      </c>
      <c r="E40" s="171">
        <f t="shared" si="40"/>
        <v>252</v>
      </c>
      <c r="F40" s="171">
        <f t="shared" si="40"/>
        <v>252</v>
      </c>
      <c r="G40" s="171">
        <f t="shared" si="40"/>
        <v>252</v>
      </c>
      <c r="H40" s="171">
        <f t="shared" si="40"/>
        <v>252</v>
      </c>
      <c r="I40" s="171">
        <f t="shared" si="40"/>
        <v>252</v>
      </c>
      <c r="J40" s="171">
        <f t="shared" si="40"/>
        <v>252</v>
      </c>
      <c r="K40" s="171">
        <f t="shared" si="40"/>
        <v>252</v>
      </c>
      <c r="L40" s="171">
        <f t="shared" si="40"/>
        <v>252</v>
      </c>
      <c r="M40" s="171">
        <v>252</v>
      </c>
      <c r="N40" s="466">
        <f t="shared" si="2"/>
        <v>1</v>
      </c>
    </row>
    <row r="41" spans="1:22" x14ac:dyDescent="0.25">
      <c r="A41" s="16">
        <v>292</v>
      </c>
      <c r="B41" s="17" t="s">
        <v>33</v>
      </c>
      <c r="C41" s="18">
        <f>17710-240</f>
        <v>17470</v>
      </c>
      <c r="D41" s="18">
        <f>17710+12-D40</f>
        <v>17470</v>
      </c>
      <c r="E41" s="18">
        <f>17710+12-E40</f>
        <v>17470</v>
      </c>
      <c r="F41" s="477">
        <f>17710+12-F40+3000</f>
        <v>20470</v>
      </c>
      <c r="G41" s="18">
        <f>17710+12-G40+3000</f>
        <v>20470</v>
      </c>
      <c r="H41" s="18">
        <f>17710+12-H40+3000</f>
        <v>20470</v>
      </c>
      <c r="I41" s="477">
        <f>17710+12-I40+3000+2500+2200</f>
        <v>25170</v>
      </c>
      <c r="J41" s="18">
        <f>17710+12-J40+3000+2500+2200</f>
        <v>25170</v>
      </c>
      <c r="K41" s="477">
        <f>17710+12-K40+3000+2500+2200+1000</f>
        <v>26170</v>
      </c>
      <c r="L41" s="18">
        <f>17710+12-L40+3000+2500+2200+1000</f>
        <v>26170</v>
      </c>
      <c r="M41" s="18">
        <f>21352-M40</f>
        <v>21100</v>
      </c>
      <c r="N41" s="466">
        <f t="shared" si="2"/>
        <v>0.80626671761559032</v>
      </c>
    </row>
    <row r="42" spans="1:22" ht="15.75" thickBot="1" x14ac:dyDescent="0.3">
      <c r="A42" s="16">
        <v>292</v>
      </c>
      <c r="B42" s="17" t="s">
        <v>235</v>
      </c>
      <c r="C42" s="18">
        <v>140</v>
      </c>
      <c r="D42" s="18">
        <v>140</v>
      </c>
      <c r="E42" s="18">
        <v>140</v>
      </c>
      <c r="F42" s="18">
        <v>140</v>
      </c>
      <c r="G42" s="18">
        <v>140</v>
      </c>
      <c r="H42" s="18">
        <v>140</v>
      </c>
      <c r="I42" s="18">
        <v>140</v>
      </c>
      <c r="J42" s="18">
        <v>140</v>
      </c>
      <c r="K42" s="18">
        <v>140</v>
      </c>
      <c r="L42" s="18">
        <v>140</v>
      </c>
      <c r="M42" s="18">
        <v>140</v>
      </c>
      <c r="N42" s="466">
        <f t="shared" si="2"/>
        <v>1</v>
      </c>
    </row>
    <row r="43" spans="1:22" ht="15.75" thickBot="1" x14ac:dyDescent="0.3">
      <c r="A43" s="19" t="s">
        <v>34</v>
      </c>
      <c r="B43" s="20"/>
      <c r="C43" s="1">
        <f t="shared" ref="C43:M43" si="41">SUM(C44:C67)</f>
        <v>694110</v>
      </c>
      <c r="D43" s="1">
        <f t="shared" si="41"/>
        <v>713823</v>
      </c>
      <c r="E43" s="1">
        <f t="shared" si="41"/>
        <v>720268</v>
      </c>
      <c r="F43" s="1">
        <f t="shared" si="41"/>
        <v>743313</v>
      </c>
      <c r="G43" s="1">
        <f t="shared" si="41"/>
        <v>744024</v>
      </c>
      <c r="H43" s="1">
        <f t="shared" si="41"/>
        <v>765587</v>
      </c>
      <c r="I43" s="1">
        <f t="shared" si="41"/>
        <v>763363</v>
      </c>
      <c r="J43" s="1">
        <f t="shared" si="41"/>
        <v>763673</v>
      </c>
      <c r="K43" s="1">
        <f t="shared" si="41"/>
        <v>760403</v>
      </c>
      <c r="L43" s="1">
        <f t="shared" si="41"/>
        <v>762053</v>
      </c>
      <c r="M43" s="1">
        <f t="shared" si="41"/>
        <v>688399</v>
      </c>
      <c r="N43" s="466">
        <f t="shared" si="2"/>
        <v>0.90334792986839496</v>
      </c>
    </row>
    <row r="44" spans="1:22" x14ac:dyDescent="0.25">
      <c r="A44" s="21">
        <v>311</v>
      </c>
      <c r="B44" s="22" t="s">
        <v>178</v>
      </c>
      <c r="C44" s="23">
        <v>0</v>
      </c>
      <c r="D44" s="23">
        <v>0</v>
      </c>
      <c r="E44" s="23">
        <v>0</v>
      </c>
      <c r="F44" s="461">
        <v>3000</v>
      </c>
      <c r="G44" s="23">
        <v>3000</v>
      </c>
      <c r="H44" s="23">
        <v>3000</v>
      </c>
      <c r="I44" s="23">
        <v>3000</v>
      </c>
      <c r="J44" s="23">
        <v>3000</v>
      </c>
      <c r="K44" s="23">
        <v>3000</v>
      </c>
      <c r="L44" s="23">
        <v>3000</v>
      </c>
      <c r="M44" s="23">
        <v>3000</v>
      </c>
      <c r="N44" s="466">
        <f t="shared" si="2"/>
        <v>1</v>
      </c>
    </row>
    <row r="45" spans="1:22" x14ac:dyDescent="0.25">
      <c r="A45" s="21">
        <v>311</v>
      </c>
      <c r="B45" s="22" t="s">
        <v>212</v>
      </c>
      <c r="C45" s="23">
        <v>0</v>
      </c>
      <c r="D45" s="461">
        <v>460</v>
      </c>
      <c r="E45" s="23">
        <v>460</v>
      </c>
      <c r="F45" s="23">
        <v>460</v>
      </c>
      <c r="G45" s="23">
        <v>460</v>
      </c>
      <c r="H45" s="23">
        <v>460</v>
      </c>
      <c r="I45" s="23">
        <v>460</v>
      </c>
      <c r="J45" s="23">
        <v>460</v>
      </c>
      <c r="K45" s="23">
        <v>460</v>
      </c>
      <c r="L45" s="23">
        <v>460</v>
      </c>
      <c r="M45" s="23">
        <v>460</v>
      </c>
      <c r="N45" s="466">
        <f t="shared" si="2"/>
        <v>1</v>
      </c>
    </row>
    <row r="46" spans="1:22" x14ac:dyDescent="0.25">
      <c r="A46" s="27">
        <v>312</v>
      </c>
      <c r="B46" s="22" t="s">
        <v>443</v>
      </c>
      <c r="C46" s="28">
        <v>0</v>
      </c>
      <c r="D46" s="28">
        <v>0</v>
      </c>
      <c r="E46" s="462">
        <v>6000</v>
      </c>
      <c r="F46" s="28">
        <v>6000</v>
      </c>
      <c r="G46" s="28">
        <v>6000</v>
      </c>
      <c r="H46" s="28">
        <v>6000</v>
      </c>
      <c r="I46" s="28">
        <v>6000</v>
      </c>
      <c r="J46" s="28">
        <v>6000</v>
      </c>
      <c r="K46" s="28">
        <v>6000</v>
      </c>
      <c r="L46" s="28">
        <v>6000</v>
      </c>
      <c r="M46" s="28">
        <v>6000</v>
      </c>
      <c r="N46" s="466">
        <f t="shared" si="2"/>
        <v>1</v>
      </c>
    </row>
    <row r="47" spans="1:22" x14ac:dyDescent="0.25">
      <c r="A47" s="21">
        <v>312</v>
      </c>
      <c r="B47" s="22" t="s">
        <v>236</v>
      </c>
      <c r="C47" s="23">
        <v>8220</v>
      </c>
      <c r="D47" s="23">
        <v>8220</v>
      </c>
      <c r="E47" s="23">
        <v>8220</v>
      </c>
      <c r="F47" s="23">
        <v>8220</v>
      </c>
      <c r="G47" s="23">
        <v>8220</v>
      </c>
      <c r="H47" s="23">
        <v>8220</v>
      </c>
      <c r="I47" s="23">
        <v>8220</v>
      </c>
      <c r="J47" s="23">
        <v>8220</v>
      </c>
      <c r="K47" s="23">
        <v>8220</v>
      </c>
      <c r="L47" s="23">
        <v>8220</v>
      </c>
      <c r="M47" s="23">
        <v>5392</v>
      </c>
      <c r="N47" s="466">
        <f t="shared" si="2"/>
        <v>0.65596107055961073</v>
      </c>
    </row>
    <row r="48" spans="1:22" x14ac:dyDescent="0.25">
      <c r="A48" s="21">
        <v>312</v>
      </c>
      <c r="B48" s="22" t="s">
        <v>35</v>
      </c>
      <c r="C48" s="23">
        <v>4000</v>
      </c>
      <c r="D48" s="461">
        <f>4000+2100</f>
        <v>6100</v>
      </c>
      <c r="E48" s="461">
        <f>4000+2100+145</f>
        <v>6245</v>
      </c>
      <c r="F48" s="461">
        <f t="shared" ref="F48:L48" si="42">4000+2100+145+5</f>
        <v>6250</v>
      </c>
      <c r="G48" s="23">
        <f t="shared" si="42"/>
        <v>6250</v>
      </c>
      <c r="H48" s="23">
        <f t="shared" si="42"/>
        <v>6250</v>
      </c>
      <c r="I48" s="23">
        <f t="shared" si="42"/>
        <v>6250</v>
      </c>
      <c r="J48" s="23">
        <f t="shared" si="42"/>
        <v>6250</v>
      </c>
      <c r="K48" s="23">
        <f t="shared" si="42"/>
        <v>6250</v>
      </c>
      <c r="L48" s="23">
        <f t="shared" si="42"/>
        <v>6250</v>
      </c>
      <c r="M48" s="23">
        <v>6211</v>
      </c>
      <c r="N48" s="466">
        <f t="shared" si="2"/>
        <v>0.99375999999999998</v>
      </c>
    </row>
    <row r="49" spans="1:15" x14ac:dyDescent="0.25">
      <c r="A49" s="24">
        <v>312</v>
      </c>
      <c r="B49" s="116" t="s">
        <v>568</v>
      </c>
      <c r="C49" s="7">
        <v>7200</v>
      </c>
      <c r="D49" s="7">
        <v>7200</v>
      </c>
      <c r="E49" s="7">
        <v>7200</v>
      </c>
      <c r="F49" s="216">
        <v>7200</v>
      </c>
      <c r="G49" s="216">
        <v>7200</v>
      </c>
      <c r="H49" s="463">
        <f>7200+20000+1457</f>
        <v>28657</v>
      </c>
      <c r="I49" s="216">
        <f>7200+20000+1457</f>
        <v>28657</v>
      </c>
      <c r="J49" s="216">
        <f>7200+20000+1457</f>
        <v>28657</v>
      </c>
      <c r="K49" s="216">
        <f>7200+20000+1457</f>
        <v>28657</v>
      </c>
      <c r="L49" s="216">
        <f>7200+20000+1457</f>
        <v>28657</v>
      </c>
      <c r="M49" s="7">
        <v>27030</v>
      </c>
      <c r="N49" s="466">
        <f t="shared" si="2"/>
        <v>0.94322504100219839</v>
      </c>
    </row>
    <row r="50" spans="1:15" x14ac:dyDescent="0.25">
      <c r="A50" s="24">
        <v>312</v>
      </c>
      <c r="B50" s="116" t="s">
        <v>37</v>
      </c>
      <c r="C50" s="7">
        <v>1000</v>
      </c>
      <c r="D50" s="7">
        <v>1000</v>
      </c>
      <c r="E50" s="7">
        <v>1000</v>
      </c>
      <c r="F50" s="216">
        <v>1000</v>
      </c>
      <c r="G50" s="216">
        <v>1000</v>
      </c>
      <c r="H50" s="216">
        <v>1000</v>
      </c>
      <c r="I50" s="216">
        <v>1000</v>
      </c>
      <c r="J50" s="216">
        <v>1000</v>
      </c>
      <c r="K50" s="216">
        <v>1000</v>
      </c>
      <c r="L50" s="216">
        <v>1000</v>
      </c>
      <c r="M50" s="7">
        <f>8+219</f>
        <v>227</v>
      </c>
      <c r="N50" s="466">
        <f t="shared" si="2"/>
        <v>0.22700000000000001</v>
      </c>
    </row>
    <row r="51" spans="1:15" x14ac:dyDescent="0.25">
      <c r="A51" s="21">
        <v>312</v>
      </c>
      <c r="B51" s="22" t="s">
        <v>402</v>
      </c>
      <c r="C51" s="23">
        <v>0</v>
      </c>
      <c r="D51" s="23">
        <v>0</v>
      </c>
      <c r="E51" s="461">
        <v>300</v>
      </c>
      <c r="F51" s="23">
        <v>300</v>
      </c>
      <c r="G51" s="23">
        <v>300</v>
      </c>
      <c r="H51" s="23">
        <v>300</v>
      </c>
      <c r="I51" s="23">
        <v>300</v>
      </c>
      <c r="J51" s="23">
        <v>300</v>
      </c>
      <c r="K51" s="23">
        <v>300</v>
      </c>
      <c r="L51" s="23">
        <v>300</v>
      </c>
      <c r="M51" s="23">
        <v>300</v>
      </c>
      <c r="N51" s="466">
        <f t="shared" si="2"/>
        <v>1</v>
      </c>
    </row>
    <row r="52" spans="1:15" x14ac:dyDescent="0.25">
      <c r="A52" s="24">
        <v>312</v>
      </c>
      <c r="B52" s="25" t="s">
        <v>166</v>
      </c>
      <c r="C52" s="26">
        <v>14440</v>
      </c>
      <c r="D52" s="26">
        <v>14440</v>
      </c>
      <c r="E52" s="26">
        <v>14440</v>
      </c>
      <c r="F52" s="262">
        <v>14440</v>
      </c>
      <c r="G52" s="262">
        <v>14440</v>
      </c>
      <c r="H52" s="262">
        <v>14440</v>
      </c>
      <c r="I52" s="262">
        <v>14440</v>
      </c>
      <c r="J52" s="262">
        <v>14440</v>
      </c>
      <c r="K52" s="262">
        <v>14440</v>
      </c>
      <c r="L52" s="262">
        <v>14440</v>
      </c>
      <c r="M52" s="26">
        <v>3305</v>
      </c>
      <c r="N52" s="466">
        <f t="shared" si="2"/>
        <v>0.22887811634349031</v>
      </c>
    </row>
    <row r="53" spans="1:15" x14ac:dyDescent="0.25">
      <c r="A53" s="24">
        <v>312</v>
      </c>
      <c r="B53" s="25" t="s">
        <v>238</v>
      </c>
      <c r="C53" s="26">
        <v>3800</v>
      </c>
      <c r="D53" s="26">
        <v>3800</v>
      </c>
      <c r="E53" s="26">
        <v>3800</v>
      </c>
      <c r="F53" s="262">
        <v>3800</v>
      </c>
      <c r="G53" s="262">
        <v>3800</v>
      </c>
      <c r="H53" s="262">
        <v>3800</v>
      </c>
      <c r="I53" s="262">
        <v>3800</v>
      </c>
      <c r="J53" s="262">
        <v>3800</v>
      </c>
      <c r="K53" s="262">
        <v>3800</v>
      </c>
      <c r="L53" s="262">
        <v>3800</v>
      </c>
      <c r="M53" s="26">
        <v>0</v>
      </c>
      <c r="N53" s="466">
        <f t="shared" si="2"/>
        <v>0</v>
      </c>
    </row>
    <row r="54" spans="1:15" x14ac:dyDescent="0.25">
      <c r="A54" s="24">
        <v>312</v>
      </c>
      <c r="B54" s="25" t="s">
        <v>237</v>
      </c>
      <c r="C54" s="26">
        <v>950</v>
      </c>
      <c r="D54" s="26">
        <v>950</v>
      </c>
      <c r="E54" s="26">
        <v>950</v>
      </c>
      <c r="F54" s="262">
        <v>950</v>
      </c>
      <c r="G54" s="262">
        <v>950</v>
      </c>
      <c r="H54" s="262">
        <v>950</v>
      </c>
      <c r="I54" s="262">
        <v>950</v>
      </c>
      <c r="J54" s="262">
        <v>950</v>
      </c>
      <c r="K54" s="262">
        <v>950</v>
      </c>
      <c r="L54" s="262">
        <v>950</v>
      </c>
      <c r="M54" s="26">
        <v>0</v>
      </c>
      <c r="N54" s="466">
        <f t="shared" si="2"/>
        <v>0</v>
      </c>
    </row>
    <row r="55" spans="1:15" x14ac:dyDescent="0.25">
      <c r="A55" s="21">
        <v>312</v>
      </c>
      <c r="B55" s="22" t="s">
        <v>349</v>
      </c>
      <c r="C55" s="23">
        <v>0</v>
      </c>
      <c r="D55" s="461">
        <v>30</v>
      </c>
      <c r="E55" s="23">
        <v>30</v>
      </c>
      <c r="F55" s="23">
        <v>30</v>
      </c>
      <c r="G55" s="23">
        <v>30</v>
      </c>
      <c r="H55" s="23">
        <v>30</v>
      </c>
      <c r="I55" s="23">
        <v>30</v>
      </c>
      <c r="J55" s="23">
        <v>30</v>
      </c>
      <c r="K55" s="23">
        <v>30</v>
      </c>
      <c r="L55" s="23">
        <v>30</v>
      </c>
      <c r="M55" s="23">
        <v>30</v>
      </c>
      <c r="N55" s="466">
        <f t="shared" si="2"/>
        <v>1</v>
      </c>
    </row>
    <row r="56" spans="1:15" x14ac:dyDescent="0.25">
      <c r="A56" s="24">
        <v>312</v>
      </c>
      <c r="B56" s="25" t="s">
        <v>38</v>
      </c>
      <c r="C56" s="7">
        <v>18300</v>
      </c>
      <c r="D56" s="7">
        <v>18300</v>
      </c>
      <c r="E56" s="7">
        <v>18300</v>
      </c>
      <c r="F56" s="216">
        <v>18300</v>
      </c>
      <c r="G56" s="216">
        <v>18300</v>
      </c>
      <c r="H56" s="216">
        <v>18300</v>
      </c>
      <c r="I56" s="463">
        <f>18300+1700</f>
        <v>20000</v>
      </c>
      <c r="J56" s="216">
        <f>18300+1700</f>
        <v>20000</v>
      </c>
      <c r="K56" s="216">
        <f>18300+1700</f>
        <v>20000</v>
      </c>
      <c r="L56" s="216">
        <f>18300+1700</f>
        <v>20000</v>
      </c>
      <c r="M56" s="7">
        <v>19278</v>
      </c>
      <c r="N56" s="466">
        <f t="shared" si="2"/>
        <v>0.96389999999999998</v>
      </c>
    </row>
    <row r="57" spans="1:15" x14ac:dyDescent="0.25">
      <c r="A57" s="24">
        <v>312</v>
      </c>
      <c r="B57" s="25" t="s">
        <v>39</v>
      </c>
      <c r="C57" s="7">
        <v>8700</v>
      </c>
      <c r="D57" s="7">
        <v>8700</v>
      </c>
      <c r="E57" s="7">
        <v>8700</v>
      </c>
      <c r="F57" s="7">
        <v>8700</v>
      </c>
      <c r="G57" s="7">
        <v>8700</v>
      </c>
      <c r="H57" s="7">
        <v>8700</v>
      </c>
      <c r="I57" s="7">
        <v>8700</v>
      </c>
      <c r="J57" s="7">
        <v>8700</v>
      </c>
      <c r="K57" s="7">
        <v>8700</v>
      </c>
      <c r="L57" s="7">
        <v>8700</v>
      </c>
      <c r="M57" s="7">
        <v>8700</v>
      </c>
      <c r="N57" s="466">
        <f t="shared" si="2"/>
        <v>1</v>
      </c>
    </row>
    <row r="58" spans="1:15" x14ac:dyDescent="0.25">
      <c r="A58" s="24">
        <v>312</v>
      </c>
      <c r="B58" s="25" t="s">
        <v>40</v>
      </c>
      <c r="C58" s="7">
        <v>7900</v>
      </c>
      <c r="D58" s="7">
        <v>7900</v>
      </c>
      <c r="E58" s="7">
        <v>7900</v>
      </c>
      <c r="F58" s="463">
        <f t="shared" ref="F58:K58" si="43">7900+200</f>
        <v>8100</v>
      </c>
      <c r="G58" s="216">
        <f t="shared" si="43"/>
        <v>8100</v>
      </c>
      <c r="H58" s="216">
        <f t="shared" si="43"/>
        <v>8100</v>
      </c>
      <c r="I58" s="216">
        <f t="shared" si="43"/>
        <v>8100</v>
      </c>
      <c r="J58" s="216">
        <f t="shared" si="43"/>
        <v>8100</v>
      </c>
      <c r="K58" s="216">
        <f t="shared" si="43"/>
        <v>8100</v>
      </c>
      <c r="L58" s="463">
        <f>7900+200+350</f>
        <v>8450</v>
      </c>
      <c r="M58" s="7">
        <v>8430</v>
      </c>
      <c r="N58" s="466">
        <f t="shared" si="2"/>
        <v>0.99763313609467452</v>
      </c>
      <c r="O58" s="110" t="s">
        <v>381</v>
      </c>
    </row>
    <row r="59" spans="1:15" x14ac:dyDescent="0.25">
      <c r="A59" s="24">
        <v>312</v>
      </c>
      <c r="B59" s="25" t="s">
        <v>499</v>
      </c>
      <c r="C59" s="7">
        <v>0</v>
      </c>
      <c r="D59" s="7">
        <v>0</v>
      </c>
      <c r="E59" s="7">
        <v>0</v>
      </c>
      <c r="F59" s="463">
        <f t="shared" ref="F59:L59" si="44">2000+1500</f>
        <v>3500</v>
      </c>
      <c r="G59" s="216">
        <f t="shared" si="44"/>
        <v>3500</v>
      </c>
      <c r="H59" s="216">
        <f t="shared" si="44"/>
        <v>3500</v>
      </c>
      <c r="I59" s="216">
        <f t="shared" si="44"/>
        <v>3500</v>
      </c>
      <c r="J59" s="216">
        <f t="shared" si="44"/>
        <v>3500</v>
      </c>
      <c r="K59" s="216">
        <f t="shared" si="44"/>
        <v>3500</v>
      </c>
      <c r="L59" s="216">
        <f t="shared" si="44"/>
        <v>3500</v>
      </c>
      <c r="M59" s="7">
        <v>3500</v>
      </c>
      <c r="N59" s="466">
        <f t="shared" si="2"/>
        <v>1</v>
      </c>
    </row>
    <row r="60" spans="1:15" x14ac:dyDescent="0.25">
      <c r="A60" s="24">
        <v>312</v>
      </c>
      <c r="B60" s="25" t="s">
        <v>41</v>
      </c>
      <c r="C60" s="7">
        <v>3000</v>
      </c>
      <c r="D60" s="7">
        <v>3000</v>
      </c>
      <c r="E60" s="7">
        <v>3000</v>
      </c>
      <c r="F60" s="7">
        <v>3000</v>
      </c>
      <c r="G60" s="216">
        <v>3000</v>
      </c>
      <c r="H60" s="216">
        <v>3000</v>
      </c>
      <c r="I60" s="216">
        <v>3000</v>
      </c>
      <c r="J60" s="216">
        <v>3000</v>
      </c>
      <c r="K60" s="216">
        <v>3000</v>
      </c>
      <c r="L60" s="216">
        <v>3000</v>
      </c>
      <c r="M60" s="7">
        <v>3000</v>
      </c>
      <c r="N60" s="466">
        <f t="shared" si="2"/>
        <v>1</v>
      </c>
    </row>
    <row r="61" spans="1:15" x14ac:dyDescent="0.25">
      <c r="A61" s="27">
        <v>312</v>
      </c>
      <c r="B61" s="22" t="s">
        <v>180</v>
      </c>
      <c r="C61" s="28">
        <v>0</v>
      </c>
      <c r="D61" s="462">
        <f>2000+2000</f>
        <v>4000</v>
      </c>
      <c r="E61" s="28">
        <f>2000+2000</f>
        <v>4000</v>
      </c>
      <c r="F61" s="462">
        <f>2000+2000+1900+2000+2200+2000+8000</f>
        <v>20100</v>
      </c>
      <c r="G61" s="28">
        <f>2000+2000+1900+2000+2200+2000+8000</f>
        <v>20100</v>
      </c>
      <c r="H61" s="28">
        <f>2000+2000+1900+2000+2200+2000+8000</f>
        <v>20100</v>
      </c>
      <c r="I61" s="462">
        <f>2000+2000+1900+2000+2200+2000+8000-6100</f>
        <v>14000</v>
      </c>
      <c r="J61" s="28">
        <f>2000+2000+1900+2000+2200+2000+8000-6100</f>
        <v>14000</v>
      </c>
      <c r="K61" s="28">
        <f>2000+2000+1900+2000+2200+2000+8000-6100</f>
        <v>14000</v>
      </c>
      <c r="L61" s="28">
        <f>2000+2000+1900+2000+2200+2000+8000-6100</f>
        <v>14000</v>
      </c>
      <c r="M61" s="28">
        <v>13785</v>
      </c>
      <c r="N61" s="466">
        <f t="shared" si="2"/>
        <v>0.98464285714285715</v>
      </c>
    </row>
    <row r="62" spans="1:15" x14ac:dyDescent="0.25">
      <c r="A62" s="29">
        <v>312</v>
      </c>
      <c r="B62" s="116" t="s">
        <v>42</v>
      </c>
      <c r="C62" s="170">
        <v>4430</v>
      </c>
      <c r="D62" s="464">
        <f>4430-130</f>
        <v>4300</v>
      </c>
      <c r="E62" s="170">
        <f>4430-130</f>
        <v>4300</v>
      </c>
      <c r="F62" s="464">
        <f t="shared" ref="F62:L62" si="45">4430-130+440</f>
        <v>4740</v>
      </c>
      <c r="G62" s="170">
        <f t="shared" si="45"/>
        <v>4740</v>
      </c>
      <c r="H62" s="170">
        <f t="shared" si="45"/>
        <v>4740</v>
      </c>
      <c r="I62" s="170">
        <f t="shared" si="45"/>
        <v>4740</v>
      </c>
      <c r="J62" s="170">
        <f t="shared" si="45"/>
        <v>4740</v>
      </c>
      <c r="K62" s="170">
        <f t="shared" si="45"/>
        <v>4740</v>
      </c>
      <c r="L62" s="170">
        <f t="shared" si="45"/>
        <v>4740</v>
      </c>
      <c r="M62" s="170">
        <v>4569</v>
      </c>
      <c r="N62" s="466">
        <f t="shared" si="2"/>
        <v>0.96392405063291142</v>
      </c>
    </row>
    <row r="63" spans="1:15" x14ac:dyDescent="0.25">
      <c r="A63" s="29">
        <v>312</v>
      </c>
      <c r="B63" s="126" t="s">
        <v>43</v>
      </c>
      <c r="C63" s="9">
        <v>3700</v>
      </c>
      <c r="D63" s="459">
        <f>3700-200</f>
        <v>3500</v>
      </c>
      <c r="E63" s="9">
        <f>3700-200</f>
        <v>3500</v>
      </c>
      <c r="F63" s="459">
        <f t="shared" ref="F63:K63" si="46">3700-200-200</f>
        <v>3300</v>
      </c>
      <c r="G63" s="9">
        <f t="shared" si="46"/>
        <v>3300</v>
      </c>
      <c r="H63" s="9">
        <f t="shared" si="46"/>
        <v>3300</v>
      </c>
      <c r="I63" s="9">
        <f t="shared" si="46"/>
        <v>3300</v>
      </c>
      <c r="J63" s="9">
        <f t="shared" si="46"/>
        <v>3300</v>
      </c>
      <c r="K63" s="9">
        <f t="shared" si="46"/>
        <v>3300</v>
      </c>
      <c r="L63" s="459">
        <f>3700-200-200+500</f>
        <v>3800</v>
      </c>
      <c r="M63" s="9">
        <v>3771</v>
      </c>
      <c r="N63" s="466">
        <f t="shared" si="2"/>
        <v>0.99236842105263157</v>
      </c>
    </row>
    <row r="64" spans="1:15" x14ac:dyDescent="0.25">
      <c r="A64" s="29">
        <v>312</v>
      </c>
      <c r="B64" s="30" t="s">
        <v>44</v>
      </c>
      <c r="C64" s="170">
        <v>3000</v>
      </c>
      <c r="D64" s="464">
        <f t="shared" ref="D64:I64" si="47">3000-470</f>
        <v>2530</v>
      </c>
      <c r="E64" s="170">
        <f t="shared" si="47"/>
        <v>2530</v>
      </c>
      <c r="F64" s="170">
        <f t="shared" si="47"/>
        <v>2530</v>
      </c>
      <c r="G64" s="170">
        <f t="shared" si="47"/>
        <v>2530</v>
      </c>
      <c r="H64" s="170">
        <f t="shared" si="47"/>
        <v>2530</v>
      </c>
      <c r="I64" s="170">
        <f t="shared" si="47"/>
        <v>2530</v>
      </c>
      <c r="J64" s="464">
        <f>3000-470+310</f>
        <v>2840</v>
      </c>
      <c r="K64" s="170">
        <f>3000-470+310</f>
        <v>2840</v>
      </c>
      <c r="L64" s="170">
        <f>3000-470+310</f>
        <v>2840</v>
      </c>
      <c r="M64" s="170">
        <v>2837</v>
      </c>
      <c r="N64" s="466">
        <f t="shared" si="2"/>
        <v>0.99894366197183093</v>
      </c>
    </row>
    <row r="65" spans="1:23" ht="15.75" customHeight="1" x14ac:dyDescent="0.25">
      <c r="A65" s="24">
        <v>312</v>
      </c>
      <c r="B65" s="25" t="s">
        <v>181</v>
      </c>
      <c r="C65" s="216">
        <v>102200</v>
      </c>
      <c r="D65" s="216">
        <v>102200</v>
      </c>
      <c r="E65" s="216">
        <v>102200</v>
      </c>
      <c r="F65" s="216">
        <v>102200</v>
      </c>
      <c r="G65" s="216">
        <v>102200</v>
      </c>
      <c r="H65" s="216">
        <v>102200</v>
      </c>
      <c r="I65" s="216">
        <v>102200</v>
      </c>
      <c r="J65" s="216">
        <v>102200</v>
      </c>
      <c r="K65" s="216">
        <v>102200</v>
      </c>
      <c r="L65" s="216">
        <v>102200</v>
      </c>
      <c r="M65" s="216">
        <v>50858</v>
      </c>
      <c r="N65" s="466">
        <f t="shared" si="2"/>
        <v>0.4976320939334638</v>
      </c>
    </row>
    <row r="66" spans="1:23" x14ac:dyDescent="0.25">
      <c r="A66" s="24">
        <v>312</v>
      </c>
      <c r="B66" s="25" t="s">
        <v>239</v>
      </c>
      <c r="C66" s="216">
        <v>31000</v>
      </c>
      <c r="D66" s="463">
        <f t="shared" ref="D66:L66" si="48">31000+104</f>
        <v>31104</v>
      </c>
      <c r="E66" s="216">
        <f t="shared" si="48"/>
        <v>31104</v>
      </c>
      <c r="F66" s="216">
        <f t="shared" si="48"/>
        <v>31104</v>
      </c>
      <c r="G66" s="216">
        <f t="shared" si="48"/>
        <v>31104</v>
      </c>
      <c r="H66" s="216">
        <f t="shared" si="48"/>
        <v>31104</v>
      </c>
      <c r="I66" s="216">
        <f t="shared" si="48"/>
        <v>31104</v>
      </c>
      <c r="J66" s="216">
        <f t="shared" si="48"/>
        <v>31104</v>
      </c>
      <c r="K66" s="216">
        <f t="shared" si="48"/>
        <v>31104</v>
      </c>
      <c r="L66" s="216">
        <f t="shared" si="48"/>
        <v>31104</v>
      </c>
      <c r="M66" s="216">
        <v>31104</v>
      </c>
      <c r="N66" s="466">
        <f t="shared" si="2"/>
        <v>1</v>
      </c>
    </row>
    <row r="67" spans="1:23" ht="16.5" thickBot="1" x14ac:dyDescent="0.3">
      <c r="A67" s="241">
        <v>312</v>
      </c>
      <c r="B67" s="242" t="s">
        <v>270</v>
      </c>
      <c r="C67" s="218">
        <f>440000+32270</f>
        <v>472270</v>
      </c>
      <c r="D67" s="218">
        <f>440000+32270+13819</f>
        <v>486089</v>
      </c>
      <c r="E67" s="218">
        <f>440000+32270+13819</f>
        <v>486089</v>
      </c>
      <c r="F67" s="218">
        <f>440000+32270+13819</f>
        <v>486089</v>
      </c>
      <c r="G67" s="218">
        <f>440000+32270+13819+711</f>
        <v>486800</v>
      </c>
      <c r="H67" s="571">
        <f>440000+32270+13819+711+106</f>
        <v>486906</v>
      </c>
      <c r="I67" s="571">
        <f>440000+32270+13819+711+106+2176</f>
        <v>489082</v>
      </c>
      <c r="J67" s="218">
        <f>440000+32270+13819+711+106+2176</f>
        <v>489082</v>
      </c>
      <c r="K67" s="571">
        <f>440000+32270+13819+711+106+2176-50-2750-470</f>
        <v>485812</v>
      </c>
      <c r="L67" s="571">
        <f>440000+32270+13819+711+106+2176-2800-470+800</f>
        <v>486612</v>
      </c>
      <c r="M67" s="218">
        <v>486612</v>
      </c>
      <c r="N67" s="466">
        <f t="shared" si="2"/>
        <v>1</v>
      </c>
      <c r="O67" s="123"/>
    </row>
    <row r="68" spans="1:23" ht="16.5" thickBot="1" x14ac:dyDescent="0.3">
      <c r="A68" s="31" t="s">
        <v>45</v>
      </c>
      <c r="B68" s="127"/>
      <c r="C68" s="32">
        <f t="shared" ref="C68:M68" si="49">SUM(C4+C12+C33+C35+C43)</f>
        <v>2092580</v>
      </c>
      <c r="D68" s="32">
        <f t="shared" si="49"/>
        <v>2136130</v>
      </c>
      <c r="E68" s="32">
        <f t="shared" si="49"/>
        <v>2143075</v>
      </c>
      <c r="F68" s="32">
        <f t="shared" si="49"/>
        <v>2172120</v>
      </c>
      <c r="G68" s="32">
        <f t="shared" si="49"/>
        <v>2213831</v>
      </c>
      <c r="H68" s="32">
        <f t="shared" si="49"/>
        <v>2221994</v>
      </c>
      <c r="I68" s="32">
        <f t="shared" si="49"/>
        <v>2220570</v>
      </c>
      <c r="J68" s="32">
        <f t="shared" si="49"/>
        <v>2220880</v>
      </c>
      <c r="K68" s="32">
        <f t="shared" si="49"/>
        <v>2218610</v>
      </c>
      <c r="L68" s="32">
        <f t="shared" si="49"/>
        <v>2222643</v>
      </c>
      <c r="M68" s="32">
        <f t="shared" si="49"/>
        <v>2103111.2000000002</v>
      </c>
      <c r="N68" s="466">
        <f t="shared" si="2"/>
        <v>0.94622087307768288</v>
      </c>
      <c r="O68" s="123">
        <f t="shared" ref="O68:U68" si="50">D68-C68</f>
        <v>43550</v>
      </c>
      <c r="P68" s="123">
        <f t="shared" si="50"/>
        <v>6945</v>
      </c>
      <c r="Q68" s="123">
        <f t="shared" si="50"/>
        <v>29045</v>
      </c>
      <c r="R68" s="123">
        <f t="shared" si="50"/>
        <v>41711</v>
      </c>
      <c r="S68" s="123">
        <f t="shared" si="50"/>
        <v>8163</v>
      </c>
      <c r="T68" s="123">
        <f t="shared" si="50"/>
        <v>-1424</v>
      </c>
      <c r="U68" s="123">
        <f t="shared" si="50"/>
        <v>310</v>
      </c>
      <c r="V68" s="123">
        <f t="shared" ref="V68:W68" si="51">K68-J68</f>
        <v>-2270</v>
      </c>
      <c r="W68" s="123">
        <f t="shared" si="51"/>
        <v>4033</v>
      </c>
    </row>
    <row r="69" spans="1:23" x14ac:dyDescent="0.25">
      <c r="A69" s="243" t="s">
        <v>46</v>
      </c>
      <c r="B69" s="244" t="s">
        <v>269</v>
      </c>
      <c r="C69" s="217">
        <v>3000</v>
      </c>
      <c r="D69" s="217">
        <v>3000</v>
      </c>
      <c r="E69" s="217">
        <v>3000</v>
      </c>
      <c r="F69" s="217">
        <v>3000</v>
      </c>
      <c r="G69" s="217">
        <v>3000</v>
      </c>
      <c r="H69" s="492">
        <f>3000+4330</f>
        <v>7330</v>
      </c>
      <c r="I69" s="217">
        <f>3000+4330</f>
        <v>7330</v>
      </c>
      <c r="J69" s="217">
        <f>3000+4330</f>
        <v>7330</v>
      </c>
      <c r="K69" s="217">
        <f>3000+4330</f>
        <v>7330</v>
      </c>
      <c r="L69" s="492">
        <f>3000+4330+651-51</f>
        <v>7930</v>
      </c>
      <c r="M69" s="217">
        <f>1275+121+171+12+275+310+170+3464+20+666+50+4+147+866</f>
        <v>7551</v>
      </c>
      <c r="N69" s="466">
        <f t="shared" ref="N69:N75" si="52">M69/L69</f>
        <v>0.95220680958385873</v>
      </c>
      <c r="O69" s="123">
        <f>M69+M70+M73</f>
        <v>20569</v>
      </c>
      <c r="P69" s="123"/>
      <c r="Q69" s="123"/>
    </row>
    <row r="70" spans="1:23" ht="15.75" customHeight="1" x14ac:dyDescent="0.25">
      <c r="A70" s="359" t="s">
        <v>46</v>
      </c>
      <c r="B70" s="244" t="s">
        <v>263</v>
      </c>
      <c r="C70" s="360">
        <v>1320</v>
      </c>
      <c r="D70" s="360">
        <v>1320</v>
      </c>
      <c r="E70" s="360">
        <v>1320</v>
      </c>
      <c r="F70" s="360">
        <v>1320</v>
      </c>
      <c r="G70" s="360">
        <v>1320</v>
      </c>
      <c r="H70" s="360">
        <v>1320</v>
      </c>
      <c r="I70" s="360">
        <v>1320</v>
      </c>
      <c r="J70" s="360">
        <v>1320</v>
      </c>
      <c r="K70" s="360">
        <v>1320</v>
      </c>
      <c r="L70" s="360">
        <v>1320</v>
      </c>
      <c r="M70" s="360">
        <f>369+357+582</f>
        <v>1308</v>
      </c>
      <c r="N70" s="466">
        <f t="shared" si="52"/>
        <v>0.99090909090909096</v>
      </c>
      <c r="O70" s="123"/>
      <c r="P70" s="123"/>
      <c r="Q70" s="123"/>
    </row>
    <row r="71" spans="1:23" ht="15.75" customHeight="1" thickBot="1" x14ac:dyDescent="0.3">
      <c r="A71" s="245" t="s">
        <v>46</v>
      </c>
      <c r="B71" s="246" t="s">
        <v>229</v>
      </c>
      <c r="C71" s="234">
        <v>54240</v>
      </c>
      <c r="D71" s="234">
        <v>54240</v>
      </c>
      <c r="E71" s="234">
        <v>54240</v>
      </c>
      <c r="F71" s="234">
        <v>54240</v>
      </c>
      <c r="G71" s="234">
        <v>54240</v>
      </c>
      <c r="H71" s="234">
        <v>54240</v>
      </c>
      <c r="I71" s="234">
        <v>54240</v>
      </c>
      <c r="J71" s="234">
        <v>54240</v>
      </c>
      <c r="K71" s="234">
        <v>54240</v>
      </c>
      <c r="L71" s="606">
        <f>54240-600</f>
        <v>53640</v>
      </c>
      <c r="M71" s="234">
        <v>50402</v>
      </c>
      <c r="N71" s="466">
        <f t="shared" si="52"/>
        <v>0.93963460104399699</v>
      </c>
      <c r="O71" s="123">
        <f>M69+M70</f>
        <v>8859</v>
      </c>
      <c r="P71" s="123"/>
      <c r="Q71" s="123"/>
    </row>
    <row r="72" spans="1:23" ht="15.75" thickBot="1" x14ac:dyDescent="0.3">
      <c r="A72" s="668" t="s">
        <v>277</v>
      </c>
      <c r="B72" s="669"/>
      <c r="C72" s="369">
        <f t="shared" ref="C72:F72" si="53">SUM(C69:C71)</f>
        <v>58560</v>
      </c>
      <c r="D72" s="369">
        <f t="shared" si="53"/>
        <v>58560</v>
      </c>
      <c r="E72" s="369">
        <f t="shared" si="53"/>
        <v>58560</v>
      </c>
      <c r="F72" s="369">
        <f t="shared" si="53"/>
        <v>58560</v>
      </c>
      <c r="G72" s="369">
        <f t="shared" ref="G72:M72" si="54">SUM(G69:G71)</f>
        <v>58560</v>
      </c>
      <c r="H72" s="369">
        <f t="shared" si="54"/>
        <v>62890</v>
      </c>
      <c r="I72" s="369">
        <f t="shared" si="54"/>
        <v>62890</v>
      </c>
      <c r="J72" s="369">
        <f t="shared" si="54"/>
        <v>62890</v>
      </c>
      <c r="K72" s="369">
        <f t="shared" ref="K72:L72" si="55">SUM(K69:K71)</f>
        <v>62890</v>
      </c>
      <c r="L72" s="605">
        <f t="shared" si="55"/>
        <v>62890</v>
      </c>
      <c r="M72" s="369">
        <f t="shared" si="54"/>
        <v>59261</v>
      </c>
      <c r="N72" s="466">
        <f t="shared" si="52"/>
        <v>0.94229607250755287</v>
      </c>
      <c r="O72" s="123">
        <f t="shared" ref="O72:U75" si="56">D72-C72</f>
        <v>0</v>
      </c>
      <c r="P72" s="123">
        <f t="shared" si="56"/>
        <v>0</v>
      </c>
      <c r="Q72" s="123">
        <f t="shared" si="56"/>
        <v>0</v>
      </c>
      <c r="R72" s="123">
        <f t="shared" si="56"/>
        <v>0</v>
      </c>
      <c r="S72" s="123">
        <f t="shared" si="56"/>
        <v>4330</v>
      </c>
      <c r="T72" s="123">
        <f t="shared" si="56"/>
        <v>0</v>
      </c>
      <c r="U72" s="123">
        <f t="shared" si="56"/>
        <v>0</v>
      </c>
      <c r="V72" s="123">
        <f t="shared" ref="V72:W75" si="57">K72-J72</f>
        <v>0</v>
      </c>
      <c r="W72" s="123">
        <f t="shared" si="57"/>
        <v>0</v>
      </c>
    </row>
    <row r="73" spans="1:23" ht="14.25" customHeight="1" thickBot="1" x14ac:dyDescent="0.3">
      <c r="A73" s="267" t="s">
        <v>46</v>
      </c>
      <c r="B73" s="268" t="s">
        <v>278</v>
      </c>
      <c r="C73" s="269">
        <v>9770</v>
      </c>
      <c r="D73" s="269">
        <v>9770</v>
      </c>
      <c r="E73" s="269">
        <v>9770</v>
      </c>
      <c r="F73" s="269">
        <v>9770</v>
      </c>
      <c r="G73" s="269">
        <v>9770</v>
      </c>
      <c r="H73" s="568">
        <f>9770+1260</f>
        <v>11030</v>
      </c>
      <c r="I73" s="269">
        <f>9770+1260</f>
        <v>11030</v>
      </c>
      <c r="J73" s="269">
        <f>9770+1260</f>
        <v>11030</v>
      </c>
      <c r="K73" s="568">
        <f>9770+1260+679</f>
        <v>11709</v>
      </c>
      <c r="L73" s="568">
        <f>9770+1260+679+2</f>
        <v>11711</v>
      </c>
      <c r="M73" s="269">
        <v>11710</v>
      </c>
      <c r="N73" s="466">
        <f t="shared" si="52"/>
        <v>0.99991461019554262</v>
      </c>
      <c r="O73" s="123">
        <f t="shared" si="56"/>
        <v>0</v>
      </c>
      <c r="P73" s="123">
        <f t="shared" si="56"/>
        <v>0</v>
      </c>
      <c r="Q73" s="123">
        <f t="shared" si="56"/>
        <v>0</v>
      </c>
      <c r="R73" s="123">
        <f t="shared" si="56"/>
        <v>0</v>
      </c>
      <c r="S73" s="123">
        <f t="shared" si="56"/>
        <v>1260</v>
      </c>
      <c r="T73" s="123">
        <f t="shared" si="56"/>
        <v>0</v>
      </c>
      <c r="U73" s="123">
        <f t="shared" si="56"/>
        <v>0</v>
      </c>
      <c r="V73" s="123">
        <f t="shared" si="57"/>
        <v>679</v>
      </c>
      <c r="W73" s="123">
        <f t="shared" si="57"/>
        <v>2</v>
      </c>
    </row>
    <row r="74" spans="1:23" ht="17.25" customHeight="1" thickBot="1" x14ac:dyDescent="0.3">
      <c r="A74" s="670" t="s">
        <v>182</v>
      </c>
      <c r="B74" s="671"/>
      <c r="C74" s="235">
        <f t="shared" ref="C74:M74" si="58">C72+C73</f>
        <v>68330</v>
      </c>
      <c r="D74" s="235">
        <f t="shared" si="58"/>
        <v>68330</v>
      </c>
      <c r="E74" s="235">
        <f t="shared" si="58"/>
        <v>68330</v>
      </c>
      <c r="F74" s="235">
        <f t="shared" si="58"/>
        <v>68330</v>
      </c>
      <c r="G74" s="235">
        <f t="shared" si="58"/>
        <v>68330</v>
      </c>
      <c r="H74" s="235">
        <f t="shared" si="58"/>
        <v>73920</v>
      </c>
      <c r="I74" s="235">
        <f t="shared" si="58"/>
        <v>73920</v>
      </c>
      <c r="J74" s="235">
        <f t="shared" si="58"/>
        <v>73920</v>
      </c>
      <c r="K74" s="235">
        <f t="shared" si="58"/>
        <v>74599</v>
      </c>
      <c r="L74" s="607">
        <f t="shared" si="58"/>
        <v>74601</v>
      </c>
      <c r="M74" s="235">
        <f t="shared" si="58"/>
        <v>70971</v>
      </c>
      <c r="N74" s="466">
        <f t="shared" si="52"/>
        <v>0.95134113483733462</v>
      </c>
      <c r="O74" s="123">
        <f t="shared" si="56"/>
        <v>0</v>
      </c>
      <c r="P74" s="123">
        <f t="shared" si="56"/>
        <v>0</v>
      </c>
      <c r="Q74" s="123">
        <f t="shared" si="56"/>
        <v>0</v>
      </c>
      <c r="R74" s="123">
        <f t="shared" si="56"/>
        <v>0</v>
      </c>
      <c r="S74" s="123">
        <f t="shared" si="56"/>
        <v>5590</v>
      </c>
      <c r="T74" s="123">
        <f t="shared" si="56"/>
        <v>0</v>
      </c>
      <c r="U74" s="123">
        <f t="shared" si="56"/>
        <v>0</v>
      </c>
      <c r="V74" s="123">
        <f t="shared" si="57"/>
        <v>679</v>
      </c>
      <c r="W74" s="123">
        <f t="shared" si="57"/>
        <v>2</v>
      </c>
    </row>
    <row r="75" spans="1:23" ht="27" customHeight="1" thickBot="1" x14ac:dyDescent="0.3">
      <c r="A75" s="31" t="s">
        <v>47</v>
      </c>
      <c r="B75" s="20"/>
      <c r="C75" s="32">
        <f t="shared" ref="C75:M75" si="59">C68+C74</f>
        <v>2160910</v>
      </c>
      <c r="D75" s="32">
        <f t="shared" si="59"/>
        <v>2204460</v>
      </c>
      <c r="E75" s="32">
        <f t="shared" si="59"/>
        <v>2211405</v>
      </c>
      <c r="F75" s="32">
        <f t="shared" si="59"/>
        <v>2240450</v>
      </c>
      <c r="G75" s="32">
        <f t="shared" si="59"/>
        <v>2282161</v>
      </c>
      <c r="H75" s="32">
        <f t="shared" si="59"/>
        <v>2295914</v>
      </c>
      <c r="I75" s="32">
        <f t="shared" si="59"/>
        <v>2294490</v>
      </c>
      <c r="J75" s="32">
        <f t="shared" si="59"/>
        <v>2294800</v>
      </c>
      <c r="K75" s="32">
        <f t="shared" si="59"/>
        <v>2293209</v>
      </c>
      <c r="L75" s="32">
        <f t="shared" si="59"/>
        <v>2297244</v>
      </c>
      <c r="M75" s="32">
        <f t="shared" si="59"/>
        <v>2174082.2000000002</v>
      </c>
      <c r="N75" s="466">
        <f t="shared" si="52"/>
        <v>0.94638714912303623</v>
      </c>
      <c r="O75" s="123">
        <f t="shared" si="56"/>
        <v>43550</v>
      </c>
      <c r="P75" s="123">
        <f t="shared" si="56"/>
        <v>6945</v>
      </c>
      <c r="Q75" s="123">
        <f t="shared" si="56"/>
        <v>29045</v>
      </c>
      <c r="R75" s="123">
        <f t="shared" si="56"/>
        <v>41711</v>
      </c>
      <c r="S75" s="123">
        <f t="shared" si="56"/>
        <v>13753</v>
      </c>
      <c r="T75" s="123">
        <f t="shared" si="56"/>
        <v>-1424</v>
      </c>
      <c r="U75" s="123">
        <f t="shared" si="56"/>
        <v>310</v>
      </c>
      <c r="V75" s="123">
        <f t="shared" si="57"/>
        <v>-1591</v>
      </c>
      <c r="W75" s="123">
        <f t="shared" si="57"/>
        <v>4035</v>
      </c>
    </row>
    <row r="76" spans="1:23" ht="62.25" customHeight="1" x14ac:dyDescent="0.25"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35"/>
    </row>
    <row r="77" spans="1:23" ht="54" customHeight="1" x14ac:dyDescent="0.2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23" ht="15" customHeight="1" thickBot="1" x14ac:dyDescent="0.3">
      <c r="A78" s="672" t="s">
        <v>48</v>
      </c>
      <c r="B78" s="673"/>
      <c r="C78" s="673"/>
      <c r="D78" s="673"/>
      <c r="E78" s="673"/>
      <c r="F78" s="673"/>
      <c r="G78" s="673"/>
      <c r="H78" s="673"/>
      <c r="I78" s="673"/>
      <c r="J78" s="673"/>
      <c r="K78" s="673"/>
      <c r="L78" s="673"/>
      <c r="M78" s="673"/>
    </row>
    <row r="79" spans="1:23" ht="15" customHeight="1" x14ac:dyDescent="0.25">
      <c r="A79" s="644" t="s">
        <v>1</v>
      </c>
      <c r="B79" s="645"/>
      <c r="C79" s="638" t="s">
        <v>323</v>
      </c>
      <c r="D79" s="638" t="s">
        <v>562</v>
      </c>
      <c r="E79" s="638" t="s">
        <v>563</v>
      </c>
      <c r="F79" s="638" t="s">
        <v>564</v>
      </c>
      <c r="G79" s="638" t="s">
        <v>565</v>
      </c>
      <c r="H79" s="638" t="s">
        <v>566</v>
      </c>
      <c r="I79" s="638" t="s">
        <v>567</v>
      </c>
      <c r="J79" s="638" t="s">
        <v>605</v>
      </c>
      <c r="K79" s="638" t="s">
        <v>640</v>
      </c>
      <c r="L79" s="638" t="s">
        <v>656</v>
      </c>
      <c r="M79" s="638" t="s">
        <v>677</v>
      </c>
      <c r="N79" s="666" t="s">
        <v>354</v>
      </c>
    </row>
    <row r="80" spans="1:23" ht="15.75" thickBot="1" x14ac:dyDescent="0.3">
      <c r="A80" s="646"/>
      <c r="B80" s="647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39"/>
      <c r="N80" s="667"/>
    </row>
    <row r="81" spans="1:15" ht="15.75" thickBot="1" x14ac:dyDescent="0.3">
      <c r="A81" s="36" t="s">
        <v>49</v>
      </c>
      <c r="B81" s="37"/>
      <c r="C81" s="38">
        <f t="shared" ref="C81:M81" si="60">SUM(C82:C86)</f>
        <v>269300</v>
      </c>
      <c r="D81" s="38">
        <f t="shared" si="60"/>
        <v>272000</v>
      </c>
      <c r="E81" s="38">
        <f t="shared" si="60"/>
        <v>270845</v>
      </c>
      <c r="F81" s="38">
        <f t="shared" si="60"/>
        <v>273290</v>
      </c>
      <c r="G81" s="38">
        <f t="shared" si="60"/>
        <v>279290</v>
      </c>
      <c r="H81" s="38">
        <f t="shared" si="60"/>
        <v>279290</v>
      </c>
      <c r="I81" s="38">
        <f t="shared" si="60"/>
        <v>279290</v>
      </c>
      <c r="J81" s="38">
        <f t="shared" si="60"/>
        <v>279810</v>
      </c>
      <c r="K81" s="38">
        <f t="shared" si="60"/>
        <v>280410</v>
      </c>
      <c r="L81" s="38">
        <f t="shared" si="60"/>
        <v>280310</v>
      </c>
      <c r="M81" s="38">
        <f t="shared" si="60"/>
        <v>231640</v>
      </c>
      <c r="N81" s="466">
        <f>M81/L81</f>
        <v>0.82637080375298777</v>
      </c>
    </row>
    <row r="82" spans="1:15" x14ac:dyDescent="0.25">
      <c r="A82" s="135" t="s">
        <v>50</v>
      </c>
      <c r="B82" s="39" t="s">
        <v>51</v>
      </c>
      <c r="C82" s="169">
        <v>121700</v>
      </c>
      <c r="D82" s="492">
        <f>121700+300</f>
        <v>122000</v>
      </c>
      <c r="E82" s="169">
        <f>121700+300</f>
        <v>122000</v>
      </c>
      <c r="F82" s="169">
        <f>121700+300</f>
        <v>122000</v>
      </c>
      <c r="G82" s="492">
        <f>121700+300+6000</f>
        <v>128000</v>
      </c>
      <c r="H82" s="169">
        <f>121700+300+6000</f>
        <v>128000</v>
      </c>
      <c r="I82" s="169">
        <f>121700+300+6000</f>
        <v>128000</v>
      </c>
      <c r="J82" s="492">
        <f>121700+300+6000+520</f>
        <v>128520</v>
      </c>
      <c r="K82" s="492">
        <f>121700+300+6000+520+10000-300-6500</f>
        <v>131720</v>
      </c>
      <c r="L82" s="169">
        <f>121700+300+6000+520+10000-300-6500</f>
        <v>131720</v>
      </c>
      <c r="M82" s="169">
        <v>107957</v>
      </c>
      <c r="N82" s="466">
        <f t="shared" ref="N82:N145" si="61">M82/L82</f>
        <v>0.81959459459459461</v>
      </c>
    </row>
    <row r="83" spans="1:15" x14ac:dyDescent="0.25">
      <c r="A83" s="136" t="s">
        <v>52</v>
      </c>
      <c r="B83" s="25" t="s">
        <v>173</v>
      </c>
      <c r="C83" s="168">
        <v>86600</v>
      </c>
      <c r="D83" s="465">
        <f>86600+300</f>
        <v>86900</v>
      </c>
      <c r="E83" s="465">
        <f t="shared" ref="E83:K83" si="62">86600+300-1300</f>
        <v>85600</v>
      </c>
      <c r="F83" s="168">
        <f t="shared" si="62"/>
        <v>85600</v>
      </c>
      <c r="G83" s="168">
        <f t="shared" si="62"/>
        <v>85600</v>
      </c>
      <c r="H83" s="168">
        <f t="shared" si="62"/>
        <v>85600</v>
      </c>
      <c r="I83" s="168">
        <f t="shared" si="62"/>
        <v>85600</v>
      </c>
      <c r="J83" s="168">
        <f t="shared" si="62"/>
        <v>85600</v>
      </c>
      <c r="K83" s="168">
        <f t="shared" si="62"/>
        <v>85600</v>
      </c>
      <c r="L83" s="465">
        <f>86600+300-1300-100</f>
        <v>85500</v>
      </c>
      <c r="M83" s="168">
        <v>68901</v>
      </c>
      <c r="N83" s="466">
        <f t="shared" si="61"/>
        <v>0.80585964912280705</v>
      </c>
    </row>
    <row r="84" spans="1:15" x14ac:dyDescent="0.25">
      <c r="A84" s="136" t="s">
        <v>53</v>
      </c>
      <c r="B84" s="25" t="s">
        <v>172</v>
      </c>
      <c r="C84" s="168">
        <v>4000</v>
      </c>
      <c r="D84" s="168">
        <v>4000</v>
      </c>
      <c r="E84" s="168">
        <f>4000</f>
        <v>4000</v>
      </c>
      <c r="F84" s="465">
        <f t="shared" ref="F84:J84" si="63">4000+2000</f>
        <v>6000</v>
      </c>
      <c r="G84" s="168">
        <f t="shared" si="63"/>
        <v>6000</v>
      </c>
      <c r="H84" s="168">
        <f t="shared" si="63"/>
        <v>6000</v>
      </c>
      <c r="I84" s="168">
        <f t="shared" si="63"/>
        <v>6000</v>
      </c>
      <c r="J84" s="168">
        <f t="shared" si="63"/>
        <v>6000</v>
      </c>
      <c r="K84" s="465">
        <f>4000+2000+200</f>
        <v>6200</v>
      </c>
      <c r="L84" s="168">
        <f>4000+2000+200</f>
        <v>6200</v>
      </c>
      <c r="M84" s="168">
        <v>4907</v>
      </c>
      <c r="N84" s="466">
        <f t="shared" si="61"/>
        <v>0.79145161290322585</v>
      </c>
    </row>
    <row r="85" spans="1:15" x14ac:dyDescent="0.25">
      <c r="A85" s="137" t="s">
        <v>54</v>
      </c>
      <c r="B85" s="25" t="s">
        <v>356</v>
      </c>
      <c r="C85" s="168">
        <v>53000</v>
      </c>
      <c r="D85" s="168">
        <f>53000</f>
        <v>53000</v>
      </c>
      <c r="E85" s="168">
        <f>53000</f>
        <v>53000</v>
      </c>
      <c r="F85" s="465">
        <f>53000+440</f>
        <v>53440</v>
      </c>
      <c r="G85" s="168">
        <f>53000+440</f>
        <v>53440</v>
      </c>
      <c r="H85" s="168">
        <f>53000+440</f>
        <v>53440</v>
      </c>
      <c r="I85" s="168">
        <f>53000+440</f>
        <v>53440</v>
      </c>
      <c r="J85" s="168">
        <f>53000+440</f>
        <v>53440</v>
      </c>
      <c r="K85" s="465">
        <f>53000+440-2800</f>
        <v>50640</v>
      </c>
      <c r="L85" s="168">
        <f>53000+440-2800</f>
        <v>50640</v>
      </c>
      <c r="M85" s="168">
        <v>43664</v>
      </c>
      <c r="N85" s="466">
        <f t="shared" si="61"/>
        <v>0.86224328593996835</v>
      </c>
      <c r="O85" s="110" t="s">
        <v>381</v>
      </c>
    </row>
    <row r="86" spans="1:15" ht="15.75" thickBot="1" x14ac:dyDescent="0.3">
      <c r="A86" s="138" t="s">
        <v>56</v>
      </c>
      <c r="B86" s="3" t="s">
        <v>57</v>
      </c>
      <c r="C86" s="42">
        <v>4000</v>
      </c>
      <c r="D86" s="454">
        <f>4000+2100</f>
        <v>6100</v>
      </c>
      <c r="E86" s="454">
        <f>4000+2100+145</f>
        <v>6245</v>
      </c>
      <c r="F86" s="454">
        <f t="shared" ref="F86:L86" si="64">4000+2100+145+5</f>
        <v>6250</v>
      </c>
      <c r="G86" s="50">
        <f t="shared" si="64"/>
        <v>6250</v>
      </c>
      <c r="H86" s="50">
        <f t="shared" si="64"/>
        <v>6250</v>
      </c>
      <c r="I86" s="50">
        <f t="shared" si="64"/>
        <v>6250</v>
      </c>
      <c r="J86" s="50">
        <f t="shared" si="64"/>
        <v>6250</v>
      </c>
      <c r="K86" s="50">
        <f t="shared" si="64"/>
        <v>6250</v>
      </c>
      <c r="L86" s="50">
        <f t="shared" si="64"/>
        <v>6250</v>
      </c>
      <c r="M86" s="42">
        <v>6211</v>
      </c>
      <c r="N86" s="466">
        <f t="shared" si="61"/>
        <v>0.99375999999999998</v>
      </c>
    </row>
    <row r="87" spans="1:15" ht="15.75" thickBot="1" x14ac:dyDescent="0.3">
      <c r="A87" s="43" t="s">
        <v>58</v>
      </c>
      <c r="B87" s="44"/>
      <c r="C87" s="38">
        <f t="shared" ref="C87:L87" si="65">SUM(C88)</f>
        <v>1660</v>
      </c>
      <c r="D87" s="38">
        <f t="shared" si="65"/>
        <v>1672</v>
      </c>
      <c r="E87" s="38">
        <f t="shared" si="65"/>
        <v>1672</v>
      </c>
      <c r="F87" s="38">
        <f t="shared" si="65"/>
        <v>1672</v>
      </c>
      <c r="G87" s="38">
        <f t="shared" si="65"/>
        <v>1672</v>
      </c>
      <c r="H87" s="38">
        <f t="shared" si="65"/>
        <v>1672</v>
      </c>
      <c r="I87" s="38">
        <f t="shared" si="65"/>
        <v>1672</v>
      </c>
      <c r="J87" s="38">
        <f t="shared" si="65"/>
        <v>1672</v>
      </c>
      <c r="K87" s="38">
        <f t="shared" si="65"/>
        <v>1672</v>
      </c>
      <c r="L87" s="38">
        <f t="shared" si="65"/>
        <v>1672</v>
      </c>
      <c r="M87" s="38">
        <f t="shared" ref="M87" si="66">SUM(M88)</f>
        <v>1635</v>
      </c>
      <c r="N87" s="466">
        <f t="shared" si="61"/>
        <v>0.97787081339712922</v>
      </c>
    </row>
    <row r="88" spans="1:15" ht="15.75" thickBot="1" x14ac:dyDescent="0.3">
      <c r="A88" s="139" t="s">
        <v>59</v>
      </c>
      <c r="B88" s="34" t="s">
        <v>60</v>
      </c>
      <c r="C88" s="180">
        <v>1660</v>
      </c>
      <c r="D88" s="476">
        <f t="shared" ref="D88:L88" si="67">1660+12</f>
        <v>1672</v>
      </c>
      <c r="E88" s="180">
        <f t="shared" si="67"/>
        <v>1672</v>
      </c>
      <c r="F88" s="180">
        <f t="shared" si="67"/>
        <v>1672</v>
      </c>
      <c r="G88" s="180">
        <f t="shared" si="67"/>
        <v>1672</v>
      </c>
      <c r="H88" s="180">
        <f t="shared" si="67"/>
        <v>1672</v>
      </c>
      <c r="I88" s="180">
        <f t="shared" si="67"/>
        <v>1672</v>
      </c>
      <c r="J88" s="180">
        <f t="shared" si="67"/>
        <v>1672</v>
      </c>
      <c r="K88" s="180">
        <f t="shared" si="67"/>
        <v>1672</v>
      </c>
      <c r="L88" s="180">
        <f t="shared" si="67"/>
        <v>1672</v>
      </c>
      <c r="M88" s="180">
        <v>1635</v>
      </c>
      <c r="N88" s="466">
        <f t="shared" si="61"/>
        <v>0.97787081339712922</v>
      </c>
    </row>
    <row r="89" spans="1:15" ht="15.75" thickBot="1" x14ac:dyDescent="0.3">
      <c r="A89" s="43" t="s">
        <v>61</v>
      </c>
      <c r="B89" s="44"/>
      <c r="C89" s="38">
        <f t="shared" ref="C89:H89" si="68">SUM(C90:C91)</f>
        <v>14900</v>
      </c>
      <c r="D89" s="38">
        <f t="shared" si="68"/>
        <v>14900</v>
      </c>
      <c r="E89" s="38">
        <f t="shared" si="68"/>
        <v>16200</v>
      </c>
      <c r="F89" s="38">
        <f t="shared" si="68"/>
        <v>14900</v>
      </c>
      <c r="G89" s="38">
        <f t="shared" si="68"/>
        <v>14900</v>
      </c>
      <c r="H89" s="38">
        <f t="shared" si="68"/>
        <v>14900</v>
      </c>
      <c r="I89" s="38">
        <f t="shared" ref="I89:M89" si="69">SUM(I90:I91)</f>
        <v>14900</v>
      </c>
      <c r="J89" s="38">
        <f t="shared" si="69"/>
        <v>15100</v>
      </c>
      <c r="K89" s="38">
        <f t="shared" si="69"/>
        <v>15100</v>
      </c>
      <c r="L89" s="38">
        <f t="shared" si="69"/>
        <v>15200</v>
      </c>
      <c r="M89" s="38">
        <f t="shared" si="69"/>
        <v>11263</v>
      </c>
      <c r="N89" s="466">
        <f t="shared" si="61"/>
        <v>0.74098684210526311</v>
      </c>
    </row>
    <row r="90" spans="1:15" x14ac:dyDescent="0.25">
      <c r="A90" s="45" t="s">
        <v>62</v>
      </c>
      <c r="B90" s="46" t="s">
        <v>63</v>
      </c>
      <c r="C90" s="47">
        <v>13600</v>
      </c>
      <c r="D90" s="47">
        <v>13600</v>
      </c>
      <c r="E90" s="478">
        <f>13600+1300</f>
        <v>14900</v>
      </c>
      <c r="F90" s="478">
        <f t="shared" ref="F90:L90" si="70">13600+1300-1300</f>
        <v>13600</v>
      </c>
      <c r="G90" s="47">
        <f t="shared" si="70"/>
        <v>13600</v>
      </c>
      <c r="H90" s="47">
        <f t="shared" si="70"/>
        <v>13600</v>
      </c>
      <c r="I90" s="47">
        <f t="shared" si="70"/>
        <v>13600</v>
      </c>
      <c r="J90" s="47">
        <f t="shared" si="70"/>
        <v>13600</v>
      </c>
      <c r="K90" s="47">
        <f t="shared" si="70"/>
        <v>13600</v>
      </c>
      <c r="L90" s="47">
        <f t="shared" si="70"/>
        <v>13600</v>
      </c>
      <c r="M90" s="47">
        <v>10063</v>
      </c>
      <c r="N90" s="466">
        <f t="shared" si="61"/>
        <v>0.73992647058823524</v>
      </c>
    </row>
    <row r="91" spans="1:15" ht="15.75" thickBot="1" x14ac:dyDescent="0.3">
      <c r="A91" s="48" t="s">
        <v>64</v>
      </c>
      <c r="B91" s="49" t="s">
        <v>619</v>
      </c>
      <c r="C91" s="50">
        <v>1300</v>
      </c>
      <c r="D91" s="50">
        <v>1300</v>
      </c>
      <c r="E91" s="50">
        <v>1300</v>
      </c>
      <c r="F91" s="50">
        <v>1300</v>
      </c>
      <c r="G91" s="50">
        <v>1300</v>
      </c>
      <c r="H91" s="50">
        <v>1300</v>
      </c>
      <c r="I91" s="50">
        <v>1300</v>
      </c>
      <c r="J91" s="454">
        <f>1300+200</f>
        <v>1500</v>
      </c>
      <c r="K91" s="50">
        <f>1300+200</f>
        <v>1500</v>
      </c>
      <c r="L91" s="454">
        <f>1300+200+100</f>
        <v>1600</v>
      </c>
      <c r="M91" s="50">
        <v>1200</v>
      </c>
      <c r="N91" s="466">
        <f t="shared" si="61"/>
        <v>0.75</v>
      </c>
    </row>
    <row r="92" spans="1:15" ht="15.75" thickBot="1" x14ac:dyDescent="0.3">
      <c r="A92" s="36" t="s">
        <v>66</v>
      </c>
      <c r="B92" s="140"/>
      <c r="C92" s="38">
        <f t="shared" ref="C92:M92" si="71">SUM(C93:C96)</f>
        <v>66150</v>
      </c>
      <c r="D92" s="38">
        <f t="shared" si="71"/>
        <v>81870</v>
      </c>
      <c r="E92" s="38">
        <f t="shared" si="71"/>
        <v>79870</v>
      </c>
      <c r="F92" s="38">
        <f t="shared" si="71"/>
        <v>79170</v>
      </c>
      <c r="G92" s="38">
        <f t="shared" si="71"/>
        <v>73170</v>
      </c>
      <c r="H92" s="38">
        <f t="shared" si="71"/>
        <v>72670</v>
      </c>
      <c r="I92" s="38">
        <f t="shared" si="71"/>
        <v>75170</v>
      </c>
      <c r="J92" s="38">
        <f t="shared" si="71"/>
        <v>79120</v>
      </c>
      <c r="K92" s="38">
        <f t="shared" si="71"/>
        <v>79120</v>
      </c>
      <c r="L92" s="38">
        <f t="shared" si="71"/>
        <v>79970</v>
      </c>
      <c r="M92" s="38">
        <f t="shared" si="71"/>
        <v>56565</v>
      </c>
      <c r="N92" s="466">
        <f t="shared" si="61"/>
        <v>0.7073277479054646</v>
      </c>
    </row>
    <row r="93" spans="1:15" x14ac:dyDescent="0.25">
      <c r="A93" s="51" t="s">
        <v>67</v>
      </c>
      <c r="B93" s="14" t="s">
        <v>659</v>
      </c>
      <c r="C93" s="15">
        <v>20200</v>
      </c>
      <c r="D93" s="15">
        <v>20200</v>
      </c>
      <c r="E93" s="15">
        <v>20200</v>
      </c>
      <c r="F93" s="15">
        <v>20200</v>
      </c>
      <c r="G93" s="15">
        <v>20200</v>
      </c>
      <c r="H93" s="15">
        <v>20200</v>
      </c>
      <c r="I93" s="15">
        <f>20200</f>
        <v>20200</v>
      </c>
      <c r="J93" s="482">
        <f>20200+3950</f>
        <v>24150</v>
      </c>
      <c r="K93" s="15">
        <f>20200+3950</f>
        <v>24150</v>
      </c>
      <c r="L93" s="15">
        <f>20200+3950</f>
        <v>24150</v>
      </c>
      <c r="M93" s="15">
        <v>22533</v>
      </c>
      <c r="N93" s="466">
        <f t="shared" si="61"/>
        <v>0.93304347826086953</v>
      </c>
    </row>
    <row r="94" spans="1:15" x14ac:dyDescent="0.25">
      <c r="A94" s="137" t="s">
        <v>69</v>
      </c>
      <c r="B94" s="25" t="s">
        <v>70</v>
      </c>
      <c r="C94" s="41">
        <v>20800</v>
      </c>
      <c r="D94" s="477">
        <f>20800+17000-1500</f>
        <v>36300</v>
      </c>
      <c r="E94" s="477">
        <f t="shared" ref="E94:K94" si="72">20800+17000-1500-2000</f>
        <v>34300</v>
      </c>
      <c r="F94" s="18">
        <f t="shared" si="72"/>
        <v>34300</v>
      </c>
      <c r="G94" s="18">
        <f t="shared" si="72"/>
        <v>34300</v>
      </c>
      <c r="H94" s="18">
        <f t="shared" si="72"/>
        <v>34300</v>
      </c>
      <c r="I94" s="18">
        <f t="shared" si="72"/>
        <v>34300</v>
      </c>
      <c r="J94" s="18">
        <f t="shared" si="72"/>
        <v>34300</v>
      </c>
      <c r="K94" s="18">
        <f t="shared" si="72"/>
        <v>34300</v>
      </c>
      <c r="L94" s="477">
        <f>20800+17000-1500-2000+850</f>
        <v>35150</v>
      </c>
      <c r="M94" s="18">
        <v>23593</v>
      </c>
      <c r="N94" s="466">
        <f t="shared" si="61"/>
        <v>0.67120910384068277</v>
      </c>
    </row>
    <row r="95" spans="1:15" x14ac:dyDescent="0.25">
      <c r="A95" s="137" t="s">
        <v>71</v>
      </c>
      <c r="B95" s="25" t="s">
        <v>72</v>
      </c>
      <c r="C95" s="18">
        <v>25000</v>
      </c>
      <c r="D95" s="18">
        <v>25000</v>
      </c>
      <c r="E95" s="18">
        <v>25000</v>
      </c>
      <c r="F95" s="477">
        <f>25000-700</f>
        <v>24300</v>
      </c>
      <c r="G95" s="477">
        <f>25000-700-6000</f>
        <v>18300</v>
      </c>
      <c r="H95" s="477">
        <f>25000-700-6000-500</f>
        <v>17800</v>
      </c>
      <c r="I95" s="477">
        <f>25000-700-6000-500+2500</f>
        <v>20300</v>
      </c>
      <c r="J95" s="18">
        <f>25000-700-6000-500+2500</f>
        <v>20300</v>
      </c>
      <c r="K95" s="18">
        <f>25000-700-6000-500+2500</f>
        <v>20300</v>
      </c>
      <c r="L95" s="18">
        <f>25000-700-6000-500+2500</f>
        <v>20300</v>
      </c>
      <c r="M95" s="18">
        <v>10439</v>
      </c>
      <c r="N95" s="466">
        <f t="shared" si="61"/>
        <v>0.51423645320197042</v>
      </c>
    </row>
    <row r="96" spans="1:15" ht="15.75" thickBot="1" x14ac:dyDescent="0.3">
      <c r="A96" s="137" t="s">
        <v>73</v>
      </c>
      <c r="B96" s="25" t="s">
        <v>74</v>
      </c>
      <c r="C96" s="18">
        <v>150</v>
      </c>
      <c r="D96" s="477">
        <f t="shared" ref="D96:L96" si="73">150+220</f>
        <v>370</v>
      </c>
      <c r="E96" s="18">
        <f t="shared" si="73"/>
        <v>370</v>
      </c>
      <c r="F96" s="18">
        <f t="shared" si="73"/>
        <v>370</v>
      </c>
      <c r="G96" s="18">
        <f t="shared" si="73"/>
        <v>370</v>
      </c>
      <c r="H96" s="18">
        <f t="shared" si="73"/>
        <v>370</v>
      </c>
      <c r="I96" s="18">
        <f t="shared" si="73"/>
        <v>370</v>
      </c>
      <c r="J96" s="18">
        <f t="shared" si="73"/>
        <v>370</v>
      </c>
      <c r="K96" s="18">
        <f t="shared" si="73"/>
        <v>370</v>
      </c>
      <c r="L96" s="18">
        <f t="shared" si="73"/>
        <v>370</v>
      </c>
      <c r="M96" s="18">
        <v>0</v>
      </c>
      <c r="N96" s="466">
        <f t="shared" si="61"/>
        <v>0</v>
      </c>
    </row>
    <row r="97" spans="1:14" ht="15.75" thickBot="1" x14ac:dyDescent="0.3">
      <c r="A97" s="652" t="s">
        <v>75</v>
      </c>
      <c r="B97" s="653"/>
      <c r="C97" s="38">
        <f t="shared" ref="C97:H97" si="74">SUM(C98:C101)</f>
        <v>112450</v>
      </c>
      <c r="D97" s="38">
        <f t="shared" si="74"/>
        <v>108600</v>
      </c>
      <c r="E97" s="38">
        <f t="shared" si="74"/>
        <v>108600</v>
      </c>
      <c r="F97" s="38">
        <f t="shared" si="74"/>
        <v>108600</v>
      </c>
      <c r="G97" s="38">
        <f t="shared" si="74"/>
        <v>108600</v>
      </c>
      <c r="H97" s="38">
        <f t="shared" si="74"/>
        <v>108600</v>
      </c>
      <c r="I97" s="38">
        <f t="shared" ref="I97:M97" si="75">SUM(I98:I101)</f>
        <v>108600</v>
      </c>
      <c r="J97" s="38">
        <f t="shared" si="75"/>
        <v>108300</v>
      </c>
      <c r="K97" s="38">
        <f t="shared" si="75"/>
        <v>108300</v>
      </c>
      <c r="L97" s="38">
        <f t="shared" si="75"/>
        <v>108300</v>
      </c>
      <c r="M97" s="38">
        <f t="shared" si="75"/>
        <v>90857</v>
      </c>
      <c r="N97" s="466">
        <f t="shared" si="61"/>
        <v>0.838938134810711</v>
      </c>
    </row>
    <row r="98" spans="1:14" x14ac:dyDescent="0.25">
      <c r="A98" s="141" t="s">
        <v>76</v>
      </c>
      <c r="B98" s="52" t="s">
        <v>260</v>
      </c>
      <c r="C98" s="53">
        <v>66000</v>
      </c>
      <c r="D98" s="478">
        <f t="shared" ref="D98:L98" si="76">66000+150</f>
        <v>66150</v>
      </c>
      <c r="E98" s="47">
        <f t="shared" si="76"/>
        <v>66150</v>
      </c>
      <c r="F98" s="47">
        <f t="shared" si="76"/>
        <v>66150</v>
      </c>
      <c r="G98" s="47">
        <f t="shared" si="76"/>
        <v>66150</v>
      </c>
      <c r="H98" s="47">
        <f t="shared" si="76"/>
        <v>66150</v>
      </c>
      <c r="I98" s="47">
        <f t="shared" si="76"/>
        <v>66150</v>
      </c>
      <c r="J98" s="47">
        <f t="shared" si="76"/>
        <v>66150</v>
      </c>
      <c r="K98" s="47">
        <f t="shared" si="76"/>
        <v>66150</v>
      </c>
      <c r="L98" s="47">
        <f t="shared" si="76"/>
        <v>66150</v>
      </c>
      <c r="M98" s="53">
        <v>55351</v>
      </c>
      <c r="N98" s="466">
        <f t="shared" si="61"/>
        <v>0.83674981103552537</v>
      </c>
    </row>
    <row r="99" spans="1:14" x14ac:dyDescent="0.25">
      <c r="A99" s="137" t="s">
        <v>77</v>
      </c>
      <c r="B99" s="467" t="s">
        <v>78</v>
      </c>
      <c r="C99" s="41">
        <v>36800</v>
      </c>
      <c r="D99" s="479">
        <f t="shared" ref="D99:L99" si="77">36800-4000</f>
        <v>32800</v>
      </c>
      <c r="E99" s="320">
        <f t="shared" si="77"/>
        <v>32800</v>
      </c>
      <c r="F99" s="320">
        <f t="shared" si="77"/>
        <v>32800</v>
      </c>
      <c r="G99" s="320">
        <f t="shared" si="77"/>
        <v>32800</v>
      </c>
      <c r="H99" s="320">
        <f t="shared" si="77"/>
        <v>32800</v>
      </c>
      <c r="I99" s="320">
        <f t="shared" si="77"/>
        <v>32800</v>
      </c>
      <c r="J99" s="320">
        <f t="shared" si="77"/>
        <v>32800</v>
      </c>
      <c r="K99" s="320">
        <f t="shared" si="77"/>
        <v>32800</v>
      </c>
      <c r="L99" s="320">
        <f t="shared" si="77"/>
        <v>32800</v>
      </c>
      <c r="M99" s="41">
        <v>30304</v>
      </c>
      <c r="N99" s="466">
        <f t="shared" si="61"/>
        <v>0.92390243902439029</v>
      </c>
    </row>
    <row r="100" spans="1:14" x14ac:dyDescent="0.25">
      <c r="A100" s="139" t="s">
        <v>79</v>
      </c>
      <c r="B100" s="468" t="s">
        <v>80</v>
      </c>
      <c r="C100" s="55">
        <v>1450</v>
      </c>
      <c r="D100" s="308">
        <v>1450</v>
      </c>
      <c r="E100" s="499">
        <v>1450</v>
      </c>
      <c r="F100" s="499">
        <v>1450</v>
      </c>
      <c r="G100" s="499">
        <v>1450</v>
      </c>
      <c r="H100" s="499">
        <v>1450</v>
      </c>
      <c r="I100" s="499">
        <v>1450</v>
      </c>
      <c r="J100" s="587">
        <f>1450-300</f>
        <v>1150</v>
      </c>
      <c r="K100" s="499">
        <f>1450-300</f>
        <v>1150</v>
      </c>
      <c r="L100" s="499">
        <f>1450-300</f>
        <v>1150</v>
      </c>
      <c r="M100" s="306">
        <v>1073</v>
      </c>
      <c r="N100" s="466">
        <f t="shared" si="61"/>
        <v>0.93304347826086953</v>
      </c>
    </row>
    <row r="101" spans="1:14" ht="15.75" thickBot="1" x14ac:dyDescent="0.3">
      <c r="A101" s="142" t="s">
        <v>81</v>
      </c>
      <c r="B101" s="469" t="s">
        <v>170</v>
      </c>
      <c r="C101" s="57">
        <v>8200</v>
      </c>
      <c r="D101" s="309">
        <v>8200</v>
      </c>
      <c r="E101" s="309">
        <v>8200</v>
      </c>
      <c r="F101" s="309">
        <v>8200</v>
      </c>
      <c r="G101" s="309">
        <v>8200</v>
      </c>
      <c r="H101" s="309">
        <v>8200</v>
      </c>
      <c r="I101" s="309">
        <v>8200</v>
      </c>
      <c r="J101" s="309">
        <v>8200</v>
      </c>
      <c r="K101" s="309">
        <v>8200</v>
      </c>
      <c r="L101" s="309">
        <v>8200</v>
      </c>
      <c r="M101" s="309">
        <v>4129</v>
      </c>
      <c r="N101" s="466">
        <f t="shared" si="61"/>
        <v>0.50353658536585366</v>
      </c>
    </row>
    <row r="102" spans="1:14" ht="15.75" thickBot="1" x14ac:dyDescent="0.3">
      <c r="A102" s="36" t="s">
        <v>82</v>
      </c>
      <c r="B102" s="470"/>
      <c r="C102" s="38">
        <f t="shared" ref="C102:M102" si="78">SUM(C103:C105)</f>
        <v>167335</v>
      </c>
      <c r="D102" s="310">
        <f t="shared" si="78"/>
        <v>165110</v>
      </c>
      <c r="E102" s="310">
        <f t="shared" si="78"/>
        <v>165110</v>
      </c>
      <c r="F102" s="310">
        <f t="shared" si="78"/>
        <v>166710</v>
      </c>
      <c r="G102" s="310">
        <f t="shared" si="78"/>
        <v>168710</v>
      </c>
      <c r="H102" s="310">
        <f t="shared" si="78"/>
        <v>169210</v>
      </c>
      <c r="I102" s="310">
        <f t="shared" si="78"/>
        <v>169210</v>
      </c>
      <c r="J102" s="310">
        <f t="shared" si="78"/>
        <v>169610</v>
      </c>
      <c r="K102" s="310">
        <f t="shared" si="78"/>
        <v>169610</v>
      </c>
      <c r="L102" s="310">
        <f t="shared" si="78"/>
        <v>169610</v>
      </c>
      <c r="M102" s="310">
        <f t="shared" si="78"/>
        <v>130822</v>
      </c>
      <c r="N102" s="466">
        <f t="shared" si="61"/>
        <v>0.77131065385295683</v>
      </c>
    </row>
    <row r="103" spans="1:14" x14ac:dyDescent="0.25">
      <c r="A103" s="51" t="s">
        <v>83</v>
      </c>
      <c r="B103" s="471" t="s">
        <v>84</v>
      </c>
      <c r="C103" s="178">
        <v>128035</v>
      </c>
      <c r="D103" s="483">
        <f>128035-2000</f>
        <v>126035</v>
      </c>
      <c r="E103" s="319">
        <f>128035-2000</f>
        <v>126035</v>
      </c>
      <c r="F103" s="319">
        <f>128035-2000</f>
        <v>126035</v>
      </c>
      <c r="G103" s="483">
        <f>128035-2000+2000</f>
        <v>128035</v>
      </c>
      <c r="H103" s="319">
        <f>128035-2000+2000</f>
        <v>128035</v>
      </c>
      <c r="I103" s="319">
        <f>128035-2000+2000</f>
        <v>128035</v>
      </c>
      <c r="J103" s="483">
        <f>128035-2000+2000+400</f>
        <v>128435</v>
      </c>
      <c r="K103" s="319">
        <f>128035-2000+2000+400</f>
        <v>128435</v>
      </c>
      <c r="L103" s="319">
        <f>128035-2000+2000+400</f>
        <v>128435</v>
      </c>
      <c r="M103" s="319">
        <v>96103</v>
      </c>
      <c r="N103" s="466">
        <f t="shared" si="61"/>
        <v>0.7482617666523923</v>
      </c>
    </row>
    <row r="104" spans="1:14" x14ac:dyDescent="0.25">
      <c r="A104" s="58" t="s">
        <v>85</v>
      </c>
      <c r="B104" s="467" t="s">
        <v>86</v>
      </c>
      <c r="C104" s="41">
        <v>20800</v>
      </c>
      <c r="D104" s="479">
        <f t="shared" ref="D104:L104" si="79">20800-3000</f>
        <v>17800</v>
      </c>
      <c r="E104" s="320">
        <f t="shared" si="79"/>
        <v>17800</v>
      </c>
      <c r="F104" s="320">
        <f t="shared" si="79"/>
        <v>17800</v>
      </c>
      <c r="G104" s="320">
        <f t="shared" si="79"/>
        <v>17800</v>
      </c>
      <c r="H104" s="320">
        <f t="shared" si="79"/>
        <v>17800</v>
      </c>
      <c r="I104" s="320">
        <f t="shared" si="79"/>
        <v>17800</v>
      </c>
      <c r="J104" s="320">
        <f t="shared" si="79"/>
        <v>17800</v>
      </c>
      <c r="K104" s="320">
        <f t="shared" si="79"/>
        <v>17800</v>
      </c>
      <c r="L104" s="320">
        <f t="shared" si="79"/>
        <v>17800</v>
      </c>
      <c r="M104" s="320">
        <v>17218</v>
      </c>
      <c r="N104" s="466">
        <f t="shared" si="61"/>
        <v>0.96730337078651685</v>
      </c>
    </row>
    <row r="105" spans="1:14" ht="15.75" thickBot="1" x14ac:dyDescent="0.3">
      <c r="A105" s="59" t="s">
        <v>87</v>
      </c>
      <c r="B105" s="469" t="s">
        <v>88</v>
      </c>
      <c r="C105" s="181">
        <v>18500</v>
      </c>
      <c r="D105" s="480">
        <f>18500+2400+375</f>
        <v>21275</v>
      </c>
      <c r="E105" s="312">
        <f>18500+2400+375</f>
        <v>21275</v>
      </c>
      <c r="F105" s="480">
        <f>18500+2400+375+1600</f>
        <v>22875</v>
      </c>
      <c r="G105" s="312">
        <f>18500+2400+375+1600</f>
        <v>22875</v>
      </c>
      <c r="H105" s="480">
        <f>18500+2400+375+1600+500</f>
        <v>23375</v>
      </c>
      <c r="I105" s="312">
        <f>18500+2400+375+1600+500</f>
        <v>23375</v>
      </c>
      <c r="J105" s="312">
        <f>18500+2400+375+1600+500</f>
        <v>23375</v>
      </c>
      <c r="K105" s="312">
        <f>18500+2400+375+1600+500</f>
        <v>23375</v>
      </c>
      <c r="L105" s="312">
        <f>18500+2400+375+1600+500</f>
        <v>23375</v>
      </c>
      <c r="M105" s="312">
        <v>17501</v>
      </c>
      <c r="N105" s="466">
        <f t="shared" si="61"/>
        <v>0.74870588235294122</v>
      </c>
    </row>
    <row r="106" spans="1:14" ht="15.75" thickBot="1" x14ac:dyDescent="0.3">
      <c r="A106" s="60" t="s">
        <v>89</v>
      </c>
      <c r="B106" s="472"/>
      <c r="C106" s="61">
        <f t="shared" ref="C106:M106" si="80">SUM(C107:C110)</f>
        <v>700</v>
      </c>
      <c r="D106" s="313">
        <f t="shared" si="80"/>
        <v>1000</v>
      </c>
      <c r="E106" s="313">
        <f t="shared" si="80"/>
        <v>1000</v>
      </c>
      <c r="F106" s="313">
        <f t="shared" si="80"/>
        <v>1000</v>
      </c>
      <c r="G106" s="313">
        <f t="shared" si="80"/>
        <v>1000</v>
      </c>
      <c r="H106" s="313">
        <f t="shared" si="80"/>
        <v>1000</v>
      </c>
      <c r="I106" s="313">
        <f t="shared" si="80"/>
        <v>1000</v>
      </c>
      <c r="J106" s="313">
        <f t="shared" si="80"/>
        <v>1000</v>
      </c>
      <c r="K106" s="313">
        <f t="shared" si="80"/>
        <v>1000</v>
      </c>
      <c r="L106" s="313">
        <f t="shared" si="80"/>
        <v>1000</v>
      </c>
      <c r="M106" s="313">
        <f t="shared" si="80"/>
        <v>855</v>
      </c>
      <c r="N106" s="466">
        <f t="shared" si="61"/>
        <v>0.85499999999999998</v>
      </c>
    </row>
    <row r="107" spans="1:14" x14ac:dyDescent="0.25">
      <c r="A107" s="45" t="s">
        <v>90</v>
      </c>
      <c r="B107" s="473" t="s">
        <v>91</v>
      </c>
      <c r="C107" s="53">
        <v>50</v>
      </c>
      <c r="D107" s="53">
        <v>50</v>
      </c>
      <c r="E107" s="53">
        <v>50</v>
      </c>
      <c r="F107" s="53">
        <v>50</v>
      </c>
      <c r="G107" s="53">
        <v>50</v>
      </c>
      <c r="H107" s="53">
        <v>50</v>
      </c>
      <c r="I107" s="53">
        <v>50</v>
      </c>
      <c r="J107" s="53">
        <v>50</v>
      </c>
      <c r="K107" s="53">
        <v>50</v>
      </c>
      <c r="L107" s="53">
        <v>50</v>
      </c>
      <c r="M107" s="314">
        <v>40</v>
      </c>
      <c r="N107" s="466">
        <f t="shared" si="61"/>
        <v>0.8</v>
      </c>
    </row>
    <row r="108" spans="1:14" x14ac:dyDescent="0.25">
      <c r="A108" s="58" t="s">
        <v>92</v>
      </c>
      <c r="B108" s="467" t="s">
        <v>93</v>
      </c>
      <c r="C108" s="179">
        <v>50</v>
      </c>
      <c r="D108" s="179">
        <v>50</v>
      </c>
      <c r="E108" s="179">
        <v>50</v>
      </c>
      <c r="F108" s="179">
        <v>50</v>
      </c>
      <c r="G108" s="179">
        <v>50</v>
      </c>
      <c r="H108" s="179">
        <v>50</v>
      </c>
      <c r="I108" s="179">
        <v>50</v>
      </c>
      <c r="J108" s="179">
        <v>50</v>
      </c>
      <c r="K108" s="179">
        <v>50</v>
      </c>
      <c r="L108" s="179">
        <v>50</v>
      </c>
      <c r="M108" s="321">
        <v>28</v>
      </c>
      <c r="N108" s="466">
        <f t="shared" si="61"/>
        <v>0.56000000000000005</v>
      </c>
    </row>
    <row r="109" spans="1:14" ht="15.75" thickBot="1" x14ac:dyDescent="0.3">
      <c r="A109" s="59" t="s">
        <v>94</v>
      </c>
      <c r="B109" s="469" t="s">
        <v>358</v>
      </c>
      <c r="C109" s="57">
        <v>300</v>
      </c>
      <c r="D109" s="481">
        <f t="shared" ref="D109:L109" si="81">300+300</f>
        <v>600</v>
      </c>
      <c r="E109" s="181">
        <f t="shared" si="81"/>
        <v>600</v>
      </c>
      <c r="F109" s="181">
        <f t="shared" si="81"/>
        <v>600</v>
      </c>
      <c r="G109" s="181">
        <f t="shared" si="81"/>
        <v>600</v>
      </c>
      <c r="H109" s="181">
        <f t="shared" si="81"/>
        <v>600</v>
      </c>
      <c r="I109" s="181">
        <f t="shared" si="81"/>
        <v>600</v>
      </c>
      <c r="J109" s="181">
        <f t="shared" si="81"/>
        <v>600</v>
      </c>
      <c r="K109" s="181">
        <f t="shared" si="81"/>
        <v>600</v>
      </c>
      <c r="L109" s="181">
        <f t="shared" si="81"/>
        <v>600</v>
      </c>
      <c r="M109" s="309">
        <v>487</v>
      </c>
      <c r="N109" s="466">
        <f t="shared" si="61"/>
        <v>0.81166666666666665</v>
      </c>
    </row>
    <row r="110" spans="1:14" ht="15.75" thickBot="1" x14ac:dyDescent="0.3">
      <c r="A110" s="279" t="s">
        <v>242</v>
      </c>
      <c r="B110" s="474" t="s">
        <v>261</v>
      </c>
      <c r="C110" s="42">
        <v>300</v>
      </c>
      <c r="D110" s="42">
        <v>300</v>
      </c>
      <c r="E110" s="42">
        <v>300</v>
      </c>
      <c r="F110" s="42">
        <v>300</v>
      </c>
      <c r="G110" s="42">
        <v>300</v>
      </c>
      <c r="H110" s="42">
        <v>300</v>
      </c>
      <c r="I110" s="42">
        <v>300</v>
      </c>
      <c r="J110" s="42">
        <v>300</v>
      </c>
      <c r="K110" s="42">
        <v>300</v>
      </c>
      <c r="L110" s="42">
        <v>300</v>
      </c>
      <c r="M110" s="316">
        <v>300</v>
      </c>
      <c r="N110" s="466">
        <f t="shared" si="61"/>
        <v>1</v>
      </c>
    </row>
    <row r="111" spans="1:14" ht="15.75" thickBot="1" x14ac:dyDescent="0.3">
      <c r="A111" s="62" t="s">
        <v>96</v>
      </c>
      <c r="B111" s="475"/>
      <c r="C111" s="64">
        <f t="shared" ref="C111:M111" si="82">SUM(C112:C116)</f>
        <v>132750</v>
      </c>
      <c r="D111" s="317">
        <f t="shared" si="82"/>
        <v>147184</v>
      </c>
      <c r="E111" s="317">
        <f t="shared" si="82"/>
        <v>153184</v>
      </c>
      <c r="F111" s="317">
        <f t="shared" si="82"/>
        <v>173884</v>
      </c>
      <c r="G111" s="317">
        <f t="shared" si="82"/>
        <v>168984</v>
      </c>
      <c r="H111" s="317">
        <f t="shared" si="82"/>
        <v>168984</v>
      </c>
      <c r="I111" s="317">
        <f t="shared" si="82"/>
        <v>161584</v>
      </c>
      <c r="J111" s="317">
        <f t="shared" si="82"/>
        <v>156814</v>
      </c>
      <c r="K111" s="317">
        <f t="shared" si="82"/>
        <v>156814</v>
      </c>
      <c r="L111" s="317">
        <f t="shared" si="82"/>
        <v>156814</v>
      </c>
      <c r="M111" s="317">
        <f t="shared" si="82"/>
        <v>134379</v>
      </c>
      <c r="N111" s="466">
        <f t="shared" si="61"/>
        <v>0.85693241674850462</v>
      </c>
    </row>
    <row r="112" spans="1:14" x14ac:dyDescent="0.25">
      <c r="A112" s="141" t="s">
        <v>97</v>
      </c>
      <c r="B112" s="52" t="s">
        <v>359</v>
      </c>
      <c r="C112" s="47">
        <v>20700</v>
      </c>
      <c r="D112" s="478">
        <f>20700+500+904</f>
        <v>22104</v>
      </c>
      <c r="E112" s="47">
        <f>20700+500+904</f>
        <v>22104</v>
      </c>
      <c r="F112" s="478">
        <f>20700+500+904-800-1300</f>
        <v>20004</v>
      </c>
      <c r="G112" s="47">
        <f>20700+500+904-800-1300</f>
        <v>20004</v>
      </c>
      <c r="H112" s="47">
        <f>20700+500+904-800-1300</f>
        <v>20004</v>
      </c>
      <c r="I112" s="47">
        <f>20700+500+904-800-1300</f>
        <v>20004</v>
      </c>
      <c r="J112" s="478">
        <f>20700+500+904-800-1300-850</f>
        <v>19154</v>
      </c>
      <c r="K112" s="47">
        <f>20700+500+904-800-1300-850</f>
        <v>19154</v>
      </c>
      <c r="L112" s="47">
        <f>20700+500+904-800-1300-850</f>
        <v>19154</v>
      </c>
      <c r="M112" s="322">
        <v>16936</v>
      </c>
      <c r="N112" s="466">
        <f t="shared" si="61"/>
        <v>0.8842017333194111</v>
      </c>
    </row>
    <row r="113" spans="1:18" x14ac:dyDescent="0.25">
      <c r="A113" s="144" t="s">
        <v>99</v>
      </c>
      <c r="B113" s="65" t="s">
        <v>198</v>
      </c>
      <c r="C113" s="15">
        <v>81800</v>
      </c>
      <c r="D113" s="482">
        <f>81800+2400+4600</f>
        <v>88800</v>
      </c>
      <c r="E113" s="15">
        <f>81800+2400+4600</f>
        <v>88800</v>
      </c>
      <c r="F113" s="482">
        <f>81800+2400+4600+2250+2000+3000+50+2800+3000</f>
        <v>101900</v>
      </c>
      <c r="G113" s="482">
        <f>81800+2400+4600+2250+2000+3000+50+2800+3000-1500-2400-1000</f>
        <v>97000</v>
      </c>
      <c r="H113" s="482">
        <f>81800+2400+4600+2250+2000+3000+50+2800+3000-1500-2400-1000+150</f>
        <v>97150</v>
      </c>
      <c r="I113" s="482">
        <f>81800+2400+4600+2250+2000+3000+50+2800+3000-1500-2400-1000+150-7800</f>
        <v>89350</v>
      </c>
      <c r="J113" s="482">
        <f>81800+2400+4600+2250+2000+3000+50+2800+3000-1500-2400-1000+150-7800-1900-520</f>
        <v>86930</v>
      </c>
      <c r="K113" s="482">
        <f>81800+2400+4600+2250+2000+3000+50+2800+3000-1500-2400-1000+150-7800-1900-520-100-700</f>
        <v>86130</v>
      </c>
      <c r="L113" s="15">
        <f>81800+2400+4600+2250+2000+3000+50+2800+3000-1500-2400-1000+150-7800-1900-520-100-700</f>
        <v>86130</v>
      </c>
      <c r="M113" s="323">
        <v>80713</v>
      </c>
      <c r="N113" s="466">
        <f t="shared" si="61"/>
        <v>0.93710669917566469</v>
      </c>
    </row>
    <row r="114" spans="1:18" x14ac:dyDescent="0.25">
      <c r="A114" s="144" t="s">
        <v>100</v>
      </c>
      <c r="B114" s="39" t="s">
        <v>101</v>
      </c>
      <c r="C114" s="15">
        <v>3950</v>
      </c>
      <c r="D114" s="15">
        <v>3950</v>
      </c>
      <c r="E114" s="15">
        <v>3950</v>
      </c>
      <c r="F114" s="15">
        <v>3950</v>
      </c>
      <c r="G114" s="15">
        <v>3950</v>
      </c>
      <c r="H114" s="15">
        <v>3950</v>
      </c>
      <c r="I114" s="15">
        <v>3950</v>
      </c>
      <c r="J114" s="482">
        <f>3950+100</f>
        <v>4050</v>
      </c>
      <c r="K114" s="482">
        <f>3950+100+100</f>
        <v>4150</v>
      </c>
      <c r="L114" s="15">
        <f>3950+100+100</f>
        <v>4150</v>
      </c>
      <c r="M114" s="15">
        <v>3189</v>
      </c>
      <c r="N114" s="466">
        <f t="shared" si="61"/>
        <v>0.76843373493975908</v>
      </c>
    </row>
    <row r="115" spans="1:18" x14ac:dyDescent="0.25">
      <c r="A115" s="144" t="s">
        <v>102</v>
      </c>
      <c r="B115" s="39" t="s">
        <v>103</v>
      </c>
      <c r="C115" s="15">
        <v>16300</v>
      </c>
      <c r="D115" s="482">
        <f t="shared" ref="D115:L115" si="83">16300+30</f>
        <v>16330</v>
      </c>
      <c r="E115" s="15">
        <f t="shared" si="83"/>
        <v>16330</v>
      </c>
      <c r="F115" s="15">
        <f t="shared" si="83"/>
        <v>16330</v>
      </c>
      <c r="G115" s="15">
        <f t="shared" si="83"/>
        <v>16330</v>
      </c>
      <c r="H115" s="15">
        <f t="shared" si="83"/>
        <v>16330</v>
      </c>
      <c r="I115" s="15">
        <f t="shared" si="83"/>
        <v>16330</v>
      </c>
      <c r="J115" s="15">
        <f t="shared" si="83"/>
        <v>16330</v>
      </c>
      <c r="K115" s="15">
        <f t="shared" si="83"/>
        <v>16330</v>
      </c>
      <c r="L115" s="15">
        <f t="shared" si="83"/>
        <v>16330</v>
      </c>
      <c r="M115" s="15">
        <v>11638</v>
      </c>
      <c r="N115" s="466">
        <f t="shared" si="61"/>
        <v>0.71267605633802822</v>
      </c>
    </row>
    <row r="116" spans="1:18" ht="15.75" thickBot="1" x14ac:dyDescent="0.3">
      <c r="A116" s="142" t="s">
        <v>104</v>
      </c>
      <c r="B116" s="56" t="s">
        <v>361</v>
      </c>
      <c r="C116" s="181">
        <v>10000</v>
      </c>
      <c r="D116" s="481">
        <f>10000+6000</f>
        <v>16000</v>
      </c>
      <c r="E116" s="481">
        <f>10000+6000+6000</f>
        <v>22000</v>
      </c>
      <c r="F116" s="481">
        <f>10000+6000+6000+8800+700+200</f>
        <v>31700</v>
      </c>
      <c r="G116" s="181">
        <f>10000+6000+6000+8800+700+200</f>
        <v>31700</v>
      </c>
      <c r="H116" s="481">
        <f>10000+6000+6000+8800+700+200-150</f>
        <v>31550</v>
      </c>
      <c r="I116" s="481">
        <f>10000+6000+6000+8800+700+200-150-2100+2500</f>
        <v>31950</v>
      </c>
      <c r="J116" s="481">
        <f>10000+6000+6000+8800+700+200-150-2100+2500-1600</f>
        <v>30350</v>
      </c>
      <c r="K116" s="481">
        <f>10000+6000+6000+8800+700+200-150-2100+2500-1600+700</f>
        <v>31050</v>
      </c>
      <c r="L116" s="181">
        <f>10000+6000+6000+8800+700+200-150-2100+2500-1600+700</f>
        <v>31050</v>
      </c>
      <c r="M116" s="181">
        <v>21903</v>
      </c>
      <c r="N116" s="466">
        <f t="shared" si="61"/>
        <v>0.70541062801932364</v>
      </c>
    </row>
    <row r="117" spans="1:18" ht="15.75" thickBot="1" x14ac:dyDescent="0.3">
      <c r="A117" s="43" t="s">
        <v>105</v>
      </c>
      <c r="B117" s="44"/>
      <c r="C117" s="38">
        <f t="shared" ref="C117:G117" si="84">SUM(C118:C126)</f>
        <v>309800</v>
      </c>
      <c r="D117" s="38">
        <f t="shared" si="84"/>
        <v>309800</v>
      </c>
      <c r="E117" s="38">
        <f t="shared" si="84"/>
        <v>311800</v>
      </c>
      <c r="F117" s="38">
        <f t="shared" si="84"/>
        <v>314800</v>
      </c>
      <c r="G117" s="38">
        <f t="shared" si="84"/>
        <v>323700</v>
      </c>
      <c r="H117" s="38">
        <f t="shared" ref="H117:M117" si="85">SUM(H118:H126)</f>
        <v>331757</v>
      </c>
      <c r="I117" s="38">
        <f t="shared" si="85"/>
        <v>332557</v>
      </c>
      <c r="J117" s="38">
        <f t="shared" si="85"/>
        <v>332867</v>
      </c>
      <c r="K117" s="38">
        <f t="shared" si="85"/>
        <v>332867</v>
      </c>
      <c r="L117" s="38">
        <f t="shared" si="85"/>
        <v>335367</v>
      </c>
      <c r="M117" s="38">
        <f t="shared" si="85"/>
        <v>295704</v>
      </c>
      <c r="N117" s="466">
        <f t="shared" si="61"/>
        <v>0.88173254971419368</v>
      </c>
    </row>
    <row r="118" spans="1:18" x14ac:dyDescent="0.25">
      <c r="A118" s="66" t="s">
        <v>106</v>
      </c>
      <c r="B118" s="67" t="s">
        <v>107</v>
      </c>
      <c r="C118" s="86">
        <v>149400</v>
      </c>
      <c r="D118" s="86">
        <f>149400</f>
        <v>149400</v>
      </c>
      <c r="E118" s="86">
        <f>149400</f>
        <v>149400</v>
      </c>
      <c r="F118" s="506">
        <f>149400+3000</f>
        <v>152400</v>
      </c>
      <c r="G118" s="506">
        <f>149400+3000+1700+4500</f>
        <v>158600</v>
      </c>
      <c r="H118" s="86">
        <f>149400+3000+1700+4500</f>
        <v>158600</v>
      </c>
      <c r="I118" s="86">
        <f>149400+3000+1700+4500</f>
        <v>158600</v>
      </c>
      <c r="J118" s="506">
        <f>149400+3000+1700+4500+310</f>
        <v>158910</v>
      </c>
      <c r="K118" s="86">
        <f>149400+3000+1700+4500+310</f>
        <v>158910</v>
      </c>
      <c r="L118" s="86">
        <f>149400+3000+1700+4500+310</f>
        <v>158910</v>
      </c>
      <c r="M118" s="86">
        <v>140876</v>
      </c>
      <c r="N118" s="466">
        <f t="shared" si="61"/>
        <v>0.88651437920835696</v>
      </c>
    </row>
    <row r="119" spans="1:18" x14ac:dyDescent="0.25">
      <c r="A119" s="505" t="s">
        <v>444</v>
      </c>
      <c r="B119" s="14" t="s">
        <v>446</v>
      </c>
      <c r="C119" s="169">
        <v>0</v>
      </c>
      <c r="D119" s="169">
        <v>0</v>
      </c>
      <c r="E119" s="492">
        <v>1000</v>
      </c>
      <c r="F119" s="169">
        <v>1000</v>
      </c>
      <c r="G119" s="169">
        <v>1000</v>
      </c>
      <c r="H119" s="169">
        <v>1000</v>
      </c>
      <c r="I119" s="492">
        <f t="shared" ref="I119:L120" si="86">1000+400</f>
        <v>1400</v>
      </c>
      <c r="J119" s="169">
        <f t="shared" si="86"/>
        <v>1400</v>
      </c>
      <c r="K119" s="169">
        <f t="shared" si="86"/>
        <v>1400</v>
      </c>
      <c r="L119" s="169">
        <f t="shared" si="86"/>
        <v>1400</v>
      </c>
      <c r="M119" s="168">
        <v>885</v>
      </c>
      <c r="N119" s="466">
        <f t="shared" si="61"/>
        <v>0.63214285714285712</v>
      </c>
    </row>
    <row r="120" spans="1:18" x14ac:dyDescent="0.25">
      <c r="A120" s="505" t="s">
        <v>445</v>
      </c>
      <c r="B120" s="14" t="s">
        <v>447</v>
      </c>
      <c r="C120" s="169">
        <v>0</v>
      </c>
      <c r="D120" s="169">
        <v>0</v>
      </c>
      <c r="E120" s="492">
        <v>1000</v>
      </c>
      <c r="F120" s="169">
        <v>1000</v>
      </c>
      <c r="G120" s="169">
        <v>1000</v>
      </c>
      <c r="H120" s="169">
        <v>1000</v>
      </c>
      <c r="I120" s="492">
        <f t="shared" si="86"/>
        <v>1400</v>
      </c>
      <c r="J120" s="169">
        <f t="shared" si="86"/>
        <v>1400</v>
      </c>
      <c r="K120" s="169">
        <f t="shared" si="86"/>
        <v>1400</v>
      </c>
      <c r="L120" s="169">
        <f t="shared" si="86"/>
        <v>1400</v>
      </c>
      <c r="M120" s="168">
        <v>885</v>
      </c>
      <c r="N120" s="466">
        <f t="shared" si="61"/>
        <v>0.63214285714285712</v>
      </c>
    </row>
    <row r="121" spans="1:18" x14ac:dyDescent="0.25">
      <c r="A121" s="68" t="s">
        <v>108</v>
      </c>
      <c r="B121" s="17" t="s">
        <v>196</v>
      </c>
      <c r="C121" s="168">
        <v>3000</v>
      </c>
      <c r="D121" s="168">
        <v>3000</v>
      </c>
      <c r="E121" s="168">
        <v>3000</v>
      </c>
      <c r="F121" s="168">
        <v>3000</v>
      </c>
      <c r="G121" s="168">
        <v>3000</v>
      </c>
      <c r="H121" s="168">
        <v>3000</v>
      </c>
      <c r="I121" s="168">
        <v>3000</v>
      </c>
      <c r="J121" s="168">
        <v>3000</v>
      </c>
      <c r="K121" s="168">
        <v>3000</v>
      </c>
      <c r="L121" s="168">
        <v>3000</v>
      </c>
      <c r="M121" s="168">
        <v>2223</v>
      </c>
      <c r="N121" s="466">
        <f t="shared" si="61"/>
        <v>0.74099999999999999</v>
      </c>
    </row>
    <row r="122" spans="1:18" x14ac:dyDescent="0.25">
      <c r="A122" s="68" t="s">
        <v>109</v>
      </c>
      <c r="B122" s="17" t="s">
        <v>110</v>
      </c>
      <c r="C122" s="168">
        <v>27800</v>
      </c>
      <c r="D122" s="168">
        <v>27800</v>
      </c>
      <c r="E122" s="168">
        <f>27800-300+300</f>
        <v>27800</v>
      </c>
      <c r="F122" s="168">
        <f>27800-300+300</f>
        <v>27800</v>
      </c>
      <c r="G122" s="465">
        <f>27800-300+300+570</f>
        <v>28370</v>
      </c>
      <c r="H122" s="465">
        <f>27800-300+300+570+1220</f>
        <v>29590</v>
      </c>
      <c r="I122" s="465">
        <f>27800-300+300+570+1220-700</f>
        <v>28890</v>
      </c>
      <c r="J122" s="168">
        <f>27800-300+300+570+1220-700</f>
        <v>28890</v>
      </c>
      <c r="K122" s="168">
        <f>27800-300+300+570+1220-700</f>
        <v>28890</v>
      </c>
      <c r="L122" s="465">
        <f>27800-300+300+570+1220-700+1210</f>
        <v>30100</v>
      </c>
      <c r="M122" s="168">
        <v>26156</v>
      </c>
      <c r="N122" s="466">
        <f t="shared" si="61"/>
        <v>0.86897009966777405</v>
      </c>
    </row>
    <row r="123" spans="1:18" x14ac:dyDescent="0.25">
      <c r="A123" s="68" t="s">
        <v>111</v>
      </c>
      <c r="B123" s="17" t="s">
        <v>112</v>
      </c>
      <c r="C123" s="18">
        <v>41200</v>
      </c>
      <c r="D123" s="18">
        <v>41200</v>
      </c>
      <c r="E123" s="18">
        <f t="shared" ref="E123:F124" si="87">41200-400+400</f>
        <v>41200</v>
      </c>
      <c r="F123" s="18">
        <f t="shared" si="87"/>
        <v>41200</v>
      </c>
      <c r="G123" s="477">
        <f>41200-400+400+780</f>
        <v>41980</v>
      </c>
      <c r="H123" s="477">
        <f>41200-400+400+780-600</f>
        <v>41380</v>
      </c>
      <c r="I123" s="18">
        <f>41200-400+400+780-600</f>
        <v>41380</v>
      </c>
      <c r="J123" s="18">
        <f>41200-400+400+780-600</f>
        <v>41380</v>
      </c>
      <c r="K123" s="18">
        <f>41200-400+400+780-600</f>
        <v>41380</v>
      </c>
      <c r="L123" s="477">
        <f>41200-400+400+780-600+530</f>
        <v>41910</v>
      </c>
      <c r="M123" s="18">
        <v>34790</v>
      </c>
      <c r="N123" s="466">
        <f t="shared" si="61"/>
        <v>0.83011214507277498</v>
      </c>
    </row>
    <row r="124" spans="1:18" x14ac:dyDescent="0.25">
      <c r="A124" s="68" t="s">
        <v>113</v>
      </c>
      <c r="B124" s="17" t="s">
        <v>114</v>
      </c>
      <c r="C124" s="18">
        <v>41200</v>
      </c>
      <c r="D124" s="18">
        <v>41200</v>
      </c>
      <c r="E124" s="18">
        <f t="shared" si="87"/>
        <v>41200</v>
      </c>
      <c r="F124" s="18">
        <f t="shared" si="87"/>
        <v>41200</v>
      </c>
      <c r="G124" s="477">
        <f>41200-400+400+780</f>
        <v>41980</v>
      </c>
      <c r="H124" s="477">
        <f>41200-400+400+780+6020</f>
        <v>48000</v>
      </c>
      <c r="I124" s="477">
        <f>41200-400+400+780+6020+700</f>
        <v>48700</v>
      </c>
      <c r="J124" s="18">
        <f>41200-400+400+780+6020+700</f>
        <v>48700</v>
      </c>
      <c r="K124" s="18">
        <f>41200-400+400+780+6020+700</f>
        <v>48700</v>
      </c>
      <c r="L124" s="477">
        <f>41200-400+400+780+6020+700-1100</f>
        <v>47600</v>
      </c>
      <c r="M124" s="18">
        <v>41280</v>
      </c>
      <c r="N124" s="466">
        <f t="shared" si="61"/>
        <v>0.86722689075630255</v>
      </c>
    </row>
    <row r="125" spans="1:18" x14ac:dyDescent="0.25">
      <c r="A125" s="69" t="s">
        <v>115</v>
      </c>
      <c r="B125" s="17" t="s">
        <v>362</v>
      </c>
      <c r="C125" s="70">
        <v>43900</v>
      </c>
      <c r="D125" s="70">
        <v>43900</v>
      </c>
      <c r="E125" s="70">
        <f>43900+1100-1100</f>
        <v>43900</v>
      </c>
      <c r="F125" s="70">
        <f>43900+1100-1100</f>
        <v>43900</v>
      </c>
      <c r="G125" s="561">
        <f>43900+1100-1100+570</f>
        <v>44470</v>
      </c>
      <c r="H125" s="561">
        <f>43900+1100-1100+570+1417</f>
        <v>45887</v>
      </c>
      <c r="I125" s="70">
        <f>43900+1100-1100+570+1417</f>
        <v>45887</v>
      </c>
      <c r="J125" s="70">
        <f>43900+1100-1100+570+1417</f>
        <v>45887</v>
      </c>
      <c r="K125" s="70">
        <f>43900+1100-1100+570+1417</f>
        <v>45887</v>
      </c>
      <c r="L125" s="561">
        <f>43900+1100-1100+570+1417+1860</f>
        <v>47747</v>
      </c>
      <c r="M125" s="70">
        <v>45408</v>
      </c>
      <c r="N125" s="466">
        <f t="shared" si="61"/>
        <v>0.9510126290657005</v>
      </c>
      <c r="P125" s="123"/>
      <c r="Q125" s="123"/>
      <c r="R125" s="123"/>
    </row>
    <row r="126" spans="1:18" ht="15.75" thickBot="1" x14ac:dyDescent="0.3">
      <c r="A126" s="68" t="s">
        <v>117</v>
      </c>
      <c r="B126" s="17" t="s">
        <v>118</v>
      </c>
      <c r="C126" s="70">
        <v>3300</v>
      </c>
      <c r="D126" s="70">
        <v>3300</v>
      </c>
      <c r="E126" s="70">
        <v>3300</v>
      </c>
      <c r="F126" s="70">
        <v>3300</v>
      </c>
      <c r="G126" s="70">
        <v>3300</v>
      </c>
      <c r="H126" s="70">
        <v>3300</v>
      </c>
      <c r="I126" s="70">
        <v>3300</v>
      </c>
      <c r="J126" s="70">
        <v>3300</v>
      </c>
      <c r="K126" s="70">
        <v>3300</v>
      </c>
      <c r="L126" s="70">
        <v>3300</v>
      </c>
      <c r="M126" s="70">
        <v>3201</v>
      </c>
      <c r="N126" s="466">
        <f t="shared" si="61"/>
        <v>0.97</v>
      </c>
    </row>
    <row r="127" spans="1:18" ht="15.75" thickBot="1" x14ac:dyDescent="0.3">
      <c r="A127" s="36" t="s">
        <v>119</v>
      </c>
      <c r="B127" s="37"/>
      <c r="C127" s="38">
        <f t="shared" ref="C127:G127" si="88">SUM(C128:C132)</f>
        <v>307100</v>
      </c>
      <c r="D127" s="38">
        <f t="shared" si="88"/>
        <v>309680</v>
      </c>
      <c r="E127" s="38">
        <f t="shared" si="88"/>
        <v>310480</v>
      </c>
      <c r="F127" s="38">
        <f t="shared" si="88"/>
        <v>310480</v>
      </c>
      <c r="G127" s="38">
        <f t="shared" si="88"/>
        <v>345480</v>
      </c>
      <c r="H127" s="38">
        <f t="shared" ref="H127:M127" si="89">SUM(H128:H132)</f>
        <v>345480</v>
      </c>
      <c r="I127" s="38">
        <f t="shared" si="89"/>
        <v>345980</v>
      </c>
      <c r="J127" s="38">
        <f t="shared" si="89"/>
        <v>345980</v>
      </c>
      <c r="K127" s="38">
        <f t="shared" si="89"/>
        <v>346380</v>
      </c>
      <c r="L127" s="38">
        <f t="shared" si="89"/>
        <v>346380</v>
      </c>
      <c r="M127" s="38">
        <f t="shared" si="89"/>
        <v>208490</v>
      </c>
      <c r="N127" s="466">
        <f t="shared" si="61"/>
        <v>0.60191119579652408</v>
      </c>
    </row>
    <row r="128" spans="1:18" x14ac:dyDescent="0.25">
      <c r="A128" s="144" t="s">
        <v>120</v>
      </c>
      <c r="B128" s="39" t="s">
        <v>262</v>
      </c>
      <c r="C128" s="15">
        <v>276500</v>
      </c>
      <c r="D128" s="482">
        <f>276500+1080+1500</f>
        <v>279080</v>
      </c>
      <c r="E128" s="15">
        <f>276500+1080+1500</f>
        <v>279080</v>
      </c>
      <c r="F128" s="15">
        <f>276500+1080+1500</f>
        <v>279080</v>
      </c>
      <c r="G128" s="482">
        <f t="shared" ref="G128:L128" si="90">276500+1080+1500+31000</f>
        <v>310080</v>
      </c>
      <c r="H128" s="15">
        <f t="shared" si="90"/>
        <v>310080</v>
      </c>
      <c r="I128" s="15">
        <f t="shared" si="90"/>
        <v>310080</v>
      </c>
      <c r="J128" s="15">
        <f t="shared" si="90"/>
        <v>310080</v>
      </c>
      <c r="K128" s="15">
        <f t="shared" si="90"/>
        <v>310080</v>
      </c>
      <c r="L128" s="15">
        <f t="shared" si="90"/>
        <v>310080</v>
      </c>
      <c r="M128" s="15">
        <v>192284</v>
      </c>
      <c r="N128" s="466">
        <f t="shared" si="61"/>
        <v>0.62011093911248705</v>
      </c>
    </row>
    <row r="129" spans="1:23" x14ac:dyDescent="0.25">
      <c r="A129" s="144" t="s">
        <v>121</v>
      </c>
      <c r="B129" s="39" t="s">
        <v>167</v>
      </c>
      <c r="C129" s="15">
        <v>8200</v>
      </c>
      <c r="D129" s="15">
        <v>8200</v>
      </c>
      <c r="E129" s="15">
        <v>8200</v>
      </c>
      <c r="F129" s="15">
        <v>8200</v>
      </c>
      <c r="G129" s="15">
        <v>8200</v>
      </c>
      <c r="H129" s="15">
        <v>8200</v>
      </c>
      <c r="I129" s="15">
        <v>8200</v>
      </c>
      <c r="J129" s="15">
        <v>8200</v>
      </c>
      <c r="K129" s="15">
        <v>8200</v>
      </c>
      <c r="L129" s="15">
        <v>8200</v>
      </c>
      <c r="M129" s="40">
        <v>3241</v>
      </c>
      <c r="N129" s="466">
        <f t="shared" si="61"/>
        <v>0.39524390243902441</v>
      </c>
    </row>
    <row r="130" spans="1:23" x14ac:dyDescent="0.25">
      <c r="A130" s="137" t="s">
        <v>122</v>
      </c>
      <c r="B130" s="25" t="s">
        <v>168</v>
      </c>
      <c r="C130" s="41">
        <v>21400</v>
      </c>
      <c r="D130" s="41">
        <v>21400</v>
      </c>
      <c r="E130" s="477">
        <f>21400+500</f>
        <v>21900</v>
      </c>
      <c r="F130" s="18">
        <f>21400+500</f>
        <v>21900</v>
      </c>
      <c r="G130" s="477">
        <f>21400+500+4000</f>
        <v>25900</v>
      </c>
      <c r="H130" s="18">
        <f>21400+500+4000</f>
        <v>25900</v>
      </c>
      <c r="I130" s="477">
        <f>21400+500+4000+500</f>
        <v>26400</v>
      </c>
      <c r="J130" s="18">
        <f>21400+500+4000+500</f>
        <v>26400</v>
      </c>
      <c r="K130" s="477">
        <f>21400+500+4000+500+400</f>
        <v>26800</v>
      </c>
      <c r="L130" s="18">
        <f>21400+500+4000+500+400</f>
        <v>26800</v>
      </c>
      <c r="M130" s="41">
        <v>12665</v>
      </c>
      <c r="N130" s="466">
        <f t="shared" si="61"/>
        <v>0.47257462686567164</v>
      </c>
      <c r="Q130" s="123"/>
    </row>
    <row r="131" spans="1:23" x14ac:dyDescent="0.25">
      <c r="A131" s="137" t="s">
        <v>123</v>
      </c>
      <c r="B131" s="25" t="s">
        <v>124</v>
      </c>
      <c r="C131" s="41">
        <v>500</v>
      </c>
      <c r="D131" s="41">
        <v>500</v>
      </c>
      <c r="E131" s="41">
        <v>500</v>
      </c>
      <c r="F131" s="18">
        <v>500</v>
      </c>
      <c r="G131" s="18">
        <v>500</v>
      </c>
      <c r="H131" s="18">
        <v>500</v>
      </c>
      <c r="I131" s="18">
        <v>500</v>
      </c>
      <c r="J131" s="18">
        <v>500</v>
      </c>
      <c r="K131" s="18">
        <v>500</v>
      </c>
      <c r="L131" s="18">
        <v>500</v>
      </c>
      <c r="M131" s="41">
        <v>0</v>
      </c>
      <c r="N131" s="466">
        <f t="shared" si="61"/>
        <v>0</v>
      </c>
    </row>
    <row r="132" spans="1:23" ht="15.75" thickBot="1" x14ac:dyDescent="0.3">
      <c r="A132" s="142" t="s">
        <v>125</v>
      </c>
      <c r="B132" s="56" t="s">
        <v>126</v>
      </c>
      <c r="C132" s="57">
        <v>500</v>
      </c>
      <c r="D132" s="57">
        <v>500</v>
      </c>
      <c r="E132" s="481">
        <f t="shared" ref="E132:L132" si="91">500+300</f>
        <v>800</v>
      </c>
      <c r="F132" s="181">
        <f t="shared" si="91"/>
        <v>800</v>
      </c>
      <c r="G132" s="181">
        <f t="shared" si="91"/>
        <v>800</v>
      </c>
      <c r="H132" s="181">
        <f t="shared" si="91"/>
        <v>800</v>
      </c>
      <c r="I132" s="181">
        <f t="shared" si="91"/>
        <v>800</v>
      </c>
      <c r="J132" s="181">
        <f t="shared" si="91"/>
        <v>800</v>
      </c>
      <c r="K132" s="181">
        <f t="shared" si="91"/>
        <v>800</v>
      </c>
      <c r="L132" s="181">
        <f t="shared" si="91"/>
        <v>800</v>
      </c>
      <c r="M132" s="57">
        <v>300</v>
      </c>
      <c r="N132" s="466">
        <f t="shared" si="61"/>
        <v>0.375</v>
      </c>
      <c r="O132" s="123"/>
      <c r="P132" s="123"/>
    </row>
    <row r="133" spans="1:23" ht="21.75" customHeight="1" thickBot="1" x14ac:dyDescent="0.3">
      <c r="A133" s="71" t="s">
        <v>127</v>
      </c>
      <c r="B133" s="143"/>
      <c r="C133" s="72">
        <f t="shared" ref="C133:M133" si="92">SUM(C81+C87+C89+C92+C97+C102+C106+C111+C117+C127)</f>
        <v>1382145</v>
      </c>
      <c r="D133" s="72">
        <f t="shared" si="92"/>
        <v>1411816</v>
      </c>
      <c r="E133" s="72">
        <f t="shared" si="92"/>
        <v>1418761</v>
      </c>
      <c r="F133" s="72">
        <f t="shared" si="92"/>
        <v>1444506</v>
      </c>
      <c r="G133" s="72">
        <f t="shared" si="92"/>
        <v>1485506</v>
      </c>
      <c r="H133" s="72">
        <f t="shared" si="92"/>
        <v>1493563</v>
      </c>
      <c r="I133" s="72">
        <f t="shared" si="92"/>
        <v>1489963</v>
      </c>
      <c r="J133" s="72">
        <f t="shared" si="92"/>
        <v>1490273</v>
      </c>
      <c r="K133" s="72">
        <f t="shared" si="92"/>
        <v>1491273</v>
      </c>
      <c r="L133" s="72">
        <f t="shared" si="92"/>
        <v>1494623</v>
      </c>
      <c r="M133" s="72">
        <f t="shared" si="92"/>
        <v>1162210</v>
      </c>
      <c r="N133" s="466">
        <f t="shared" si="61"/>
        <v>0.77759408225351812</v>
      </c>
      <c r="O133" s="123">
        <f t="shared" ref="O133:W133" si="93">D133-C133</f>
        <v>29671</v>
      </c>
      <c r="P133" s="123">
        <f t="shared" si="93"/>
        <v>6945</v>
      </c>
      <c r="Q133" s="123">
        <f t="shared" si="93"/>
        <v>25745</v>
      </c>
      <c r="R133" s="123">
        <f t="shared" si="93"/>
        <v>41000</v>
      </c>
      <c r="S133" s="123">
        <f t="shared" si="93"/>
        <v>8057</v>
      </c>
      <c r="T133" s="123">
        <f t="shared" si="93"/>
        <v>-3600</v>
      </c>
      <c r="U133" s="123">
        <f t="shared" si="93"/>
        <v>310</v>
      </c>
      <c r="V133" s="123">
        <f t="shared" si="93"/>
        <v>1000</v>
      </c>
      <c r="W133" s="123">
        <f t="shared" si="93"/>
        <v>3350</v>
      </c>
    </row>
    <row r="134" spans="1:23" x14ac:dyDescent="0.25">
      <c r="A134" s="247" t="s">
        <v>231</v>
      </c>
      <c r="B134" s="248" t="s">
        <v>264</v>
      </c>
      <c r="C134" s="249">
        <f t="shared" ref="C134:M134" si="94">C67</f>
        <v>472270</v>
      </c>
      <c r="D134" s="506">
        <f t="shared" si="94"/>
        <v>486089</v>
      </c>
      <c r="E134" s="249">
        <f t="shared" si="94"/>
        <v>486089</v>
      </c>
      <c r="F134" s="249">
        <f t="shared" si="94"/>
        <v>486089</v>
      </c>
      <c r="G134" s="506">
        <f t="shared" si="94"/>
        <v>486800</v>
      </c>
      <c r="H134" s="506">
        <f t="shared" si="94"/>
        <v>486906</v>
      </c>
      <c r="I134" s="506">
        <f t="shared" si="94"/>
        <v>489082</v>
      </c>
      <c r="J134" s="249">
        <f t="shared" si="94"/>
        <v>489082</v>
      </c>
      <c r="K134" s="506">
        <f t="shared" si="94"/>
        <v>485812</v>
      </c>
      <c r="L134" s="506">
        <f t="shared" si="94"/>
        <v>486612</v>
      </c>
      <c r="M134" s="249">
        <f t="shared" si="94"/>
        <v>486612</v>
      </c>
      <c r="N134" s="466">
        <f t="shared" si="61"/>
        <v>1</v>
      </c>
      <c r="O134" s="123"/>
      <c r="P134" s="123"/>
      <c r="Q134" s="123"/>
    </row>
    <row r="135" spans="1:23" ht="16.5" customHeight="1" x14ac:dyDescent="0.25">
      <c r="A135" s="263" t="s">
        <v>231</v>
      </c>
      <c r="B135" s="264" t="s">
        <v>225</v>
      </c>
      <c r="C135" s="265">
        <f t="shared" ref="C135:M135" si="95">C69</f>
        <v>3000</v>
      </c>
      <c r="D135" s="265">
        <f t="shared" si="95"/>
        <v>3000</v>
      </c>
      <c r="E135" s="265">
        <f t="shared" si="95"/>
        <v>3000</v>
      </c>
      <c r="F135" s="265">
        <f t="shared" si="95"/>
        <v>3000</v>
      </c>
      <c r="G135" s="265">
        <f t="shared" si="95"/>
        <v>3000</v>
      </c>
      <c r="H135" s="265">
        <f t="shared" si="95"/>
        <v>7330</v>
      </c>
      <c r="I135" s="265">
        <f t="shared" si="95"/>
        <v>7330</v>
      </c>
      <c r="J135" s="265">
        <f t="shared" si="95"/>
        <v>7330</v>
      </c>
      <c r="K135" s="265">
        <f t="shared" si="95"/>
        <v>7330</v>
      </c>
      <c r="L135" s="465">
        <f t="shared" si="95"/>
        <v>7930</v>
      </c>
      <c r="M135" s="265">
        <f t="shared" si="95"/>
        <v>7551</v>
      </c>
      <c r="N135" s="466">
        <f t="shared" si="61"/>
        <v>0.95220680958385873</v>
      </c>
      <c r="O135" s="123"/>
      <c r="P135" s="123"/>
      <c r="Q135" s="123"/>
    </row>
    <row r="136" spans="1:23" ht="16.5" customHeight="1" x14ac:dyDescent="0.25">
      <c r="A136" s="263" t="s">
        <v>231</v>
      </c>
      <c r="B136" s="264" t="s">
        <v>265</v>
      </c>
      <c r="C136" s="265">
        <v>54240</v>
      </c>
      <c r="D136" s="265">
        <v>54240</v>
      </c>
      <c r="E136" s="265">
        <v>54240</v>
      </c>
      <c r="F136" s="265">
        <v>54240</v>
      </c>
      <c r="G136" s="265">
        <v>54240</v>
      </c>
      <c r="H136" s="265">
        <v>54240</v>
      </c>
      <c r="I136" s="265">
        <v>54240</v>
      </c>
      <c r="J136" s="265">
        <v>54240</v>
      </c>
      <c r="K136" s="265">
        <v>54240</v>
      </c>
      <c r="L136" s="465">
        <f>L71</f>
        <v>53640</v>
      </c>
      <c r="M136" s="265">
        <f>M71</f>
        <v>50402</v>
      </c>
      <c r="N136" s="466">
        <f t="shared" si="61"/>
        <v>0.93963460104399699</v>
      </c>
      <c r="O136" s="123"/>
      <c r="P136" s="123"/>
      <c r="Q136" s="123"/>
    </row>
    <row r="137" spans="1:23" ht="15.75" thickBot="1" x14ac:dyDescent="0.3">
      <c r="A137" s="364" t="s">
        <v>231</v>
      </c>
      <c r="B137" s="365" t="s">
        <v>266</v>
      </c>
      <c r="C137" s="366">
        <v>2855</v>
      </c>
      <c r="D137" s="366">
        <v>2855</v>
      </c>
      <c r="E137" s="366">
        <v>2855</v>
      </c>
      <c r="F137" s="366">
        <v>2855</v>
      </c>
      <c r="G137" s="366">
        <v>2855</v>
      </c>
      <c r="H137" s="366">
        <v>2855</v>
      </c>
      <c r="I137" s="366">
        <v>2855</v>
      </c>
      <c r="J137" s="366">
        <v>2855</v>
      </c>
      <c r="K137" s="366">
        <v>2855</v>
      </c>
      <c r="L137" s="608">
        <f>2855-117</f>
        <v>2738</v>
      </c>
      <c r="M137" s="366">
        <v>2702</v>
      </c>
      <c r="N137" s="466">
        <f t="shared" si="61"/>
        <v>0.98685171658144633</v>
      </c>
      <c r="O137" s="123">
        <f>SUM(L136:L137)</f>
        <v>56378</v>
      </c>
      <c r="P137" s="123">
        <f>SUM(M136:M137)</f>
        <v>53104</v>
      </c>
      <c r="Q137" s="123"/>
    </row>
    <row r="138" spans="1:23" x14ac:dyDescent="0.25">
      <c r="A138" s="361" t="s">
        <v>108</v>
      </c>
      <c r="B138" s="362" t="s">
        <v>267</v>
      </c>
      <c r="C138" s="363">
        <v>22500</v>
      </c>
      <c r="D138" s="363">
        <v>22500</v>
      </c>
      <c r="E138" s="363">
        <v>22500</v>
      </c>
      <c r="F138" s="363">
        <v>22500</v>
      </c>
      <c r="G138" s="363">
        <v>22500</v>
      </c>
      <c r="H138" s="363">
        <v>22500</v>
      </c>
      <c r="I138" s="363">
        <v>22500</v>
      </c>
      <c r="J138" s="363">
        <v>22500</v>
      </c>
      <c r="K138" s="363">
        <v>22500</v>
      </c>
      <c r="L138" s="363">
        <v>22500</v>
      </c>
      <c r="M138" s="363">
        <v>22500</v>
      </c>
      <c r="N138" s="466">
        <f t="shared" si="61"/>
        <v>1</v>
      </c>
      <c r="O138" s="123"/>
      <c r="P138" s="123"/>
      <c r="Q138" s="123"/>
    </row>
    <row r="139" spans="1:23" ht="15" customHeight="1" thickBot="1" x14ac:dyDescent="0.3">
      <c r="A139" s="263" t="s">
        <v>108</v>
      </c>
      <c r="B139" s="264" t="s">
        <v>268</v>
      </c>
      <c r="C139" s="265">
        <f t="shared" ref="C139:M139" si="96">C70</f>
        <v>1320</v>
      </c>
      <c r="D139" s="265">
        <f t="shared" si="96"/>
        <v>1320</v>
      </c>
      <c r="E139" s="265">
        <f t="shared" si="96"/>
        <v>1320</v>
      </c>
      <c r="F139" s="265">
        <f t="shared" si="96"/>
        <v>1320</v>
      </c>
      <c r="G139" s="265">
        <f t="shared" si="96"/>
        <v>1320</v>
      </c>
      <c r="H139" s="265">
        <f t="shared" si="96"/>
        <v>1320</v>
      </c>
      <c r="I139" s="265">
        <f t="shared" si="96"/>
        <v>1320</v>
      </c>
      <c r="J139" s="265">
        <f t="shared" si="96"/>
        <v>1320</v>
      </c>
      <c r="K139" s="265">
        <f t="shared" si="96"/>
        <v>1320</v>
      </c>
      <c r="L139" s="265">
        <f t="shared" si="96"/>
        <v>1320</v>
      </c>
      <c r="M139" s="265">
        <f t="shared" si="96"/>
        <v>1308</v>
      </c>
      <c r="N139" s="466">
        <f t="shared" si="61"/>
        <v>0.99090909090909096</v>
      </c>
      <c r="O139" s="123">
        <f>M135+M137+M138+M139</f>
        <v>34061</v>
      </c>
      <c r="P139" s="123">
        <f>M135+M139</f>
        <v>8859</v>
      </c>
      <c r="Q139" s="123"/>
    </row>
    <row r="140" spans="1:23" ht="14.25" customHeight="1" thickBot="1" x14ac:dyDescent="0.3">
      <c r="A140" s="654" t="s">
        <v>183</v>
      </c>
      <c r="B140" s="655"/>
      <c r="C140" s="128">
        <f t="shared" ref="C140:F140" si="97">SUM(C134:C139)</f>
        <v>556185</v>
      </c>
      <c r="D140" s="128">
        <f t="shared" si="97"/>
        <v>570004</v>
      </c>
      <c r="E140" s="128">
        <f t="shared" si="97"/>
        <v>570004</v>
      </c>
      <c r="F140" s="128">
        <f t="shared" si="97"/>
        <v>570004</v>
      </c>
      <c r="G140" s="128">
        <f t="shared" ref="G140:M140" si="98">SUM(G134:G139)</f>
        <v>570715</v>
      </c>
      <c r="H140" s="128">
        <f t="shared" si="98"/>
        <v>575151</v>
      </c>
      <c r="I140" s="128">
        <f t="shared" si="98"/>
        <v>577327</v>
      </c>
      <c r="J140" s="128">
        <f t="shared" si="98"/>
        <v>577327</v>
      </c>
      <c r="K140" s="128">
        <f t="shared" si="98"/>
        <v>574057</v>
      </c>
      <c r="L140" s="128">
        <f t="shared" si="98"/>
        <v>574740</v>
      </c>
      <c r="M140" s="128">
        <f t="shared" si="98"/>
        <v>571075</v>
      </c>
      <c r="N140" s="466">
        <f t="shared" si="61"/>
        <v>0.9936232035355117</v>
      </c>
      <c r="O140" s="123">
        <f t="shared" ref="O140:W140" si="99">D140-C140</f>
        <v>13819</v>
      </c>
      <c r="P140" s="123">
        <f t="shared" si="99"/>
        <v>0</v>
      </c>
      <c r="Q140" s="123">
        <f t="shared" si="99"/>
        <v>0</v>
      </c>
      <c r="R140" s="123">
        <f t="shared" si="99"/>
        <v>711</v>
      </c>
      <c r="S140" s="123">
        <f t="shared" si="99"/>
        <v>4436</v>
      </c>
      <c r="T140" s="123">
        <f t="shared" si="99"/>
        <v>2176</v>
      </c>
      <c r="U140" s="123">
        <f t="shared" si="99"/>
        <v>0</v>
      </c>
      <c r="V140" s="123">
        <f t="shared" si="99"/>
        <v>-3270</v>
      </c>
      <c r="W140" s="123">
        <f t="shared" si="99"/>
        <v>683</v>
      </c>
    </row>
    <row r="141" spans="1:23" x14ac:dyDescent="0.25">
      <c r="A141" s="250" t="s">
        <v>108</v>
      </c>
      <c r="B141" s="251" t="s">
        <v>227</v>
      </c>
      <c r="C141" s="221">
        <f t="shared" ref="C141:L141" si="100">190500+13510</f>
        <v>204010</v>
      </c>
      <c r="D141" s="221">
        <f t="shared" si="100"/>
        <v>204010</v>
      </c>
      <c r="E141" s="221">
        <f t="shared" si="100"/>
        <v>204010</v>
      </c>
      <c r="F141" s="221">
        <f t="shared" si="100"/>
        <v>204010</v>
      </c>
      <c r="G141" s="221">
        <f t="shared" si="100"/>
        <v>204010</v>
      </c>
      <c r="H141" s="221">
        <f t="shared" si="100"/>
        <v>204010</v>
      </c>
      <c r="I141" s="221">
        <f t="shared" si="100"/>
        <v>204010</v>
      </c>
      <c r="J141" s="221">
        <f t="shared" si="100"/>
        <v>204010</v>
      </c>
      <c r="K141" s="221">
        <f t="shared" si="100"/>
        <v>204010</v>
      </c>
      <c r="L141" s="221">
        <f t="shared" si="100"/>
        <v>204010</v>
      </c>
      <c r="M141" s="221">
        <v>204010</v>
      </c>
      <c r="N141" s="466">
        <f t="shared" si="61"/>
        <v>1</v>
      </c>
      <c r="O141" s="123"/>
      <c r="P141" s="123"/>
      <c r="Q141" s="123"/>
    </row>
    <row r="142" spans="1:23" ht="17.25" customHeight="1" thickBot="1" x14ac:dyDescent="0.3">
      <c r="A142" s="266" t="s">
        <v>108</v>
      </c>
      <c r="B142" s="244" t="s">
        <v>228</v>
      </c>
      <c r="C142" s="217">
        <f t="shared" ref="C142:L142" si="101">C73</f>
        <v>9770</v>
      </c>
      <c r="D142" s="217">
        <f t="shared" si="101"/>
        <v>9770</v>
      </c>
      <c r="E142" s="217">
        <f t="shared" si="101"/>
        <v>9770</v>
      </c>
      <c r="F142" s="217">
        <f t="shared" si="101"/>
        <v>9770</v>
      </c>
      <c r="G142" s="217">
        <f t="shared" si="101"/>
        <v>9770</v>
      </c>
      <c r="H142" s="492">
        <f t="shared" si="101"/>
        <v>11030</v>
      </c>
      <c r="I142" s="217">
        <f t="shared" si="101"/>
        <v>11030</v>
      </c>
      <c r="J142" s="217">
        <f t="shared" si="101"/>
        <v>11030</v>
      </c>
      <c r="K142" s="492">
        <f t="shared" si="101"/>
        <v>11709</v>
      </c>
      <c r="L142" s="492">
        <f t="shared" si="101"/>
        <v>11711</v>
      </c>
      <c r="M142" s="217">
        <v>11710</v>
      </c>
      <c r="N142" s="466">
        <f t="shared" si="61"/>
        <v>0.99991461019554262</v>
      </c>
      <c r="O142" s="123"/>
      <c r="P142" s="123"/>
      <c r="Q142" s="123"/>
    </row>
    <row r="143" spans="1:23" ht="16.5" customHeight="1" thickBot="1" x14ac:dyDescent="0.3">
      <c r="A143" s="656" t="s">
        <v>226</v>
      </c>
      <c r="B143" s="657"/>
      <c r="C143" s="367">
        <f t="shared" ref="C143:M143" si="102">SUM(C141:C142)</f>
        <v>213780</v>
      </c>
      <c r="D143" s="367">
        <f t="shared" si="102"/>
        <v>213780</v>
      </c>
      <c r="E143" s="367">
        <f t="shared" si="102"/>
        <v>213780</v>
      </c>
      <c r="F143" s="367">
        <f t="shared" si="102"/>
        <v>213780</v>
      </c>
      <c r="G143" s="367">
        <f t="shared" si="102"/>
        <v>213780</v>
      </c>
      <c r="H143" s="367">
        <f t="shared" si="102"/>
        <v>215040</v>
      </c>
      <c r="I143" s="367">
        <f t="shared" si="102"/>
        <v>215040</v>
      </c>
      <c r="J143" s="367">
        <f t="shared" si="102"/>
        <v>215040</v>
      </c>
      <c r="K143" s="367">
        <f t="shared" si="102"/>
        <v>215719</v>
      </c>
      <c r="L143" s="367">
        <f t="shared" si="102"/>
        <v>215721</v>
      </c>
      <c r="M143" s="367">
        <f t="shared" si="102"/>
        <v>215720</v>
      </c>
      <c r="N143" s="466">
        <f t="shared" si="61"/>
        <v>0.99999536438269798</v>
      </c>
      <c r="O143" s="123">
        <f t="shared" ref="O143:W145" si="103">D143-C143</f>
        <v>0</v>
      </c>
      <c r="P143" s="123">
        <f t="shared" si="103"/>
        <v>0</v>
      </c>
      <c r="Q143" s="123">
        <f t="shared" si="103"/>
        <v>0</v>
      </c>
      <c r="R143" s="123">
        <f t="shared" si="103"/>
        <v>0</v>
      </c>
      <c r="S143" s="123">
        <f t="shared" si="103"/>
        <v>1260</v>
      </c>
      <c r="T143" s="123">
        <f t="shared" si="103"/>
        <v>0</v>
      </c>
      <c r="U143" s="123">
        <f t="shared" si="103"/>
        <v>0</v>
      </c>
      <c r="V143" s="123">
        <f t="shared" si="103"/>
        <v>679</v>
      </c>
      <c r="W143" s="123">
        <f t="shared" si="103"/>
        <v>2</v>
      </c>
    </row>
    <row r="144" spans="1:23" ht="18.75" customHeight="1" thickBot="1" x14ac:dyDescent="0.3">
      <c r="A144" s="658" t="s">
        <v>220</v>
      </c>
      <c r="B144" s="659"/>
      <c r="C144" s="368">
        <f t="shared" ref="C144:M144" si="104">C140+C143</f>
        <v>769965</v>
      </c>
      <c r="D144" s="368">
        <f t="shared" si="104"/>
        <v>783784</v>
      </c>
      <c r="E144" s="368">
        <f t="shared" si="104"/>
        <v>783784</v>
      </c>
      <c r="F144" s="368">
        <f t="shared" si="104"/>
        <v>783784</v>
      </c>
      <c r="G144" s="368">
        <f t="shared" si="104"/>
        <v>784495</v>
      </c>
      <c r="H144" s="368">
        <f t="shared" si="104"/>
        <v>790191</v>
      </c>
      <c r="I144" s="368">
        <f t="shared" si="104"/>
        <v>792367</v>
      </c>
      <c r="J144" s="368">
        <f t="shared" si="104"/>
        <v>792367</v>
      </c>
      <c r="K144" s="368">
        <f t="shared" si="104"/>
        <v>789776</v>
      </c>
      <c r="L144" s="368">
        <f t="shared" si="104"/>
        <v>790461</v>
      </c>
      <c r="M144" s="368">
        <f t="shared" si="104"/>
        <v>786795</v>
      </c>
      <c r="N144" s="466">
        <f t="shared" si="61"/>
        <v>0.9953622000326392</v>
      </c>
      <c r="O144" s="123">
        <f t="shared" si="103"/>
        <v>13819</v>
      </c>
      <c r="P144" s="123">
        <f t="shared" si="103"/>
        <v>0</v>
      </c>
      <c r="Q144" s="123">
        <f t="shared" si="103"/>
        <v>0</v>
      </c>
      <c r="R144" s="123">
        <f t="shared" si="103"/>
        <v>711</v>
      </c>
      <c r="S144" s="123">
        <f t="shared" si="103"/>
        <v>5696</v>
      </c>
      <c r="T144" s="123">
        <f t="shared" si="103"/>
        <v>2176</v>
      </c>
      <c r="U144" s="123">
        <f t="shared" si="103"/>
        <v>0</v>
      </c>
      <c r="V144" s="123">
        <f t="shared" si="103"/>
        <v>-2591</v>
      </c>
      <c r="W144" s="123">
        <f t="shared" si="103"/>
        <v>685</v>
      </c>
    </row>
    <row r="145" spans="1:25" ht="30.75" customHeight="1" thickBot="1" x14ac:dyDescent="0.3">
      <c r="A145" s="73" t="s">
        <v>184</v>
      </c>
      <c r="B145" s="140"/>
      <c r="C145" s="74">
        <f t="shared" ref="C145:M145" si="105">C133+C144</f>
        <v>2152110</v>
      </c>
      <c r="D145" s="74">
        <f t="shared" si="105"/>
        <v>2195600</v>
      </c>
      <c r="E145" s="74">
        <f t="shared" si="105"/>
        <v>2202545</v>
      </c>
      <c r="F145" s="74">
        <f t="shared" si="105"/>
        <v>2228290</v>
      </c>
      <c r="G145" s="74">
        <f t="shared" si="105"/>
        <v>2270001</v>
      </c>
      <c r="H145" s="74">
        <f t="shared" si="105"/>
        <v>2283754</v>
      </c>
      <c r="I145" s="74">
        <f t="shared" si="105"/>
        <v>2282330</v>
      </c>
      <c r="J145" s="74">
        <f t="shared" si="105"/>
        <v>2282640</v>
      </c>
      <c r="K145" s="74">
        <f t="shared" si="105"/>
        <v>2281049</v>
      </c>
      <c r="L145" s="74">
        <f t="shared" si="105"/>
        <v>2285084</v>
      </c>
      <c r="M145" s="74">
        <f t="shared" si="105"/>
        <v>1949005</v>
      </c>
      <c r="N145" s="466">
        <f t="shared" si="61"/>
        <v>0.85292488153608359</v>
      </c>
      <c r="O145" s="123">
        <f t="shared" si="103"/>
        <v>43490</v>
      </c>
      <c r="P145" s="123">
        <f t="shared" si="103"/>
        <v>6945</v>
      </c>
      <c r="Q145" s="123">
        <f t="shared" si="103"/>
        <v>25745</v>
      </c>
      <c r="R145" s="123">
        <f t="shared" si="103"/>
        <v>41711</v>
      </c>
      <c r="S145" s="123">
        <f t="shared" si="103"/>
        <v>13753</v>
      </c>
      <c r="T145" s="123">
        <f t="shared" si="103"/>
        <v>-1424</v>
      </c>
      <c r="U145" s="123">
        <f t="shared" si="103"/>
        <v>310</v>
      </c>
      <c r="V145" s="123">
        <f t="shared" si="103"/>
        <v>-1591</v>
      </c>
      <c r="W145" s="123">
        <f t="shared" si="103"/>
        <v>4035</v>
      </c>
    </row>
    <row r="147" spans="1:25" ht="28.5" customHeight="1" x14ac:dyDescent="0.25">
      <c r="R147" s="123"/>
    </row>
    <row r="148" spans="1:25" ht="18.75" thickBot="1" x14ac:dyDescent="0.3">
      <c r="A148" s="660" t="s">
        <v>128</v>
      </c>
      <c r="B148" s="661"/>
      <c r="C148" s="661"/>
      <c r="D148" s="661"/>
      <c r="E148" s="661"/>
      <c r="F148" s="661"/>
      <c r="G148" s="661"/>
      <c r="H148" s="661"/>
      <c r="I148" s="661"/>
      <c r="J148" s="661"/>
      <c r="K148" s="661"/>
      <c r="L148" s="661"/>
      <c r="M148" s="661"/>
      <c r="R148" s="123"/>
      <c r="S148" s="123"/>
      <c r="T148" s="123"/>
    </row>
    <row r="149" spans="1:25" ht="15" customHeight="1" x14ac:dyDescent="0.25">
      <c r="A149" s="644" t="s">
        <v>1</v>
      </c>
      <c r="B149" s="645"/>
      <c r="C149" s="638" t="s">
        <v>323</v>
      </c>
      <c r="D149" s="638" t="s">
        <v>562</v>
      </c>
      <c r="E149" s="638" t="s">
        <v>563</v>
      </c>
      <c r="F149" s="638" t="s">
        <v>564</v>
      </c>
      <c r="G149" s="638" t="s">
        <v>565</v>
      </c>
      <c r="H149" s="638" t="s">
        <v>566</v>
      </c>
      <c r="I149" s="638" t="s">
        <v>567</v>
      </c>
      <c r="J149" s="638" t="s">
        <v>605</v>
      </c>
      <c r="K149" s="638" t="s">
        <v>640</v>
      </c>
      <c r="L149" s="638" t="s">
        <v>656</v>
      </c>
      <c r="M149" s="638" t="s">
        <v>677</v>
      </c>
      <c r="N149" s="640" t="s">
        <v>352</v>
      </c>
      <c r="Q149" s="123"/>
      <c r="U149" s="123"/>
      <c r="V149" s="123"/>
    </row>
    <row r="150" spans="1:25" ht="15.75" thickBot="1" x14ac:dyDescent="0.3">
      <c r="A150" s="646"/>
      <c r="B150" s="647"/>
      <c r="C150" s="639"/>
      <c r="D150" s="639"/>
      <c r="E150" s="639"/>
      <c r="F150" s="639"/>
      <c r="G150" s="639"/>
      <c r="H150" s="639"/>
      <c r="I150" s="639"/>
      <c r="J150" s="639"/>
      <c r="K150" s="639"/>
      <c r="L150" s="639"/>
      <c r="M150" s="639"/>
      <c r="N150" s="641"/>
      <c r="O150" s="123"/>
      <c r="P150" s="123"/>
    </row>
    <row r="151" spans="1:25" ht="16.5" thickBot="1" x14ac:dyDescent="0.3">
      <c r="A151" s="648" t="s">
        <v>129</v>
      </c>
      <c r="B151" s="649"/>
      <c r="C151" s="328">
        <f t="shared" ref="C151:M151" si="106">SUM(C152:C157)</f>
        <v>620702</v>
      </c>
      <c r="D151" s="328">
        <f t="shared" si="106"/>
        <v>635220</v>
      </c>
      <c r="E151" s="328">
        <f t="shared" si="106"/>
        <v>635220</v>
      </c>
      <c r="F151" s="328">
        <f t="shared" si="106"/>
        <v>561520</v>
      </c>
      <c r="G151" s="328">
        <f t="shared" si="106"/>
        <v>519520</v>
      </c>
      <c r="H151" s="328">
        <f t="shared" si="106"/>
        <v>519520</v>
      </c>
      <c r="I151" s="328">
        <f t="shared" si="106"/>
        <v>519520</v>
      </c>
      <c r="J151" s="328">
        <f t="shared" si="106"/>
        <v>519520</v>
      </c>
      <c r="K151" s="328">
        <f t="shared" si="106"/>
        <v>519720</v>
      </c>
      <c r="L151" s="328">
        <f t="shared" si="106"/>
        <v>519720</v>
      </c>
      <c r="M151" s="75">
        <f t="shared" si="106"/>
        <v>312996</v>
      </c>
      <c r="N151" s="466">
        <f>M151/L151</f>
        <v>0.6022396675132764</v>
      </c>
      <c r="O151" s="123">
        <f t="shared" ref="O151:W151" si="107">D151-C151</f>
        <v>14518</v>
      </c>
      <c r="P151" s="123">
        <f t="shared" si="107"/>
        <v>0</v>
      </c>
      <c r="Q151" s="123">
        <f t="shared" si="107"/>
        <v>-73700</v>
      </c>
      <c r="R151" s="123">
        <f t="shared" si="107"/>
        <v>-42000</v>
      </c>
      <c r="S151" s="123">
        <f t="shared" si="107"/>
        <v>0</v>
      </c>
      <c r="T151" s="123">
        <f t="shared" si="107"/>
        <v>0</v>
      </c>
      <c r="U151" s="123">
        <f t="shared" si="107"/>
        <v>0</v>
      </c>
      <c r="V151" s="123">
        <f t="shared" si="107"/>
        <v>200</v>
      </c>
      <c r="W151" s="123">
        <f t="shared" si="107"/>
        <v>0</v>
      </c>
    </row>
    <row r="152" spans="1:25" ht="15.75" thickBot="1" x14ac:dyDescent="0.3">
      <c r="A152" s="176">
        <v>233</v>
      </c>
      <c r="B152" s="56" t="s">
        <v>130</v>
      </c>
      <c r="C152" s="329">
        <v>1000</v>
      </c>
      <c r="D152" s="329">
        <v>1000</v>
      </c>
      <c r="E152" s="329">
        <v>1000</v>
      </c>
      <c r="F152" s="539">
        <f t="shared" ref="F152:J152" si="108">1000+2000</f>
        <v>3000</v>
      </c>
      <c r="G152" s="334">
        <f t="shared" si="108"/>
        <v>3000</v>
      </c>
      <c r="H152" s="334">
        <f t="shared" si="108"/>
        <v>3000</v>
      </c>
      <c r="I152" s="334">
        <f t="shared" si="108"/>
        <v>3000</v>
      </c>
      <c r="J152" s="334">
        <f t="shared" si="108"/>
        <v>3000</v>
      </c>
      <c r="K152" s="539">
        <f>1000+2000+200</f>
        <v>3200</v>
      </c>
      <c r="L152" s="334">
        <f>1000+2000+200</f>
        <v>3200</v>
      </c>
      <c r="M152" s="329">
        <v>3091</v>
      </c>
      <c r="N152" s="466">
        <f t="shared" ref="N152:N182" si="109">M152/L152</f>
        <v>0.9659375</v>
      </c>
    </row>
    <row r="153" spans="1:25" x14ac:dyDescent="0.25">
      <c r="A153" s="540">
        <v>322</v>
      </c>
      <c r="B153" s="541" t="s">
        <v>468</v>
      </c>
      <c r="C153" s="542">
        <v>0</v>
      </c>
      <c r="D153" s="542">
        <v>0</v>
      </c>
      <c r="E153" s="542">
        <v>0</v>
      </c>
      <c r="F153" s="543">
        <v>42000</v>
      </c>
      <c r="G153" s="543">
        <f t="shared" ref="G153:L153" si="110">42000-42000</f>
        <v>0</v>
      </c>
      <c r="H153" s="569">
        <f t="shared" si="110"/>
        <v>0</v>
      </c>
      <c r="I153" s="569">
        <f t="shared" si="110"/>
        <v>0</v>
      </c>
      <c r="J153" s="569">
        <f t="shared" si="110"/>
        <v>0</v>
      </c>
      <c r="K153" s="569">
        <f t="shared" si="110"/>
        <v>0</v>
      </c>
      <c r="L153" s="569">
        <f t="shared" si="110"/>
        <v>0</v>
      </c>
      <c r="M153" s="542"/>
      <c r="N153" s="466">
        <v>0</v>
      </c>
    </row>
    <row r="154" spans="1:25" x14ac:dyDescent="0.25">
      <c r="A154" s="102">
        <v>322</v>
      </c>
      <c r="B154" s="25" t="s">
        <v>241</v>
      </c>
      <c r="C154" s="331">
        <v>183255</v>
      </c>
      <c r="D154" s="485">
        <f t="shared" ref="D154:H154" si="111">183255+18815</f>
        <v>202070</v>
      </c>
      <c r="E154" s="335">
        <f t="shared" si="111"/>
        <v>202070</v>
      </c>
      <c r="F154" s="335">
        <f t="shared" si="111"/>
        <v>202070</v>
      </c>
      <c r="G154" s="335">
        <f t="shared" si="111"/>
        <v>202070</v>
      </c>
      <c r="H154" s="335">
        <f t="shared" si="111"/>
        <v>202070</v>
      </c>
      <c r="I154" s="485">
        <f>183255+18815-93750</f>
        <v>108320</v>
      </c>
      <c r="J154" s="335">
        <f>183255+18815-93750</f>
        <v>108320</v>
      </c>
      <c r="K154" s="335">
        <f>183255+18815-93750</f>
        <v>108320</v>
      </c>
      <c r="L154" s="335">
        <f>183255+18815-93750</f>
        <v>108320</v>
      </c>
      <c r="M154" s="331">
        <v>0</v>
      </c>
      <c r="N154" s="466">
        <f t="shared" si="109"/>
        <v>0</v>
      </c>
      <c r="S154" s="123"/>
      <c r="T154" s="123"/>
      <c r="U154" s="123"/>
      <c r="V154" s="123"/>
      <c r="W154" s="123"/>
    </row>
    <row r="155" spans="1:25" x14ac:dyDescent="0.25">
      <c r="A155" s="175">
        <v>322</v>
      </c>
      <c r="B155" s="39" t="s">
        <v>240</v>
      </c>
      <c r="C155" s="330">
        <v>120047</v>
      </c>
      <c r="D155" s="487">
        <f>120047+2253</f>
        <v>122300</v>
      </c>
      <c r="E155" s="333">
        <f>120047+2253</f>
        <v>122300</v>
      </c>
      <c r="F155" s="487">
        <f>120047+2253-55000</f>
        <v>67300</v>
      </c>
      <c r="G155" s="333">
        <f>120047+2253-55000</f>
        <v>67300</v>
      </c>
      <c r="H155" s="333">
        <f>120047+2253-55000</f>
        <v>67300</v>
      </c>
      <c r="I155" s="487">
        <f>120047+2253-55000+30700</f>
        <v>98000</v>
      </c>
      <c r="J155" s="333">
        <f>120047+2253-55000+30700</f>
        <v>98000</v>
      </c>
      <c r="K155" s="333">
        <f>120047+2253-55000+30700</f>
        <v>98000</v>
      </c>
      <c r="L155" s="333">
        <f>120047+2253-55000+30700</f>
        <v>98000</v>
      </c>
      <c r="M155" s="333">
        <v>0</v>
      </c>
      <c r="N155" s="466">
        <f t="shared" si="109"/>
        <v>0</v>
      </c>
      <c r="Q155" s="123"/>
      <c r="R155" s="123"/>
    </row>
    <row r="156" spans="1:25" x14ac:dyDescent="0.25">
      <c r="A156" s="102">
        <v>322</v>
      </c>
      <c r="B156" s="25" t="s">
        <v>160</v>
      </c>
      <c r="C156" s="331">
        <v>121400</v>
      </c>
      <c r="D156" s="485">
        <f>121400-6550</f>
        <v>114850</v>
      </c>
      <c r="E156" s="335">
        <f>121400-6550</f>
        <v>114850</v>
      </c>
      <c r="F156" s="485">
        <f>121400-6550-61200</f>
        <v>53650</v>
      </c>
      <c r="G156" s="335">
        <f>121400-6550-61200</f>
        <v>53650</v>
      </c>
      <c r="H156" s="335">
        <f>121400-6550-61200</f>
        <v>53650</v>
      </c>
      <c r="I156" s="485">
        <f>121400-6550-61200+63050</f>
        <v>116700</v>
      </c>
      <c r="J156" s="335">
        <f>121400-6550-61200+63050</f>
        <v>116700</v>
      </c>
      <c r="K156" s="335">
        <f>121400-6550-61200+63050</f>
        <v>116700</v>
      </c>
      <c r="L156" s="335">
        <f>121400-6550-61200+63050</f>
        <v>116700</v>
      </c>
      <c r="M156" s="331">
        <v>116653</v>
      </c>
      <c r="N156" s="466">
        <f t="shared" si="109"/>
        <v>0.99959725792630671</v>
      </c>
    </row>
    <row r="157" spans="1:25" ht="15.75" thickBot="1" x14ac:dyDescent="0.3">
      <c r="A157" s="102">
        <v>322</v>
      </c>
      <c r="B157" s="25" t="s">
        <v>162</v>
      </c>
      <c r="C157" s="331">
        <v>195000</v>
      </c>
      <c r="D157" s="331">
        <v>195000</v>
      </c>
      <c r="E157" s="331">
        <v>195000</v>
      </c>
      <c r="F157" s="485">
        <f t="shared" ref="F157:L157" si="112">195000-1500</f>
        <v>193500</v>
      </c>
      <c r="G157" s="335">
        <f t="shared" si="112"/>
        <v>193500</v>
      </c>
      <c r="H157" s="335">
        <f t="shared" si="112"/>
        <v>193500</v>
      </c>
      <c r="I157" s="335">
        <f t="shared" si="112"/>
        <v>193500</v>
      </c>
      <c r="J157" s="335">
        <f t="shared" si="112"/>
        <v>193500</v>
      </c>
      <c r="K157" s="335">
        <f t="shared" si="112"/>
        <v>193500</v>
      </c>
      <c r="L157" s="335">
        <f t="shared" si="112"/>
        <v>193500</v>
      </c>
      <c r="M157" s="331">
        <v>193252</v>
      </c>
      <c r="N157" s="466">
        <f t="shared" si="109"/>
        <v>0.99871834625322997</v>
      </c>
      <c r="O157" s="123">
        <f t="shared" ref="O157:Y157" si="113">SUM(C153:C157)</f>
        <v>619702</v>
      </c>
      <c r="P157" s="123">
        <f t="shared" si="113"/>
        <v>634220</v>
      </c>
      <c r="Q157" s="123">
        <f t="shared" si="113"/>
        <v>634220</v>
      </c>
      <c r="R157" s="123">
        <f t="shared" si="113"/>
        <v>558520</v>
      </c>
      <c r="S157" s="123">
        <f t="shared" si="113"/>
        <v>516520</v>
      </c>
      <c r="T157" s="123">
        <f t="shared" si="113"/>
        <v>516520</v>
      </c>
      <c r="U157" s="123">
        <f t="shared" si="113"/>
        <v>516520</v>
      </c>
      <c r="V157" s="123">
        <f t="shared" si="113"/>
        <v>516520</v>
      </c>
      <c r="W157" s="123">
        <f t="shared" si="113"/>
        <v>516520</v>
      </c>
      <c r="X157" s="123">
        <f t="shared" si="113"/>
        <v>516520</v>
      </c>
      <c r="Y157" s="123">
        <f t="shared" si="113"/>
        <v>309905</v>
      </c>
    </row>
    <row r="158" spans="1:25" ht="16.5" thickBot="1" x14ac:dyDescent="0.3">
      <c r="A158" s="648" t="s">
        <v>131</v>
      </c>
      <c r="B158" s="649"/>
      <c r="C158" s="328">
        <f t="shared" ref="C158:M158" si="114">SUM(C159:C182)</f>
        <v>1020702</v>
      </c>
      <c r="D158" s="328">
        <f t="shared" si="114"/>
        <v>1035220</v>
      </c>
      <c r="E158" s="328">
        <f t="shared" si="114"/>
        <v>1035220</v>
      </c>
      <c r="F158" s="328">
        <f t="shared" si="114"/>
        <v>1086320</v>
      </c>
      <c r="G158" s="328">
        <f t="shared" si="114"/>
        <v>1044320</v>
      </c>
      <c r="H158" s="328">
        <f t="shared" si="114"/>
        <v>1044320</v>
      </c>
      <c r="I158" s="328">
        <f t="shared" si="114"/>
        <v>1044320</v>
      </c>
      <c r="J158" s="328">
        <f t="shared" si="114"/>
        <v>1044320</v>
      </c>
      <c r="K158" s="328">
        <f t="shared" si="114"/>
        <v>1044520</v>
      </c>
      <c r="L158" s="328">
        <f t="shared" si="114"/>
        <v>1044520</v>
      </c>
      <c r="M158" s="328">
        <f t="shared" si="114"/>
        <v>452163</v>
      </c>
      <c r="N158" s="466">
        <f t="shared" si="109"/>
        <v>0.4328907057787309</v>
      </c>
      <c r="O158" s="123">
        <f t="shared" ref="O158:W158" si="115">D158-C158</f>
        <v>14518</v>
      </c>
      <c r="P158" s="123">
        <f t="shared" si="115"/>
        <v>0</v>
      </c>
      <c r="Q158" s="123">
        <f t="shared" si="115"/>
        <v>51100</v>
      </c>
      <c r="R158" s="123">
        <f t="shared" si="115"/>
        <v>-42000</v>
      </c>
      <c r="S158" s="123">
        <f t="shared" si="115"/>
        <v>0</v>
      </c>
      <c r="T158" s="123">
        <f t="shared" si="115"/>
        <v>0</v>
      </c>
      <c r="U158" s="123">
        <f t="shared" si="115"/>
        <v>0</v>
      </c>
      <c r="V158" s="123">
        <f t="shared" si="115"/>
        <v>200</v>
      </c>
      <c r="W158" s="123">
        <f t="shared" si="115"/>
        <v>0</v>
      </c>
    </row>
    <row r="159" spans="1:25" x14ac:dyDescent="0.25">
      <c r="A159" s="210" t="s">
        <v>50</v>
      </c>
      <c r="B159" s="211" t="s">
        <v>158</v>
      </c>
      <c r="C159" s="303">
        <v>127047</v>
      </c>
      <c r="D159" s="486">
        <f t="shared" ref="D159:H159" si="116">127047+2403</f>
        <v>129450</v>
      </c>
      <c r="E159" s="303">
        <f t="shared" si="116"/>
        <v>129450</v>
      </c>
      <c r="F159" s="303">
        <f t="shared" si="116"/>
        <v>129450</v>
      </c>
      <c r="G159" s="303">
        <f t="shared" si="116"/>
        <v>129450</v>
      </c>
      <c r="H159" s="303">
        <f t="shared" si="116"/>
        <v>129450</v>
      </c>
      <c r="I159" s="486">
        <f>127047+2403+6000</f>
        <v>135450</v>
      </c>
      <c r="J159" s="303">
        <f>127047+2403+6000</f>
        <v>135450</v>
      </c>
      <c r="K159" s="303">
        <f>127047+2403+6000</f>
        <v>135450</v>
      </c>
      <c r="L159" s="303">
        <f>127047+2403+6000</f>
        <v>135450</v>
      </c>
      <c r="M159" s="303">
        <v>0</v>
      </c>
      <c r="N159" s="466">
        <f t="shared" si="109"/>
        <v>0</v>
      </c>
      <c r="Q159" s="123"/>
      <c r="R159" s="123"/>
      <c r="S159" s="123"/>
      <c r="T159" s="123"/>
      <c r="U159" s="123"/>
    </row>
    <row r="160" spans="1:25" x14ac:dyDescent="0.25">
      <c r="A160" s="174" t="s">
        <v>50</v>
      </c>
      <c r="B160" s="152" t="s">
        <v>404</v>
      </c>
      <c r="C160" s="230">
        <v>15000</v>
      </c>
      <c r="D160" s="230">
        <v>15000</v>
      </c>
      <c r="E160" s="488">
        <f>15000+29000</f>
        <v>44000</v>
      </c>
      <c r="F160" s="488">
        <f>15000+29000-6500</f>
        <v>37500</v>
      </c>
      <c r="G160" s="230">
        <f>15000+29000-6500</f>
        <v>37500</v>
      </c>
      <c r="H160" s="230">
        <f>15000+29000-6500</f>
        <v>37500</v>
      </c>
      <c r="I160" s="488">
        <f>15000+29000-6500-12500</f>
        <v>25000</v>
      </c>
      <c r="J160" s="230">
        <f>15000+29000-6500-12500</f>
        <v>25000</v>
      </c>
      <c r="K160" s="230">
        <f>15000+29000-6500-12500</f>
        <v>25000</v>
      </c>
      <c r="L160" s="230">
        <f>15000+29000-6500-12500</f>
        <v>25000</v>
      </c>
      <c r="M160" s="230">
        <v>24255</v>
      </c>
      <c r="N160" s="466">
        <f t="shared" si="109"/>
        <v>0.97019999999999995</v>
      </c>
      <c r="R160" s="123"/>
      <c r="S160" s="123"/>
      <c r="T160" s="123"/>
      <c r="U160" s="123"/>
      <c r="V160" s="123"/>
      <c r="W160" s="123"/>
    </row>
    <row r="161" spans="1:26" ht="15.75" thickBot="1" x14ac:dyDescent="0.3">
      <c r="A161" s="358" t="s">
        <v>50</v>
      </c>
      <c r="B161" s="108" t="s">
        <v>253</v>
      </c>
      <c r="C161" s="228">
        <v>10000</v>
      </c>
      <c r="D161" s="484">
        <f>10000+27600</f>
        <v>37600</v>
      </c>
      <c r="E161" s="484">
        <f t="shared" ref="E161:L161" si="117">10000+27600-11160</f>
        <v>26440</v>
      </c>
      <c r="F161" s="228">
        <f t="shared" si="117"/>
        <v>26440</v>
      </c>
      <c r="G161" s="228">
        <f t="shared" si="117"/>
        <v>26440</v>
      </c>
      <c r="H161" s="228">
        <f t="shared" si="117"/>
        <v>26440</v>
      </c>
      <c r="I161" s="228">
        <f t="shared" si="117"/>
        <v>26440</v>
      </c>
      <c r="J161" s="228">
        <f t="shared" si="117"/>
        <v>26440</v>
      </c>
      <c r="K161" s="228">
        <f t="shared" si="117"/>
        <v>26440</v>
      </c>
      <c r="L161" s="228">
        <f t="shared" si="117"/>
        <v>26440</v>
      </c>
      <c r="M161" s="228">
        <v>26434</v>
      </c>
      <c r="N161" s="466">
        <f t="shared" si="109"/>
        <v>0.99977307110438729</v>
      </c>
      <c r="O161" s="123">
        <f t="shared" ref="O161:W161" si="118">SUM(C159:C161)</f>
        <v>152047</v>
      </c>
      <c r="P161" s="123">
        <f t="shared" si="118"/>
        <v>182050</v>
      </c>
      <c r="Q161" s="123">
        <f t="shared" si="118"/>
        <v>199890</v>
      </c>
      <c r="R161" s="123">
        <f t="shared" si="118"/>
        <v>193390</v>
      </c>
      <c r="S161" s="123">
        <f t="shared" si="118"/>
        <v>193390</v>
      </c>
      <c r="T161" s="123">
        <f t="shared" si="118"/>
        <v>193390</v>
      </c>
      <c r="U161" s="123">
        <f t="shared" si="118"/>
        <v>186890</v>
      </c>
      <c r="V161" s="123">
        <f t="shared" si="118"/>
        <v>186890</v>
      </c>
      <c r="W161" s="123">
        <f t="shared" si="118"/>
        <v>186890</v>
      </c>
    </row>
    <row r="162" spans="1:26" x14ac:dyDescent="0.25">
      <c r="A162" s="210" t="s">
        <v>62</v>
      </c>
      <c r="B162" s="211" t="s">
        <v>254</v>
      </c>
      <c r="C162" s="303">
        <v>10000</v>
      </c>
      <c r="D162" s="486">
        <f t="shared" ref="D162:L162" si="119">10000+20000</f>
        <v>30000</v>
      </c>
      <c r="E162" s="303">
        <f t="shared" si="119"/>
        <v>30000</v>
      </c>
      <c r="F162" s="303">
        <f t="shared" si="119"/>
        <v>30000</v>
      </c>
      <c r="G162" s="303">
        <f t="shared" si="119"/>
        <v>30000</v>
      </c>
      <c r="H162" s="303">
        <f t="shared" si="119"/>
        <v>30000</v>
      </c>
      <c r="I162" s="303">
        <f t="shared" si="119"/>
        <v>30000</v>
      </c>
      <c r="J162" s="303">
        <f t="shared" si="119"/>
        <v>30000</v>
      </c>
      <c r="K162" s="303">
        <f t="shared" si="119"/>
        <v>30000</v>
      </c>
      <c r="L162" s="303">
        <f t="shared" si="119"/>
        <v>30000</v>
      </c>
      <c r="M162" s="303">
        <v>0</v>
      </c>
      <c r="N162" s="466">
        <f t="shared" si="109"/>
        <v>0</v>
      </c>
      <c r="R162" s="123"/>
      <c r="U162" s="123"/>
      <c r="V162" s="123"/>
      <c r="W162" s="123"/>
    </row>
    <row r="163" spans="1:26" ht="15.75" thickBot="1" x14ac:dyDescent="0.3">
      <c r="A163" s="357" t="s">
        <v>64</v>
      </c>
      <c r="B163" s="130" t="s">
        <v>465</v>
      </c>
      <c r="C163" s="231">
        <v>0</v>
      </c>
      <c r="D163" s="231">
        <v>0</v>
      </c>
      <c r="E163" s="231">
        <v>0</v>
      </c>
      <c r="F163" s="489">
        <v>45000</v>
      </c>
      <c r="G163" s="489">
        <f t="shared" ref="G163:L163" si="120">45000-45000</f>
        <v>0</v>
      </c>
      <c r="H163" s="231">
        <f t="shared" si="120"/>
        <v>0</v>
      </c>
      <c r="I163" s="231">
        <f t="shared" si="120"/>
        <v>0</v>
      </c>
      <c r="J163" s="231">
        <f t="shared" si="120"/>
        <v>0</v>
      </c>
      <c r="K163" s="231">
        <f t="shared" si="120"/>
        <v>0</v>
      </c>
      <c r="L163" s="231">
        <f t="shared" si="120"/>
        <v>0</v>
      </c>
      <c r="M163" s="231">
        <v>0</v>
      </c>
      <c r="N163" s="466">
        <v>0</v>
      </c>
      <c r="R163" s="123"/>
    </row>
    <row r="164" spans="1:26" x14ac:dyDescent="0.25">
      <c r="A164" s="129" t="s">
        <v>69</v>
      </c>
      <c r="B164" s="76" t="s">
        <v>186</v>
      </c>
      <c r="C164" s="229">
        <v>6870</v>
      </c>
      <c r="D164" s="229">
        <v>6870</v>
      </c>
      <c r="E164" s="229">
        <v>6870</v>
      </c>
      <c r="F164" s="229">
        <v>6870</v>
      </c>
      <c r="G164" s="229">
        <v>6870</v>
      </c>
      <c r="H164" s="229">
        <v>6870</v>
      </c>
      <c r="I164" s="229">
        <v>6870</v>
      </c>
      <c r="J164" s="229">
        <v>6870</v>
      </c>
      <c r="K164" s="229">
        <v>6870</v>
      </c>
      <c r="L164" s="229">
        <v>6870</v>
      </c>
      <c r="M164" s="229">
        <v>0</v>
      </c>
      <c r="N164" s="466">
        <f t="shared" si="109"/>
        <v>0</v>
      </c>
    </row>
    <row r="165" spans="1:26" ht="15.75" thickBot="1" x14ac:dyDescent="0.3">
      <c r="A165" s="358" t="s">
        <v>71</v>
      </c>
      <c r="B165" s="108" t="s">
        <v>255</v>
      </c>
      <c r="C165" s="228">
        <v>30000</v>
      </c>
      <c r="D165" s="484">
        <f t="shared" ref="D165:L165" si="121">30000-25000</f>
        <v>5000</v>
      </c>
      <c r="E165" s="228">
        <f t="shared" si="121"/>
        <v>5000</v>
      </c>
      <c r="F165" s="228">
        <f t="shared" si="121"/>
        <v>5000</v>
      </c>
      <c r="G165" s="228">
        <f t="shared" si="121"/>
        <v>5000</v>
      </c>
      <c r="H165" s="228">
        <f t="shared" si="121"/>
        <v>5000</v>
      </c>
      <c r="I165" s="228">
        <f t="shared" si="121"/>
        <v>5000</v>
      </c>
      <c r="J165" s="228">
        <f t="shared" si="121"/>
        <v>5000</v>
      </c>
      <c r="K165" s="228">
        <f t="shared" si="121"/>
        <v>5000</v>
      </c>
      <c r="L165" s="228">
        <f t="shared" si="121"/>
        <v>5000</v>
      </c>
      <c r="M165" s="228">
        <v>0</v>
      </c>
      <c r="N165" s="466">
        <f t="shared" si="109"/>
        <v>0</v>
      </c>
      <c r="O165" s="123"/>
      <c r="P165" s="123"/>
      <c r="R165" s="123"/>
    </row>
    <row r="166" spans="1:26" x14ac:dyDescent="0.25">
      <c r="A166" s="174" t="s">
        <v>77</v>
      </c>
      <c r="B166" s="133" t="s">
        <v>164</v>
      </c>
      <c r="C166" s="230">
        <v>206000</v>
      </c>
      <c r="D166" s="230">
        <v>206000</v>
      </c>
      <c r="E166" s="230">
        <v>206000</v>
      </c>
      <c r="F166" s="488">
        <f>206000-2300</f>
        <v>203700</v>
      </c>
      <c r="G166" s="230">
        <f>206000-2300</f>
        <v>203700</v>
      </c>
      <c r="H166" s="230">
        <f>206000-2300</f>
        <v>203700</v>
      </c>
      <c r="I166" s="488">
        <f>206000-2300+1500</f>
        <v>205200</v>
      </c>
      <c r="J166" s="488">
        <f>206000-2300+1500+10000</f>
        <v>215200</v>
      </c>
      <c r="K166" s="230">
        <f>206000-2300+1500+10000</f>
        <v>215200</v>
      </c>
      <c r="L166" s="230">
        <f>206000-2300+1500+10000</f>
        <v>215200</v>
      </c>
      <c r="M166" s="230">
        <v>213721</v>
      </c>
      <c r="N166" s="466">
        <f t="shared" si="109"/>
        <v>0.99312732342007437</v>
      </c>
      <c r="O166" s="123"/>
      <c r="P166" s="123"/>
      <c r="R166" s="123"/>
    </row>
    <row r="167" spans="1:26" ht="15.75" thickBot="1" x14ac:dyDescent="0.3">
      <c r="A167" s="173" t="s">
        <v>81</v>
      </c>
      <c r="B167" s="134" t="s">
        <v>195</v>
      </c>
      <c r="C167" s="231">
        <v>10000</v>
      </c>
      <c r="D167" s="231">
        <v>10000</v>
      </c>
      <c r="E167" s="231">
        <v>10000</v>
      </c>
      <c r="F167" s="231">
        <v>10000</v>
      </c>
      <c r="G167" s="231">
        <v>10000</v>
      </c>
      <c r="H167" s="231">
        <v>10000</v>
      </c>
      <c r="I167" s="231">
        <v>10000</v>
      </c>
      <c r="J167" s="231">
        <v>10000</v>
      </c>
      <c r="K167" s="231">
        <v>10000</v>
      </c>
      <c r="L167" s="231">
        <v>10000</v>
      </c>
      <c r="M167" s="231">
        <v>0</v>
      </c>
      <c r="N167" s="466">
        <f t="shared" si="109"/>
        <v>0</v>
      </c>
      <c r="R167" s="123"/>
      <c r="T167" s="123"/>
      <c r="Y167" s="123"/>
      <c r="Z167" s="123"/>
    </row>
    <row r="168" spans="1:26" x14ac:dyDescent="0.25">
      <c r="A168" s="146" t="s">
        <v>132</v>
      </c>
      <c r="B168" s="147" t="s">
        <v>159</v>
      </c>
      <c r="C168" s="232">
        <v>6000</v>
      </c>
      <c r="D168" s="232">
        <v>6000</v>
      </c>
      <c r="E168" s="232">
        <v>6000</v>
      </c>
      <c r="F168" s="232">
        <v>6000</v>
      </c>
      <c r="G168" s="232">
        <v>6000</v>
      </c>
      <c r="H168" s="232">
        <v>6000</v>
      </c>
      <c r="I168" s="232">
        <f>6000</f>
        <v>6000</v>
      </c>
      <c r="J168" s="232">
        <f>6000</f>
        <v>6000</v>
      </c>
      <c r="K168" s="232">
        <f>6000</f>
        <v>6000</v>
      </c>
      <c r="L168" s="232">
        <f>6000</f>
        <v>6000</v>
      </c>
      <c r="M168" s="232">
        <v>0</v>
      </c>
      <c r="N168" s="466">
        <f t="shared" si="109"/>
        <v>0</v>
      </c>
      <c r="R168" s="123"/>
      <c r="S168" s="123"/>
      <c r="U168" s="123"/>
    </row>
    <row r="169" spans="1:26" ht="15.75" customHeight="1" x14ac:dyDescent="0.25">
      <c r="A169" s="188" t="s">
        <v>132</v>
      </c>
      <c r="B169" s="133" t="s">
        <v>215</v>
      </c>
      <c r="C169" s="230">
        <v>75730</v>
      </c>
      <c r="D169" s="488">
        <f>75730-9060</f>
        <v>66670</v>
      </c>
      <c r="E169" s="230">
        <f>75730-9060-17840</f>
        <v>48830</v>
      </c>
      <c r="F169" s="488">
        <f>75730-9060-17840+9800</f>
        <v>58630</v>
      </c>
      <c r="G169" s="488">
        <f>75730-9060-17840+9800+3000</f>
        <v>61630</v>
      </c>
      <c r="H169" s="230">
        <f>75730-9060-17840+9800+3000</f>
        <v>61630</v>
      </c>
      <c r="I169" s="488">
        <f>75730-9060-17840+9800+3000-2270</f>
        <v>59360</v>
      </c>
      <c r="J169" s="230">
        <f>75730-9060-17840+9800+3000-2270</f>
        <v>59360</v>
      </c>
      <c r="K169" s="488">
        <f>75730-9060-17840+9800+3000-2270+200</f>
        <v>59560</v>
      </c>
      <c r="L169" s="230">
        <f>75730-9060-17840+9800+3000-2270+200</f>
        <v>59560</v>
      </c>
      <c r="M169" s="230">
        <v>10645</v>
      </c>
      <c r="N169" s="466">
        <f t="shared" si="109"/>
        <v>0.17872733378106112</v>
      </c>
      <c r="O169" s="123" t="s">
        <v>381</v>
      </c>
      <c r="R169" s="123"/>
    </row>
    <row r="170" spans="1:26" ht="15.75" customHeight="1" x14ac:dyDescent="0.25">
      <c r="A170" s="188" t="s">
        <v>83</v>
      </c>
      <c r="B170" s="133" t="s">
        <v>219</v>
      </c>
      <c r="C170" s="230">
        <v>2000</v>
      </c>
      <c r="D170" s="230">
        <v>2000</v>
      </c>
      <c r="E170" s="230">
        <v>2000</v>
      </c>
      <c r="F170" s="230">
        <v>2000</v>
      </c>
      <c r="G170" s="230">
        <v>2000</v>
      </c>
      <c r="H170" s="230">
        <v>2000</v>
      </c>
      <c r="I170" s="230">
        <v>2000</v>
      </c>
      <c r="J170" s="230">
        <v>2000</v>
      </c>
      <c r="K170" s="230">
        <v>2000</v>
      </c>
      <c r="L170" s="230">
        <v>2000</v>
      </c>
      <c r="M170" s="230">
        <v>0</v>
      </c>
      <c r="N170" s="466">
        <f t="shared" si="109"/>
        <v>0</v>
      </c>
      <c r="O170" s="123"/>
    </row>
    <row r="171" spans="1:26" x14ac:dyDescent="0.25">
      <c r="A171" s="188" t="s">
        <v>83</v>
      </c>
      <c r="B171" s="133" t="s">
        <v>256</v>
      </c>
      <c r="C171" s="230">
        <v>10000</v>
      </c>
      <c r="D171" s="230">
        <v>10000</v>
      </c>
      <c r="E171" s="230">
        <v>10000</v>
      </c>
      <c r="F171" s="230">
        <v>10000</v>
      </c>
      <c r="G171" s="230">
        <v>10000</v>
      </c>
      <c r="H171" s="230">
        <v>10000</v>
      </c>
      <c r="I171" s="230">
        <v>10000</v>
      </c>
      <c r="J171" s="230">
        <v>10000</v>
      </c>
      <c r="K171" s="230">
        <v>10000</v>
      </c>
      <c r="L171" s="230">
        <v>10000</v>
      </c>
      <c r="M171" s="230">
        <v>0</v>
      </c>
      <c r="N171" s="466">
        <f t="shared" si="109"/>
        <v>0</v>
      </c>
      <c r="O171" s="123"/>
    </row>
    <row r="172" spans="1:26" ht="15" customHeight="1" x14ac:dyDescent="0.25">
      <c r="A172" s="188" t="s">
        <v>83</v>
      </c>
      <c r="B172" s="133" t="s">
        <v>221</v>
      </c>
      <c r="C172" s="230">
        <v>47000</v>
      </c>
      <c r="D172" s="488">
        <f>47000-12270</f>
        <v>34730</v>
      </c>
      <c r="E172" s="230">
        <f>47000-12270</f>
        <v>34730</v>
      </c>
      <c r="F172" s="488">
        <f t="shared" ref="F172:L172" si="122">47000-12270+1800</f>
        <v>36530</v>
      </c>
      <c r="G172" s="230">
        <f t="shared" si="122"/>
        <v>36530</v>
      </c>
      <c r="H172" s="230">
        <f t="shared" si="122"/>
        <v>36530</v>
      </c>
      <c r="I172" s="230">
        <f t="shared" si="122"/>
        <v>36530</v>
      </c>
      <c r="J172" s="230">
        <f t="shared" si="122"/>
        <v>36530</v>
      </c>
      <c r="K172" s="230">
        <f>47000-12270+1800</f>
        <v>36530</v>
      </c>
      <c r="L172" s="230">
        <f t="shared" si="122"/>
        <v>36530</v>
      </c>
      <c r="M172" s="230">
        <v>36425</v>
      </c>
      <c r="N172" s="466">
        <f t="shared" si="109"/>
        <v>0.9971256501505612</v>
      </c>
      <c r="O172" s="123"/>
      <c r="P172" s="123"/>
    </row>
    <row r="173" spans="1:26" ht="16.5" customHeight="1" thickBot="1" x14ac:dyDescent="0.3">
      <c r="A173" s="145" t="s">
        <v>85</v>
      </c>
      <c r="B173" s="131" t="s">
        <v>194</v>
      </c>
      <c r="C173" s="228">
        <v>10000</v>
      </c>
      <c r="D173" s="228">
        <v>10000</v>
      </c>
      <c r="E173" s="228">
        <v>10000</v>
      </c>
      <c r="F173" s="228">
        <v>10000</v>
      </c>
      <c r="G173" s="228">
        <v>10000</v>
      </c>
      <c r="H173" s="228">
        <v>10000</v>
      </c>
      <c r="I173" s="484">
        <f>10000+2500</f>
        <v>12500</v>
      </c>
      <c r="J173" s="228">
        <f>10000+2500</f>
        <v>12500</v>
      </c>
      <c r="K173" s="228">
        <f>10000+2500</f>
        <v>12500</v>
      </c>
      <c r="L173" s="228">
        <f>10000+2500</f>
        <v>12500</v>
      </c>
      <c r="M173" s="228">
        <v>0</v>
      </c>
      <c r="N173" s="466">
        <f t="shared" si="109"/>
        <v>0</v>
      </c>
      <c r="T173" s="123"/>
      <c r="Y173" s="123"/>
      <c r="Z173" s="123"/>
    </row>
    <row r="174" spans="1:26" x14ac:dyDescent="0.25">
      <c r="A174" s="149" t="s">
        <v>97</v>
      </c>
      <c r="B174" s="106" t="s">
        <v>171</v>
      </c>
      <c r="C174" s="229">
        <v>31000</v>
      </c>
      <c r="D174" s="229">
        <v>31000</v>
      </c>
      <c r="E174" s="229">
        <v>31000</v>
      </c>
      <c r="F174" s="229">
        <v>31000</v>
      </c>
      <c r="G174" s="229">
        <v>31000</v>
      </c>
      <c r="H174" s="229">
        <v>31000</v>
      </c>
      <c r="I174" s="229">
        <v>31000</v>
      </c>
      <c r="J174" s="229">
        <v>31000</v>
      </c>
      <c r="K174" s="229">
        <v>31000</v>
      </c>
      <c r="L174" s="229">
        <v>31000</v>
      </c>
      <c r="M174" s="229">
        <v>0</v>
      </c>
      <c r="N174" s="466">
        <f t="shared" si="109"/>
        <v>0</v>
      </c>
      <c r="T174" s="123"/>
      <c r="U174" s="123"/>
      <c r="V174" s="123"/>
      <c r="W174" s="123"/>
      <c r="X174" s="123"/>
      <c r="Y174" s="123"/>
      <c r="Z174" s="123"/>
    </row>
    <row r="175" spans="1:26" x14ac:dyDescent="0.25">
      <c r="A175" s="148" t="s">
        <v>97</v>
      </c>
      <c r="B175" s="105" t="s">
        <v>193</v>
      </c>
      <c r="C175" s="233">
        <v>20000</v>
      </c>
      <c r="D175" s="233">
        <v>20000</v>
      </c>
      <c r="E175" s="233">
        <v>20000</v>
      </c>
      <c r="F175" s="233">
        <v>20000</v>
      </c>
      <c r="G175" s="233">
        <v>20000</v>
      </c>
      <c r="H175" s="233">
        <v>20000</v>
      </c>
      <c r="I175" s="233">
        <v>20000</v>
      </c>
      <c r="J175" s="233">
        <v>20000</v>
      </c>
      <c r="K175" s="233">
        <v>20000</v>
      </c>
      <c r="L175" s="233">
        <v>20000</v>
      </c>
      <c r="M175" s="233">
        <v>0</v>
      </c>
      <c r="N175" s="466">
        <f t="shared" si="109"/>
        <v>0</v>
      </c>
      <c r="R175" s="123"/>
      <c r="S175" s="123"/>
    </row>
    <row r="176" spans="1:26" x14ac:dyDescent="0.25">
      <c r="A176" s="148" t="s">
        <v>97</v>
      </c>
      <c r="B176" s="105" t="s">
        <v>507</v>
      </c>
      <c r="C176" s="233">
        <v>0</v>
      </c>
      <c r="D176" s="233">
        <v>0</v>
      </c>
      <c r="E176" s="233">
        <v>0</v>
      </c>
      <c r="F176" s="554">
        <v>3300</v>
      </c>
      <c r="G176" s="233">
        <v>3300</v>
      </c>
      <c r="H176" s="233">
        <v>3300</v>
      </c>
      <c r="I176" s="233">
        <v>3300</v>
      </c>
      <c r="J176" s="233">
        <v>3300</v>
      </c>
      <c r="K176" s="233">
        <v>3300</v>
      </c>
      <c r="L176" s="233">
        <v>3300</v>
      </c>
      <c r="M176" s="233">
        <v>3300</v>
      </c>
      <c r="N176" s="466">
        <f t="shared" si="109"/>
        <v>1</v>
      </c>
      <c r="R176" s="123"/>
    </row>
    <row r="177" spans="1:26" x14ac:dyDescent="0.25">
      <c r="A177" s="151" t="s">
        <v>102</v>
      </c>
      <c r="B177" s="152" t="s">
        <v>373</v>
      </c>
      <c r="C177" s="230">
        <v>45000</v>
      </c>
      <c r="D177" s="230">
        <v>45000</v>
      </c>
      <c r="E177" s="230">
        <v>45000</v>
      </c>
      <c r="F177" s="230">
        <v>45000</v>
      </c>
      <c r="G177" s="230">
        <v>45000</v>
      </c>
      <c r="H177" s="230">
        <v>45000</v>
      </c>
      <c r="I177" s="230">
        <v>45000</v>
      </c>
      <c r="J177" s="230">
        <v>45000</v>
      </c>
      <c r="K177" s="230">
        <v>45000</v>
      </c>
      <c r="L177" s="230">
        <v>45000</v>
      </c>
      <c r="M177" s="230">
        <v>0</v>
      </c>
      <c r="N177" s="466">
        <f t="shared" si="109"/>
        <v>0</v>
      </c>
      <c r="O177" s="123"/>
      <c r="P177" s="123"/>
    </row>
    <row r="178" spans="1:26" ht="15.75" thickBot="1" x14ac:dyDescent="0.3">
      <c r="A178" s="153" t="s">
        <v>102</v>
      </c>
      <c r="B178" s="130" t="s">
        <v>342</v>
      </c>
      <c r="C178" s="231">
        <v>35000</v>
      </c>
      <c r="D178" s="231">
        <v>35000</v>
      </c>
      <c r="E178" s="231">
        <v>35000</v>
      </c>
      <c r="F178" s="231">
        <v>35000</v>
      </c>
      <c r="G178" s="231">
        <v>35000</v>
      </c>
      <c r="H178" s="231">
        <v>35000</v>
      </c>
      <c r="I178" s="231">
        <v>35000</v>
      </c>
      <c r="J178" s="231">
        <v>35000</v>
      </c>
      <c r="K178" s="231">
        <v>35000</v>
      </c>
      <c r="L178" s="231">
        <v>35000</v>
      </c>
      <c r="M178" s="231">
        <v>0</v>
      </c>
      <c r="N178" s="466">
        <f t="shared" si="109"/>
        <v>0</v>
      </c>
    </row>
    <row r="179" spans="1:26" ht="15.75" thickBot="1" x14ac:dyDescent="0.3">
      <c r="A179" s="213" t="s">
        <v>106</v>
      </c>
      <c r="B179" s="211" t="s">
        <v>165</v>
      </c>
      <c r="C179" s="303">
        <v>127800</v>
      </c>
      <c r="D179" s="486">
        <f t="shared" ref="D179:H179" si="123">127800-800</f>
        <v>127000</v>
      </c>
      <c r="E179" s="303">
        <f t="shared" si="123"/>
        <v>127000</v>
      </c>
      <c r="F179" s="303">
        <f t="shared" si="123"/>
        <v>127000</v>
      </c>
      <c r="G179" s="303">
        <f t="shared" si="123"/>
        <v>127000</v>
      </c>
      <c r="H179" s="303">
        <f t="shared" si="123"/>
        <v>127000</v>
      </c>
      <c r="I179" s="486">
        <f>127800-800-1800</f>
        <v>125200</v>
      </c>
      <c r="J179" s="303">
        <f>127800-800-1800</f>
        <v>125200</v>
      </c>
      <c r="K179" s="303">
        <f>127800-800-1800</f>
        <v>125200</v>
      </c>
      <c r="L179" s="303">
        <f>127800-800-1800</f>
        <v>125200</v>
      </c>
      <c r="M179" s="303">
        <v>125059</v>
      </c>
      <c r="N179" s="466">
        <f t="shared" si="109"/>
        <v>0.99887380191693287</v>
      </c>
    </row>
    <row r="180" spans="1:26" x14ac:dyDescent="0.25">
      <c r="A180" s="213" t="s">
        <v>445</v>
      </c>
      <c r="B180" s="211" t="s">
        <v>590</v>
      </c>
      <c r="C180" s="303">
        <v>0</v>
      </c>
      <c r="D180" s="303">
        <v>0</v>
      </c>
      <c r="E180" s="303">
        <v>0</v>
      </c>
      <c r="F180" s="303">
        <v>0</v>
      </c>
      <c r="G180" s="303">
        <v>0</v>
      </c>
      <c r="H180" s="303">
        <v>0</v>
      </c>
      <c r="I180" s="486">
        <v>10000</v>
      </c>
      <c r="J180" s="303">
        <v>10000</v>
      </c>
      <c r="K180" s="303">
        <v>10000</v>
      </c>
      <c r="L180" s="303">
        <v>10000</v>
      </c>
      <c r="M180" s="303">
        <f>4968+4968</f>
        <v>9936</v>
      </c>
      <c r="N180" s="466">
        <f t="shared" si="109"/>
        <v>0.99360000000000004</v>
      </c>
    </row>
    <row r="181" spans="1:26" ht="15" customHeight="1" thickBot="1" x14ac:dyDescent="0.3">
      <c r="A181" s="153" t="s">
        <v>115</v>
      </c>
      <c r="B181" s="130" t="s">
        <v>246</v>
      </c>
      <c r="C181" s="231">
        <v>3000</v>
      </c>
      <c r="D181" s="489">
        <f t="shared" ref="D181:H181" si="124">3000+600</f>
        <v>3600</v>
      </c>
      <c r="E181" s="231">
        <f t="shared" si="124"/>
        <v>3600</v>
      </c>
      <c r="F181" s="231">
        <f t="shared" si="124"/>
        <v>3600</v>
      </c>
      <c r="G181" s="231">
        <f t="shared" si="124"/>
        <v>3600</v>
      </c>
      <c r="H181" s="231">
        <f t="shared" si="124"/>
        <v>3600</v>
      </c>
      <c r="I181" s="489">
        <f>3000+600-1200</f>
        <v>2400</v>
      </c>
      <c r="J181" s="231">
        <f>3000+600-1200</f>
        <v>2400</v>
      </c>
      <c r="K181" s="231">
        <f>3000+600-1200</f>
        <v>2400</v>
      </c>
      <c r="L181" s="231">
        <f>3000+600-1200</f>
        <v>2400</v>
      </c>
      <c r="M181" s="231">
        <v>2388</v>
      </c>
      <c r="N181" s="466">
        <f t="shared" si="109"/>
        <v>0.995</v>
      </c>
      <c r="O181" s="123"/>
      <c r="P181" s="123"/>
      <c r="T181" s="123"/>
      <c r="U181" s="123"/>
    </row>
    <row r="182" spans="1:26" ht="15.75" thickBot="1" x14ac:dyDescent="0.3">
      <c r="A182" s="356" t="s">
        <v>248</v>
      </c>
      <c r="B182" s="108" t="s">
        <v>247</v>
      </c>
      <c r="C182" s="228">
        <v>193255</v>
      </c>
      <c r="D182" s="484">
        <f t="shared" ref="D182:H182" si="125">193255+11045</f>
        <v>204300</v>
      </c>
      <c r="E182" s="228">
        <f t="shared" si="125"/>
        <v>204300</v>
      </c>
      <c r="F182" s="228">
        <f t="shared" si="125"/>
        <v>204300</v>
      </c>
      <c r="G182" s="228">
        <f t="shared" si="125"/>
        <v>204300</v>
      </c>
      <c r="H182" s="228">
        <f t="shared" si="125"/>
        <v>204300</v>
      </c>
      <c r="I182" s="484">
        <f>193255+11045-2230</f>
        <v>202070</v>
      </c>
      <c r="J182" s="484">
        <f>193255+11045-2230-10000</f>
        <v>192070</v>
      </c>
      <c r="K182" s="228">
        <f>193255+11045-2230-10000</f>
        <v>192070</v>
      </c>
      <c r="L182" s="228">
        <f>193255+11045-2230-10000</f>
        <v>192070</v>
      </c>
      <c r="M182" s="228">
        <v>0</v>
      </c>
      <c r="N182" s="466">
        <f t="shared" si="109"/>
        <v>0</v>
      </c>
      <c r="S182" s="123"/>
      <c r="T182" s="123"/>
    </row>
    <row r="183" spans="1:26" ht="15" customHeight="1" x14ac:dyDescent="0.25">
      <c r="A183" s="155"/>
      <c r="B183" s="156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81"/>
      <c r="R183" s="123"/>
      <c r="S183" s="123"/>
      <c r="T183" s="123"/>
      <c r="Y183" s="123"/>
      <c r="Z183" s="123"/>
    </row>
    <row r="184" spans="1:26" x14ac:dyDescent="0.25">
      <c r="A184" s="154"/>
      <c r="B184" s="80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Q184" s="123"/>
      <c r="R184" s="123"/>
      <c r="U184" s="123"/>
      <c r="V184" s="123"/>
      <c r="W184" s="123"/>
      <c r="X184" s="123"/>
    </row>
    <row r="185" spans="1:26" ht="18.75" thickBot="1" x14ac:dyDescent="0.3">
      <c r="A185" s="650" t="s">
        <v>133</v>
      </c>
      <c r="B185" s="651"/>
      <c r="C185" s="651"/>
      <c r="D185" s="651"/>
      <c r="E185" s="651"/>
      <c r="F185" s="651"/>
      <c r="G185" s="651"/>
      <c r="H185" s="651"/>
      <c r="I185" s="651"/>
      <c r="J185" s="651"/>
      <c r="K185" s="651"/>
      <c r="L185" s="651"/>
      <c r="M185" s="651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5.75" customHeight="1" x14ac:dyDescent="0.25">
      <c r="A186" s="644" t="s">
        <v>1</v>
      </c>
      <c r="B186" s="645"/>
      <c r="C186" s="638" t="s">
        <v>323</v>
      </c>
      <c r="D186" s="638" t="s">
        <v>562</v>
      </c>
      <c r="E186" s="638" t="s">
        <v>563</v>
      </c>
      <c r="F186" s="638" t="s">
        <v>564</v>
      </c>
      <c r="G186" s="638" t="s">
        <v>565</v>
      </c>
      <c r="H186" s="638" t="s">
        <v>566</v>
      </c>
      <c r="I186" s="638" t="s">
        <v>567</v>
      </c>
      <c r="J186" s="638" t="s">
        <v>605</v>
      </c>
      <c r="K186" s="638" t="s">
        <v>640</v>
      </c>
      <c r="L186" s="638" t="s">
        <v>656</v>
      </c>
      <c r="M186" s="638" t="s">
        <v>677</v>
      </c>
      <c r="N186" s="640" t="s">
        <v>352</v>
      </c>
      <c r="R186" s="123"/>
      <c r="S186" s="123"/>
      <c r="T186" s="123"/>
    </row>
    <row r="187" spans="1:26" ht="15" customHeight="1" thickBot="1" x14ac:dyDescent="0.3">
      <c r="A187" s="646"/>
      <c r="B187" s="647"/>
      <c r="C187" s="639"/>
      <c r="D187" s="639"/>
      <c r="E187" s="639"/>
      <c r="F187" s="639"/>
      <c r="G187" s="639"/>
      <c r="H187" s="639"/>
      <c r="I187" s="639"/>
      <c r="J187" s="639"/>
      <c r="K187" s="639"/>
      <c r="L187" s="639"/>
      <c r="M187" s="639"/>
      <c r="N187" s="641"/>
      <c r="O187" s="123"/>
      <c r="P187" s="123"/>
      <c r="Q187" s="123"/>
      <c r="R187" s="123"/>
      <c r="T187" s="123"/>
    </row>
    <row r="188" spans="1:26" ht="16.5" thickBot="1" x14ac:dyDescent="0.3">
      <c r="A188" s="82" t="s">
        <v>134</v>
      </c>
      <c r="B188" s="83"/>
      <c r="C188" s="84">
        <f t="shared" ref="C188:H188" si="126">SUM(C189:C193)</f>
        <v>402140</v>
      </c>
      <c r="D188" s="84">
        <f t="shared" si="126"/>
        <v>402140</v>
      </c>
      <c r="E188" s="84">
        <f t="shared" si="126"/>
        <v>402140</v>
      </c>
      <c r="F188" s="84">
        <f t="shared" si="126"/>
        <v>523640</v>
      </c>
      <c r="G188" s="84">
        <f t="shared" si="126"/>
        <v>523640</v>
      </c>
      <c r="H188" s="84">
        <f t="shared" si="126"/>
        <v>523640</v>
      </c>
      <c r="I188" s="84">
        <f t="shared" ref="I188:M188" si="127">SUM(I189:I193)</f>
        <v>523640</v>
      </c>
      <c r="J188" s="84">
        <f t="shared" si="127"/>
        <v>523640</v>
      </c>
      <c r="K188" s="84">
        <f t="shared" si="127"/>
        <v>523640</v>
      </c>
      <c r="L188" s="84">
        <f t="shared" si="127"/>
        <v>523640</v>
      </c>
      <c r="M188" s="84">
        <f t="shared" si="127"/>
        <v>137207</v>
      </c>
      <c r="N188" s="466">
        <f>M188/L188</f>
        <v>0.26202543732335193</v>
      </c>
      <c r="O188" s="123">
        <f t="shared" ref="O188:W188" si="128">D188-C188</f>
        <v>0</v>
      </c>
      <c r="P188" s="123">
        <f t="shared" si="128"/>
        <v>0</v>
      </c>
      <c r="Q188" s="123">
        <f t="shared" si="128"/>
        <v>121500</v>
      </c>
      <c r="R188" s="123">
        <f t="shared" si="128"/>
        <v>0</v>
      </c>
      <c r="S188" s="123">
        <f t="shared" si="128"/>
        <v>0</v>
      </c>
      <c r="T188" s="123">
        <f t="shared" si="128"/>
        <v>0</v>
      </c>
      <c r="U188" s="123">
        <f t="shared" si="128"/>
        <v>0</v>
      </c>
      <c r="V188" s="123">
        <f t="shared" si="128"/>
        <v>0</v>
      </c>
      <c r="W188" s="123">
        <f t="shared" si="128"/>
        <v>0</v>
      </c>
    </row>
    <row r="189" spans="1:26" ht="15" customHeight="1" x14ac:dyDescent="0.25">
      <c r="A189" s="158">
        <v>453</v>
      </c>
      <c r="B189" s="159" t="s">
        <v>355</v>
      </c>
      <c r="C189" s="172">
        <v>1000</v>
      </c>
      <c r="D189" s="172">
        <v>1000</v>
      </c>
      <c r="E189" s="172">
        <v>1000</v>
      </c>
      <c r="F189" s="172">
        <v>1000</v>
      </c>
      <c r="G189" s="172">
        <v>1000</v>
      </c>
      <c r="H189" s="172">
        <v>1000</v>
      </c>
      <c r="I189" s="172">
        <v>1000</v>
      </c>
      <c r="J189" s="172">
        <v>1000</v>
      </c>
      <c r="K189" s="172">
        <v>1000</v>
      </c>
      <c r="L189" s="172">
        <v>1000</v>
      </c>
      <c r="M189" s="172">
        <v>480</v>
      </c>
      <c r="N189" s="466">
        <f t="shared" ref="N189:N197" si="129">M189/L189</f>
        <v>0.48</v>
      </c>
      <c r="Q189" s="123"/>
      <c r="R189" s="123"/>
    </row>
    <row r="190" spans="1:26" ht="15.75" customHeight="1" x14ac:dyDescent="0.25">
      <c r="A190" s="158">
        <v>453</v>
      </c>
      <c r="B190" s="159" t="s">
        <v>330</v>
      </c>
      <c r="C190" s="172">
        <v>1000</v>
      </c>
      <c r="D190" s="172">
        <v>1000</v>
      </c>
      <c r="E190" s="172">
        <v>1000</v>
      </c>
      <c r="F190" s="172">
        <v>1000</v>
      </c>
      <c r="G190" s="172">
        <v>1000</v>
      </c>
      <c r="H190" s="172">
        <v>1000</v>
      </c>
      <c r="I190" s="172">
        <v>1000</v>
      </c>
      <c r="J190" s="172">
        <v>1000</v>
      </c>
      <c r="K190" s="172">
        <v>1000</v>
      </c>
      <c r="L190" s="172">
        <v>1000</v>
      </c>
      <c r="M190" s="172">
        <f>444+390</f>
        <v>834</v>
      </c>
      <c r="N190" s="466">
        <f t="shared" si="129"/>
        <v>0.83399999999999996</v>
      </c>
      <c r="P190" s="123">
        <f t="shared" ref="P190:W190" si="130">SUM(C189:C190)</f>
        <v>2000</v>
      </c>
      <c r="Q190" s="123">
        <f t="shared" si="130"/>
        <v>2000</v>
      </c>
      <c r="R190" s="123">
        <f t="shared" si="130"/>
        <v>2000</v>
      </c>
      <c r="S190" s="123">
        <f t="shared" si="130"/>
        <v>2000</v>
      </c>
      <c r="T190" s="123">
        <f t="shared" si="130"/>
        <v>2000</v>
      </c>
      <c r="U190" s="123">
        <f t="shared" si="130"/>
        <v>2000</v>
      </c>
      <c r="V190" s="123">
        <f t="shared" si="130"/>
        <v>2000</v>
      </c>
      <c r="W190" s="123">
        <f t="shared" si="130"/>
        <v>2000</v>
      </c>
    </row>
    <row r="191" spans="1:26" x14ac:dyDescent="0.25">
      <c r="A191" s="157">
        <v>454</v>
      </c>
      <c r="B191" s="126" t="s">
        <v>135</v>
      </c>
      <c r="C191" s="171">
        <v>100000</v>
      </c>
      <c r="D191" s="171">
        <v>100000</v>
      </c>
      <c r="E191" s="171">
        <v>100000</v>
      </c>
      <c r="F191" s="460">
        <f t="shared" ref="F191:L191" si="131">100000+121500</f>
        <v>221500</v>
      </c>
      <c r="G191" s="171">
        <f t="shared" si="131"/>
        <v>221500</v>
      </c>
      <c r="H191" s="171">
        <f t="shared" si="131"/>
        <v>221500</v>
      </c>
      <c r="I191" s="171">
        <f t="shared" si="131"/>
        <v>221500</v>
      </c>
      <c r="J191" s="171">
        <f t="shared" si="131"/>
        <v>221500</v>
      </c>
      <c r="K191" s="171">
        <f t="shared" si="131"/>
        <v>221500</v>
      </c>
      <c r="L191" s="171">
        <f t="shared" si="131"/>
        <v>221500</v>
      </c>
      <c r="M191" s="171">
        <v>135867</v>
      </c>
      <c r="N191" s="466">
        <f t="shared" si="129"/>
        <v>0.61339503386004512</v>
      </c>
      <c r="P191" s="123"/>
    </row>
    <row r="192" spans="1:26" ht="15.75" thickBot="1" x14ac:dyDescent="0.3">
      <c r="A192" s="225">
        <v>456</v>
      </c>
      <c r="B192" s="226" t="s">
        <v>204</v>
      </c>
      <c r="C192" s="227">
        <v>140</v>
      </c>
      <c r="D192" s="227">
        <v>140</v>
      </c>
      <c r="E192" s="227">
        <v>140</v>
      </c>
      <c r="F192" s="227">
        <v>140</v>
      </c>
      <c r="G192" s="227">
        <v>140</v>
      </c>
      <c r="H192" s="227">
        <v>140</v>
      </c>
      <c r="I192" s="227">
        <v>140</v>
      </c>
      <c r="J192" s="227">
        <v>140</v>
      </c>
      <c r="K192" s="227">
        <v>140</v>
      </c>
      <c r="L192" s="227">
        <v>140</v>
      </c>
      <c r="M192" s="227">
        <v>26</v>
      </c>
      <c r="N192" s="466">
        <f t="shared" si="129"/>
        <v>0.18571428571428572</v>
      </c>
      <c r="O192" s="89"/>
      <c r="P192" s="123">
        <f t="shared" ref="P192:W192" si="132">SUM(C189:C192)</f>
        <v>102140</v>
      </c>
      <c r="Q192" s="123">
        <f t="shared" si="132"/>
        <v>102140</v>
      </c>
      <c r="R192" s="123">
        <f t="shared" si="132"/>
        <v>102140</v>
      </c>
      <c r="S192" s="123">
        <f t="shared" si="132"/>
        <v>223640</v>
      </c>
      <c r="T192" s="123">
        <f t="shared" si="132"/>
        <v>223640</v>
      </c>
      <c r="U192" s="123">
        <f t="shared" si="132"/>
        <v>223640</v>
      </c>
      <c r="V192" s="123">
        <f t="shared" si="132"/>
        <v>223640</v>
      </c>
      <c r="W192" s="123">
        <f t="shared" si="132"/>
        <v>223640</v>
      </c>
    </row>
    <row r="193" spans="1:23" ht="15.75" thickBot="1" x14ac:dyDescent="0.3">
      <c r="A193" s="222">
        <v>513</v>
      </c>
      <c r="B193" s="223" t="s">
        <v>137</v>
      </c>
      <c r="C193" s="224">
        <v>300000</v>
      </c>
      <c r="D193" s="224">
        <v>300000</v>
      </c>
      <c r="E193" s="224">
        <v>300000</v>
      </c>
      <c r="F193" s="224">
        <v>300000</v>
      </c>
      <c r="G193" s="224">
        <v>300000</v>
      </c>
      <c r="H193" s="224">
        <v>300000</v>
      </c>
      <c r="I193" s="224">
        <v>300000</v>
      </c>
      <c r="J193" s="224">
        <v>300000</v>
      </c>
      <c r="K193" s="224">
        <v>300000</v>
      </c>
      <c r="L193" s="224">
        <v>300000</v>
      </c>
      <c r="M193" s="224">
        <v>0</v>
      </c>
      <c r="N193" s="466">
        <f t="shared" si="129"/>
        <v>0</v>
      </c>
      <c r="O193" s="123"/>
    </row>
    <row r="194" spans="1:23" ht="16.5" thickBot="1" x14ac:dyDescent="0.3">
      <c r="A194" s="82" t="s">
        <v>138</v>
      </c>
      <c r="B194" s="83"/>
      <c r="C194" s="84">
        <f t="shared" ref="C194:M194" si="133">SUM(C195:C197)</f>
        <v>10940</v>
      </c>
      <c r="D194" s="84">
        <f t="shared" si="133"/>
        <v>11000</v>
      </c>
      <c r="E194" s="84">
        <f t="shared" si="133"/>
        <v>11000</v>
      </c>
      <c r="F194" s="84">
        <f t="shared" si="133"/>
        <v>11000</v>
      </c>
      <c r="G194" s="84">
        <f t="shared" si="133"/>
        <v>11000</v>
      </c>
      <c r="H194" s="84">
        <f t="shared" si="133"/>
        <v>11000</v>
      </c>
      <c r="I194" s="84">
        <f t="shared" si="133"/>
        <v>11000</v>
      </c>
      <c r="J194" s="84">
        <f t="shared" si="133"/>
        <v>11000</v>
      </c>
      <c r="K194" s="84">
        <f t="shared" si="133"/>
        <v>11000</v>
      </c>
      <c r="L194" s="84">
        <f t="shared" si="133"/>
        <v>11000</v>
      </c>
      <c r="M194" s="84">
        <f t="shared" si="133"/>
        <v>882</v>
      </c>
      <c r="N194" s="466">
        <f t="shared" si="129"/>
        <v>8.0181818181818187E-2</v>
      </c>
      <c r="O194" s="123">
        <f t="shared" ref="O194:W194" si="134">D194-C194</f>
        <v>60</v>
      </c>
      <c r="P194" s="123">
        <f t="shared" si="134"/>
        <v>0</v>
      </c>
      <c r="Q194" s="123">
        <f t="shared" si="134"/>
        <v>0</v>
      </c>
      <c r="R194" s="123">
        <f t="shared" si="134"/>
        <v>0</v>
      </c>
      <c r="S194" s="123">
        <f t="shared" si="134"/>
        <v>0</v>
      </c>
      <c r="T194" s="123">
        <f t="shared" si="134"/>
        <v>0</v>
      </c>
      <c r="U194" s="123">
        <f t="shared" si="134"/>
        <v>0</v>
      </c>
      <c r="V194" s="123">
        <f t="shared" si="134"/>
        <v>0</v>
      </c>
      <c r="W194" s="123">
        <f t="shared" si="134"/>
        <v>0</v>
      </c>
    </row>
    <row r="195" spans="1:23" x14ac:dyDescent="0.25">
      <c r="A195" s="206">
        <v>819</v>
      </c>
      <c r="B195" s="85" t="s">
        <v>203</v>
      </c>
      <c r="C195" s="86">
        <v>140</v>
      </c>
      <c r="D195" s="86">
        <v>140</v>
      </c>
      <c r="E195" s="86">
        <v>140</v>
      </c>
      <c r="F195" s="86">
        <v>140</v>
      </c>
      <c r="G195" s="86">
        <v>140</v>
      </c>
      <c r="H195" s="86">
        <v>140</v>
      </c>
      <c r="I195" s="86">
        <v>140</v>
      </c>
      <c r="J195" s="86">
        <v>140</v>
      </c>
      <c r="K195" s="86">
        <v>140</v>
      </c>
      <c r="L195" s="86">
        <v>140</v>
      </c>
      <c r="M195" s="86">
        <v>26</v>
      </c>
      <c r="N195" s="466">
        <f t="shared" si="129"/>
        <v>0.18571428571428572</v>
      </c>
    </row>
    <row r="196" spans="1:23" ht="15" customHeight="1" x14ac:dyDescent="0.25">
      <c r="A196" s="207">
        <v>821</v>
      </c>
      <c r="B196" s="208" t="s">
        <v>206</v>
      </c>
      <c r="C196" s="169">
        <v>10000</v>
      </c>
      <c r="D196" s="169">
        <v>10000</v>
      </c>
      <c r="E196" s="169">
        <v>10000</v>
      </c>
      <c r="F196" s="169">
        <v>10000</v>
      </c>
      <c r="G196" s="169">
        <v>10000</v>
      </c>
      <c r="H196" s="169">
        <v>10000</v>
      </c>
      <c r="I196" s="169">
        <v>10000</v>
      </c>
      <c r="J196" s="169">
        <v>10000</v>
      </c>
      <c r="K196" s="169">
        <v>10000</v>
      </c>
      <c r="L196" s="169">
        <v>10000</v>
      </c>
      <c r="M196" s="169">
        <v>0</v>
      </c>
      <c r="N196" s="466">
        <f t="shared" si="129"/>
        <v>0</v>
      </c>
    </row>
    <row r="197" spans="1:23" ht="15.75" thickBot="1" x14ac:dyDescent="0.3">
      <c r="A197" s="339">
        <v>821</v>
      </c>
      <c r="B197" s="87" t="s">
        <v>139</v>
      </c>
      <c r="C197" s="42">
        <v>800</v>
      </c>
      <c r="D197" s="454">
        <v>860</v>
      </c>
      <c r="E197" s="50">
        <v>860</v>
      </c>
      <c r="F197" s="50">
        <v>860</v>
      </c>
      <c r="G197" s="50">
        <v>860</v>
      </c>
      <c r="H197" s="50">
        <v>860</v>
      </c>
      <c r="I197" s="50">
        <v>860</v>
      </c>
      <c r="J197" s="50">
        <v>860</v>
      </c>
      <c r="K197" s="50">
        <v>860</v>
      </c>
      <c r="L197" s="50">
        <v>860</v>
      </c>
      <c r="M197" s="42">
        <v>856</v>
      </c>
      <c r="N197" s="466">
        <f t="shared" si="129"/>
        <v>0.99534883720930234</v>
      </c>
    </row>
    <row r="198" spans="1:23" ht="15" customHeight="1" x14ac:dyDescent="0.25">
      <c r="A198" s="154"/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156"/>
    </row>
    <row r="199" spans="1:23" ht="27.75" customHeight="1" x14ac:dyDescent="0.25">
      <c r="A199" s="33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</row>
    <row r="200" spans="1:23" ht="18.75" thickBot="1" x14ac:dyDescent="0.3">
      <c r="A200" s="642" t="s">
        <v>140</v>
      </c>
      <c r="B200" s="643"/>
      <c r="C200" s="643"/>
      <c r="D200" s="643"/>
      <c r="E200" s="643"/>
      <c r="F200" s="643"/>
      <c r="G200" s="643"/>
      <c r="H200" s="643"/>
      <c r="I200" s="643"/>
      <c r="J200" s="643"/>
      <c r="K200" s="643"/>
      <c r="L200" s="643"/>
      <c r="M200" s="643"/>
    </row>
    <row r="201" spans="1:23" ht="15" customHeight="1" x14ac:dyDescent="0.25">
      <c r="A201" s="644" t="s">
        <v>1</v>
      </c>
      <c r="B201" s="645"/>
      <c r="C201" s="638" t="s">
        <v>323</v>
      </c>
      <c r="D201" s="638" t="s">
        <v>562</v>
      </c>
      <c r="E201" s="638" t="s">
        <v>563</v>
      </c>
      <c r="F201" s="638" t="s">
        <v>564</v>
      </c>
      <c r="G201" s="638" t="s">
        <v>565</v>
      </c>
      <c r="H201" s="638" t="s">
        <v>566</v>
      </c>
      <c r="I201" s="638" t="s">
        <v>567</v>
      </c>
      <c r="J201" s="638" t="s">
        <v>605</v>
      </c>
      <c r="K201" s="638" t="s">
        <v>640</v>
      </c>
      <c r="L201" s="638" t="s">
        <v>656</v>
      </c>
      <c r="M201" s="638" t="s">
        <v>677</v>
      </c>
    </row>
    <row r="202" spans="1:23" ht="15.75" thickBot="1" x14ac:dyDescent="0.3">
      <c r="A202" s="646"/>
      <c r="B202" s="647"/>
      <c r="C202" s="639"/>
      <c r="D202" s="639"/>
      <c r="E202" s="639"/>
      <c r="F202" s="639"/>
      <c r="G202" s="639"/>
      <c r="H202" s="639"/>
      <c r="I202" s="639"/>
      <c r="J202" s="639"/>
      <c r="K202" s="639"/>
      <c r="L202" s="639"/>
      <c r="M202" s="639"/>
    </row>
    <row r="203" spans="1:23" ht="15.75" x14ac:dyDescent="0.25">
      <c r="A203" s="90" t="s">
        <v>141</v>
      </c>
      <c r="B203" s="120"/>
      <c r="C203" s="91">
        <f t="shared" ref="C203:M203" si="135">C75</f>
        <v>2160910</v>
      </c>
      <c r="D203" s="91">
        <f t="shared" si="135"/>
        <v>2204460</v>
      </c>
      <c r="E203" s="91">
        <f t="shared" si="135"/>
        <v>2211405</v>
      </c>
      <c r="F203" s="91">
        <f t="shared" si="135"/>
        <v>2240450</v>
      </c>
      <c r="G203" s="91">
        <f t="shared" si="135"/>
        <v>2282161</v>
      </c>
      <c r="H203" s="91">
        <f t="shared" si="135"/>
        <v>2295914</v>
      </c>
      <c r="I203" s="91">
        <f t="shared" si="135"/>
        <v>2294490</v>
      </c>
      <c r="J203" s="91">
        <f t="shared" si="135"/>
        <v>2294800</v>
      </c>
      <c r="K203" s="91">
        <f t="shared" si="135"/>
        <v>2293209</v>
      </c>
      <c r="L203" s="91">
        <f t="shared" si="135"/>
        <v>2297244</v>
      </c>
      <c r="M203" s="91">
        <f t="shared" si="135"/>
        <v>2174082.2000000002</v>
      </c>
    </row>
    <row r="204" spans="1:23" ht="15.75" x14ac:dyDescent="0.25">
      <c r="A204" s="92" t="s">
        <v>142</v>
      </c>
      <c r="B204" s="209"/>
      <c r="C204" s="93">
        <f t="shared" ref="C204:M204" si="136">C145</f>
        <v>2152110</v>
      </c>
      <c r="D204" s="93">
        <f t="shared" si="136"/>
        <v>2195600</v>
      </c>
      <c r="E204" s="93">
        <f t="shared" si="136"/>
        <v>2202545</v>
      </c>
      <c r="F204" s="93">
        <f t="shared" si="136"/>
        <v>2228290</v>
      </c>
      <c r="G204" s="93">
        <f t="shared" si="136"/>
        <v>2270001</v>
      </c>
      <c r="H204" s="93">
        <f t="shared" si="136"/>
        <v>2283754</v>
      </c>
      <c r="I204" s="93">
        <f t="shared" si="136"/>
        <v>2282330</v>
      </c>
      <c r="J204" s="93">
        <f t="shared" si="136"/>
        <v>2282640</v>
      </c>
      <c r="K204" s="93">
        <f t="shared" si="136"/>
        <v>2281049</v>
      </c>
      <c r="L204" s="93">
        <f t="shared" si="136"/>
        <v>2285084</v>
      </c>
      <c r="M204" s="93">
        <f t="shared" si="136"/>
        <v>1949005</v>
      </c>
    </row>
    <row r="205" spans="1:23" ht="15.75" x14ac:dyDescent="0.25">
      <c r="A205" s="634" t="s">
        <v>143</v>
      </c>
      <c r="B205" s="635"/>
      <c r="C205" s="94">
        <f t="shared" ref="C205:M205" si="137">C203-C204</f>
        <v>8800</v>
      </c>
      <c r="D205" s="94">
        <f t="shared" si="137"/>
        <v>8860</v>
      </c>
      <c r="E205" s="94">
        <f t="shared" si="137"/>
        <v>8860</v>
      </c>
      <c r="F205" s="94">
        <f t="shared" si="137"/>
        <v>12160</v>
      </c>
      <c r="G205" s="94">
        <f t="shared" si="137"/>
        <v>12160</v>
      </c>
      <c r="H205" s="94">
        <f t="shared" si="137"/>
        <v>12160</v>
      </c>
      <c r="I205" s="94">
        <f t="shared" si="137"/>
        <v>12160</v>
      </c>
      <c r="J205" s="94">
        <f t="shared" si="137"/>
        <v>12160</v>
      </c>
      <c r="K205" s="94">
        <f t="shared" si="137"/>
        <v>12160</v>
      </c>
      <c r="L205" s="94">
        <f t="shared" si="137"/>
        <v>12160</v>
      </c>
      <c r="M205" s="94">
        <f t="shared" si="137"/>
        <v>225077.20000000019</v>
      </c>
      <c r="T205" s="123"/>
    </row>
    <row r="206" spans="1:23" ht="15.75" x14ac:dyDescent="0.25">
      <c r="A206" s="92" t="s">
        <v>144</v>
      </c>
      <c r="B206" s="116"/>
      <c r="C206" s="93">
        <f t="shared" ref="C206:M206" si="138">C151</f>
        <v>620702</v>
      </c>
      <c r="D206" s="93">
        <f t="shared" si="138"/>
        <v>635220</v>
      </c>
      <c r="E206" s="93">
        <f t="shared" si="138"/>
        <v>635220</v>
      </c>
      <c r="F206" s="93">
        <f t="shared" si="138"/>
        <v>561520</v>
      </c>
      <c r="G206" s="93">
        <f t="shared" si="138"/>
        <v>519520</v>
      </c>
      <c r="H206" s="93">
        <f t="shared" si="138"/>
        <v>519520</v>
      </c>
      <c r="I206" s="93">
        <f t="shared" si="138"/>
        <v>519520</v>
      </c>
      <c r="J206" s="93">
        <f t="shared" si="138"/>
        <v>519520</v>
      </c>
      <c r="K206" s="93">
        <f t="shared" si="138"/>
        <v>519720</v>
      </c>
      <c r="L206" s="93">
        <f t="shared" si="138"/>
        <v>519720</v>
      </c>
      <c r="M206" s="93">
        <f t="shared" si="138"/>
        <v>312996</v>
      </c>
      <c r="T206" s="123"/>
    </row>
    <row r="207" spans="1:23" ht="15.75" x14ac:dyDescent="0.25">
      <c r="A207" s="92" t="s">
        <v>145</v>
      </c>
      <c r="B207" s="116"/>
      <c r="C207" s="8">
        <f t="shared" ref="C207:M207" si="139">C158</f>
        <v>1020702</v>
      </c>
      <c r="D207" s="8">
        <f t="shared" si="139"/>
        <v>1035220</v>
      </c>
      <c r="E207" s="8">
        <f t="shared" si="139"/>
        <v>1035220</v>
      </c>
      <c r="F207" s="8">
        <f t="shared" si="139"/>
        <v>1086320</v>
      </c>
      <c r="G207" s="8">
        <f t="shared" si="139"/>
        <v>1044320</v>
      </c>
      <c r="H207" s="8">
        <f t="shared" si="139"/>
        <v>1044320</v>
      </c>
      <c r="I207" s="8">
        <f t="shared" si="139"/>
        <v>1044320</v>
      </c>
      <c r="J207" s="8">
        <f t="shared" si="139"/>
        <v>1044320</v>
      </c>
      <c r="K207" s="8">
        <f t="shared" si="139"/>
        <v>1044520</v>
      </c>
      <c r="L207" s="8">
        <f t="shared" si="139"/>
        <v>1044520</v>
      </c>
      <c r="M207" s="8">
        <f t="shared" si="139"/>
        <v>452163</v>
      </c>
      <c r="S207" s="123"/>
      <c r="T207" s="123"/>
    </row>
    <row r="208" spans="1:23" ht="15.75" x14ac:dyDescent="0.25">
      <c r="A208" s="634" t="s">
        <v>146</v>
      </c>
      <c r="B208" s="635"/>
      <c r="C208" s="94">
        <f t="shared" ref="C208:M208" si="140">C206-C207</f>
        <v>-400000</v>
      </c>
      <c r="D208" s="94">
        <f t="shared" si="140"/>
        <v>-400000</v>
      </c>
      <c r="E208" s="94">
        <f t="shared" si="140"/>
        <v>-400000</v>
      </c>
      <c r="F208" s="94">
        <f t="shared" si="140"/>
        <v>-524800</v>
      </c>
      <c r="G208" s="94">
        <f t="shared" si="140"/>
        <v>-524800</v>
      </c>
      <c r="H208" s="94">
        <f t="shared" si="140"/>
        <v>-524800</v>
      </c>
      <c r="I208" s="94">
        <f t="shared" si="140"/>
        <v>-524800</v>
      </c>
      <c r="J208" s="94">
        <f t="shared" si="140"/>
        <v>-524800</v>
      </c>
      <c r="K208" s="94">
        <f t="shared" si="140"/>
        <v>-524800</v>
      </c>
      <c r="L208" s="94">
        <f t="shared" si="140"/>
        <v>-524800</v>
      </c>
      <c r="M208" s="94">
        <f t="shared" si="140"/>
        <v>-139167</v>
      </c>
      <c r="R208" s="123"/>
      <c r="S208" s="123"/>
      <c r="T208" s="123"/>
    </row>
    <row r="209" spans="1:23" ht="15.75" x14ac:dyDescent="0.25">
      <c r="A209" s="95" t="s">
        <v>147</v>
      </c>
      <c r="B209" s="96"/>
      <c r="C209" s="97">
        <f t="shared" ref="C209:M209" si="141">C188</f>
        <v>402140</v>
      </c>
      <c r="D209" s="97">
        <f t="shared" si="141"/>
        <v>402140</v>
      </c>
      <c r="E209" s="97">
        <f t="shared" si="141"/>
        <v>402140</v>
      </c>
      <c r="F209" s="97">
        <f t="shared" si="141"/>
        <v>523640</v>
      </c>
      <c r="G209" s="97">
        <f t="shared" si="141"/>
        <v>523640</v>
      </c>
      <c r="H209" s="97">
        <f t="shared" si="141"/>
        <v>523640</v>
      </c>
      <c r="I209" s="97">
        <f t="shared" si="141"/>
        <v>523640</v>
      </c>
      <c r="J209" s="97">
        <f t="shared" si="141"/>
        <v>523640</v>
      </c>
      <c r="K209" s="97">
        <f t="shared" si="141"/>
        <v>523640</v>
      </c>
      <c r="L209" s="97">
        <f t="shared" si="141"/>
        <v>523640</v>
      </c>
      <c r="M209" s="97">
        <f t="shared" si="141"/>
        <v>137207</v>
      </c>
      <c r="Q209" s="123"/>
      <c r="R209" s="123"/>
      <c r="S209" s="123"/>
      <c r="T209" s="123"/>
    </row>
    <row r="210" spans="1:23" ht="15.75" x14ac:dyDescent="0.25">
      <c r="A210" s="95" t="s">
        <v>148</v>
      </c>
      <c r="B210" s="96"/>
      <c r="C210" s="97">
        <f t="shared" ref="C210:M210" si="142">C194</f>
        <v>10940</v>
      </c>
      <c r="D210" s="97">
        <f t="shared" si="142"/>
        <v>11000</v>
      </c>
      <c r="E210" s="97">
        <f t="shared" si="142"/>
        <v>11000</v>
      </c>
      <c r="F210" s="97">
        <f t="shared" si="142"/>
        <v>11000</v>
      </c>
      <c r="G210" s="97">
        <f t="shared" si="142"/>
        <v>11000</v>
      </c>
      <c r="H210" s="97">
        <f t="shared" si="142"/>
        <v>11000</v>
      </c>
      <c r="I210" s="97">
        <f t="shared" si="142"/>
        <v>11000</v>
      </c>
      <c r="J210" s="97">
        <f t="shared" si="142"/>
        <v>11000</v>
      </c>
      <c r="K210" s="97">
        <f t="shared" si="142"/>
        <v>11000</v>
      </c>
      <c r="L210" s="97">
        <f t="shared" si="142"/>
        <v>11000</v>
      </c>
      <c r="M210" s="97">
        <f t="shared" si="142"/>
        <v>882</v>
      </c>
      <c r="Q210" s="123"/>
      <c r="R210" s="123"/>
      <c r="S210" s="123"/>
    </row>
    <row r="211" spans="1:23" ht="16.5" thickBot="1" x14ac:dyDescent="0.3">
      <c r="A211" s="636" t="s">
        <v>149</v>
      </c>
      <c r="B211" s="637"/>
      <c r="C211" s="98">
        <f t="shared" ref="C211:M211" si="143">C209-C210</f>
        <v>391200</v>
      </c>
      <c r="D211" s="98">
        <f t="shared" si="143"/>
        <v>391140</v>
      </c>
      <c r="E211" s="98">
        <f t="shared" si="143"/>
        <v>391140</v>
      </c>
      <c r="F211" s="98">
        <f t="shared" si="143"/>
        <v>512640</v>
      </c>
      <c r="G211" s="98">
        <f t="shared" si="143"/>
        <v>512640</v>
      </c>
      <c r="H211" s="98">
        <f t="shared" si="143"/>
        <v>512640</v>
      </c>
      <c r="I211" s="98">
        <f t="shared" si="143"/>
        <v>512640</v>
      </c>
      <c r="J211" s="98">
        <f t="shared" si="143"/>
        <v>512640</v>
      </c>
      <c r="K211" s="98">
        <f t="shared" si="143"/>
        <v>512640</v>
      </c>
      <c r="L211" s="98">
        <f t="shared" si="143"/>
        <v>512640</v>
      </c>
      <c r="M211" s="98">
        <f t="shared" si="143"/>
        <v>136325</v>
      </c>
      <c r="Q211" s="123"/>
      <c r="R211" s="123"/>
      <c r="S211" s="123"/>
    </row>
    <row r="212" spans="1:23" ht="16.5" thickBot="1" x14ac:dyDescent="0.3">
      <c r="A212" s="160" t="s">
        <v>150</v>
      </c>
      <c r="B212" s="99"/>
      <c r="C212" s="161">
        <f t="shared" ref="C212:M212" si="144">C205+C208+C211</f>
        <v>0</v>
      </c>
      <c r="D212" s="161">
        <f t="shared" si="144"/>
        <v>0</v>
      </c>
      <c r="E212" s="161">
        <f t="shared" si="144"/>
        <v>0</v>
      </c>
      <c r="F212" s="161">
        <f t="shared" si="144"/>
        <v>0</v>
      </c>
      <c r="G212" s="161">
        <f t="shared" si="144"/>
        <v>0</v>
      </c>
      <c r="H212" s="161">
        <f t="shared" si="144"/>
        <v>0</v>
      </c>
      <c r="I212" s="161">
        <f t="shared" si="144"/>
        <v>0</v>
      </c>
      <c r="J212" s="161">
        <f t="shared" si="144"/>
        <v>0</v>
      </c>
      <c r="K212" s="161">
        <f t="shared" si="144"/>
        <v>0</v>
      </c>
      <c r="L212" s="161">
        <f t="shared" si="144"/>
        <v>0</v>
      </c>
      <c r="M212" s="161">
        <f t="shared" si="144"/>
        <v>222235.20000000019</v>
      </c>
      <c r="P212" s="123"/>
      <c r="Q212" s="123"/>
      <c r="R212" s="123"/>
    </row>
    <row r="213" spans="1:23" x14ac:dyDescent="0.25">
      <c r="N213" s="123"/>
      <c r="O213" s="123"/>
      <c r="P213" s="123"/>
      <c r="Q213" s="123"/>
    </row>
    <row r="214" spans="1:23" x14ac:dyDescent="0.25">
      <c r="B214" s="162" t="s">
        <v>151</v>
      </c>
      <c r="C214" s="123">
        <f t="shared" ref="C214:M215" si="145">C203+C206+C209</f>
        <v>3183752</v>
      </c>
      <c r="D214" s="123">
        <f t="shared" si="145"/>
        <v>3241820</v>
      </c>
      <c r="E214" s="123">
        <f t="shared" si="145"/>
        <v>3248765</v>
      </c>
      <c r="F214" s="123">
        <f t="shared" si="145"/>
        <v>3325610</v>
      </c>
      <c r="G214" s="123">
        <f t="shared" si="145"/>
        <v>3325321</v>
      </c>
      <c r="H214" s="123">
        <f t="shared" si="145"/>
        <v>3339074</v>
      </c>
      <c r="I214" s="123">
        <f t="shared" si="145"/>
        <v>3337650</v>
      </c>
      <c r="J214" s="123">
        <f t="shared" si="145"/>
        <v>3337960</v>
      </c>
      <c r="K214" s="123">
        <f t="shared" si="145"/>
        <v>3336569</v>
      </c>
      <c r="L214" s="123">
        <f t="shared" si="145"/>
        <v>3340604</v>
      </c>
      <c r="M214" s="123">
        <f t="shared" si="145"/>
        <v>2624285.2000000002</v>
      </c>
      <c r="N214" s="123"/>
      <c r="O214" s="123">
        <f t="shared" ref="O214:W215" si="146">D214-C214</f>
        <v>58068</v>
      </c>
      <c r="P214" s="123">
        <f t="shared" si="146"/>
        <v>6945</v>
      </c>
      <c r="Q214" s="123">
        <f t="shared" si="146"/>
        <v>76845</v>
      </c>
      <c r="R214" s="123">
        <f t="shared" si="146"/>
        <v>-289</v>
      </c>
      <c r="S214" s="123">
        <f t="shared" si="146"/>
        <v>13753</v>
      </c>
      <c r="T214" s="123">
        <f t="shared" si="146"/>
        <v>-1424</v>
      </c>
      <c r="U214" s="123">
        <f t="shared" si="146"/>
        <v>310</v>
      </c>
      <c r="V214" s="123">
        <f t="shared" si="146"/>
        <v>-1391</v>
      </c>
      <c r="W214" s="123">
        <f t="shared" si="146"/>
        <v>4035</v>
      </c>
    </row>
    <row r="215" spans="1:23" x14ac:dyDescent="0.25">
      <c r="B215" s="162" t="s">
        <v>152</v>
      </c>
      <c r="C215" s="123">
        <f t="shared" si="145"/>
        <v>3183752</v>
      </c>
      <c r="D215" s="123">
        <f t="shared" si="145"/>
        <v>3241820</v>
      </c>
      <c r="E215" s="123">
        <f t="shared" si="145"/>
        <v>3248765</v>
      </c>
      <c r="F215" s="123">
        <f t="shared" si="145"/>
        <v>3325610</v>
      </c>
      <c r="G215" s="123">
        <f t="shared" si="145"/>
        <v>3325321</v>
      </c>
      <c r="H215" s="123">
        <f t="shared" si="145"/>
        <v>3339074</v>
      </c>
      <c r="I215" s="123">
        <f t="shared" si="145"/>
        <v>3337650</v>
      </c>
      <c r="J215" s="123">
        <f t="shared" si="145"/>
        <v>3337960</v>
      </c>
      <c r="K215" s="123">
        <f t="shared" si="145"/>
        <v>3336569</v>
      </c>
      <c r="L215" s="123">
        <f t="shared" si="145"/>
        <v>3340604</v>
      </c>
      <c r="M215" s="123">
        <f t="shared" si="145"/>
        <v>2402050</v>
      </c>
      <c r="N215" s="123"/>
      <c r="O215" s="123">
        <f t="shared" si="146"/>
        <v>58068</v>
      </c>
      <c r="P215" s="123">
        <f t="shared" si="146"/>
        <v>6945</v>
      </c>
      <c r="Q215" s="123">
        <f t="shared" si="146"/>
        <v>76845</v>
      </c>
      <c r="R215" s="123">
        <f t="shared" si="146"/>
        <v>-289</v>
      </c>
      <c r="S215" s="123">
        <f t="shared" si="146"/>
        <v>13753</v>
      </c>
      <c r="T215" s="123">
        <f t="shared" si="146"/>
        <v>-1424</v>
      </c>
      <c r="U215" s="123">
        <f t="shared" si="146"/>
        <v>310</v>
      </c>
      <c r="V215" s="123">
        <f t="shared" si="146"/>
        <v>-1391</v>
      </c>
      <c r="W215" s="123">
        <f t="shared" si="146"/>
        <v>4035</v>
      </c>
    </row>
    <row r="216" spans="1:23" x14ac:dyDescent="0.25">
      <c r="B216" s="16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</row>
    <row r="217" spans="1:23" x14ac:dyDescent="0.25">
      <c r="B217" s="162" t="s">
        <v>153</v>
      </c>
      <c r="C217" s="123">
        <f t="shared" ref="C217:M217" si="147">C214-C74</f>
        <v>3115422</v>
      </c>
      <c r="D217" s="123">
        <f t="shared" si="147"/>
        <v>3173490</v>
      </c>
      <c r="E217" s="123">
        <f t="shared" si="147"/>
        <v>3180435</v>
      </c>
      <c r="F217" s="123">
        <f t="shared" si="147"/>
        <v>3257280</v>
      </c>
      <c r="G217" s="123">
        <f t="shared" si="147"/>
        <v>3256991</v>
      </c>
      <c r="H217" s="123">
        <f t="shared" si="147"/>
        <v>3265154</v>
      </c>
      <c r="I217" s="123">
        <f t="shared" si="147"/>
        <v>3263730</v>
      </c>
      <c r="J217" s="123">
        <f t="shared" si="147"/>
        <v>3264040</v>
      </c>
      <c r="K217" s="123">
        <f t="shared" si="147"/>
        <v>3261970</v>
      </c>
      <c r="L217" s="123">
        <f t="shared" si="147"/>
        <v>3266003</v>
      </c>
      <c r="M217" s="123">
        <f t="shared" si="147"/>
        <v>2553314.2000000002</v>
      </c>
      <c r="N217" s="123"/>
      <c r="O217" s="123">
        <f t="shared" ref="O217:W218" si="148">D217-C217</f>
        <v>58068</v>
      </c>
      <c r="P217" s="123">
        <f t="shared" si="148"/>
        <v>6945</v>
      </c>
      <c r="Q217" s="123">
        <f t="shared" si="148"/>
        <v>76845</v>
      </c>
      <c r="R217" s="123">
        <f t="shared" si="148"/>
        <v>-289</v>
      </c>
      <c r="S217" s="123">
        <f t="shared" si="148"/>
        <v>8163</v>
      </c>
      <c r="T217" s="123">
        <f t="shared" si="148"/>
        <v>-1424</v>
      </c>
      <c r="U217" s="123">
        <f t="shared" si="148"/>
        <v>310</v>
      </c>
      <c r="V217" s="123">
        <f t="shared" si="148"/>
        <v>-2070</v>
      </c>
      <c r="W217" s="123">
        <f t="shared" si="148"/>
        <v>4033</v>
      </c>
    </row>
    <row r="218" spans="1:23" x14ac:dyDescent="0.25">
      <c r="B218" s="162" t="s">
        <v>154</v>
      </c>
      <c r="C218" s="123">
        <f t="shared" ref="C218:M218" si="149">C215-C144</f>
        <v>2413787</v>
      </c>
      <c r="D218" s="123">
        <f t="shared" si="149"/>
        <v>2458036</v>
      </c>
      <c r="E218" s="123">
        <f t="shared" si="149"/>
        <v>2464981</v>
      </c>
      <c r="F218" s="123">
        <f t="shared" si="149"/>
        <v>2541826</v>
      </c>
      <c r="G218" s="123">
        <f t="shared" si="149"/>
        <v>2540826</v>
      </c>
      <c r="H218" s="123">
        <f t="shared" si="149"/>
        <v>2548883</v>
      </c>
      <c r="I218" s="123">
        <f t="shared" si="149"/>
        <v>2545283</v>
      </c>
      <c r="J218" s="123">
        <f t="shared" si="149"/>
        <v>2545593</v>
      </c>
      <c r="K218" s="123">
        <f t="shared" si="149"/>
        <v>2546793</v>
      </c>
      <c r="L218" s="123">
        <f t="shared" si="149"/>
        <v>2550143</v>
      </c>
      <c r="M218" s="123">
        <f t="shared" si="149"/>
        <v>1615255</v>
      </c>
      <c r="N218" s="123"/>
      <c r="O218" s="123">
        <f t="shared" si="148"/>
        <v>44249</v>
      </c>
      <c r="P218" s="123">
        <f t="shared" si="148"/>
        <v>6945</v>
      </c>
      <c r="Q218" s="123">
        <f t="shared" si="148"/>
        <v>76845</v>
      </c>
      <c r="R218" s="123">
        <f t="shared" si="148"/>
        <v>-1000</v>
      </c>
      <c r="S218" s="123">
        <f t="shared" si="148"/>
        <v>8057</v>
      </c>
      <c r="T218" s="123">
        <f t="shared" si="148"/>
        <v>-3600</v>
      </c>
      <c r="U218" s="123">
        <f t="shared" si="148"/>
        <v>310</v>
      </c>
      <c r="V218" s="123">
        <f t="shared" si="148"/>
        <v>1200</v>
      </c>
      <c r="W218" s="123">
        <f t="shared" si="148"/>
        <v>3350</v>
      </c>
    </row>
    <row r="219" spans="1:23" x14ac:dyDescent="0.25">
      <c r="B219" s="16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23" x14ac:dyDescent="0.25">
      <c r="A220" s="236"/>
      <c r="B220" s="237" t="s">
        <v>214</v>
      </c>
    </row>
    <row r="222" spans="1:23" x14ac:dyDescent="0.25">
      <c r="B222" s="110" t="s">
        <v>155</v>
      </c>
    </row>
    <row r="223" spans="1:23" x14ac:dyDescent="0.25">
      <c r="B223" s="110" t="s">
        <v>606</v>
      </c>
    </row>
    <row r="225" spans="2:2" x14ac:dyDescent="0.25">
      <c r="B225" s="100" t="s">
        <v>271</v>
      </c>
    </row>
    <row r="226" spans="2:2" x14ac:dyDescent="0.25">
      <c r="B226" s="215" t="s">
        <v>377</v>
      </c>
    </row>
    <row r="227" spans="2:2" x14ac:dyDescent="0.25">
      <c r="B227" s="215" t="s">
        <v>419</v>
      </c>
    </row>
    <row r="228" spans="2:2" x14ac:dyDescent="0.25">
      <c r="B228" s="215" t="s">
        <v>501</v>
      </c>
    </row>
    <row r="229" spans="2:2" x14ac:dyDescent="0.25">
      <c r="B229" s="215" t="s">
        <v>535</v>
      </c>
    </row>
    <row r="230" spans="2:2" x14ac:dyDescent="0.25">
      <c r="B230" s="215" t="s">
        <v>552</v>
      </c>
    </row>
    <row r="231" spans="2:2" x14ac:dyDescent="0.25">
      <c r="B231" s="215" t="s">
        <v>621</v>
      </c>
    </row>
    <row r="232" spans="2:2" x14ac:dyDescent="0.25">
      <c r="B232" s="215" t="s">
        <v>620</v>
      </c>
    </row>
    <row r="233" spans="2:2" x14ac:dyDescent="0.25">
      <c r="B233" s="215" t="s">
        <v>655</v>
      </c>
    </row>
    <row r="234" spans="2:2" x14ac:dyDescent="0.25">
      <c r="B234" s="215" t="s">
        <v>671</v>
      </c>
    </row>
    <row r="235" spans="2:2" x14ac:dyDescent="0.25">
      <c r="B235" s="215"/>
    </row>
    <row r="236" spans="2:2" x14ac:dyDescent="0.25">
      <c r="B236" s="110" t="s">
        <v>657</v>
      </c>
    </row>
    <row r="237" spans="2:2" x14ac:dyDescent="0.25">
      <c r="B237" s="110" t="s">
        <v>672</v>
      </c>
    </row>
    <row r="238" spans="2:2" x14ac:dyDescent="0.25">
      <c r="B238" s="110" t="s">
        <v>678</v>
      </c>
    </row>
    <row r="239" spans="2:2" x14ac:dyDescent="0.25">
      <c r="B239" s="110" t="s">
        <v>673</v>
      </c>
    </row>
  </sheetData>
  <mergeCells count="82">
    <mergeCell ref="A12:B12"/>
    <mergeCell ref="A1:M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4:B4"/>
    <mergeCell ref="N79:N80"/>
    <mergeCell ref="A72:B72"/>
    <mergeCell ref="A74:B74"/>
    <mergeCell ref="A78:M78"/>
    <mergeCell ref="A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A149:B150"/>
    <mergeCell ref="C149:C150"/>
    <mergeCell ref="D149:D150"/>
    <mergeCell ref="E149:E150"/>
    <mergeCell ref="F149:F150"/>
    <mergeCell ref="A97:B97"/>
    <mergeCell ref="A140:B140"/>
    <mergeCell ref="A143:B143"/>
    <mergeCell ref="A144:B144"/>
    <mergeCell ref="A148:M148"/>
    <mergeCell ref="G149:G150"/>
    <mergeCell ref="H149:H150"/>
    <mergeCell ref="I149:I150"/>
    <mergeCell ref="J149:J150"/>
    <mergeCell ref="K149:K150"/>
    <mergeCell ref="A151:B151"/>
    <mergeCell ref="A158:B158"/>
    <mergeCell ref="A185:M185"/>
    <mergeCell ref="A186:B187"/>
    <mergeCell ref="C186:C187"/>
    <mergeCell ref="D186:D187"/>
    <mergeCell ref="E186:E187"/>
    <mergeCell ref="F186:F187"/>
    <mergeCell ref="J186:J187"/>
    <mergeCell ref="K186:K187"/>
    <mergeCell ref="L186:L187"/>
    <mergeCell ref="M149:M150"/>
    <mergeCell ref="H186:H187"/>
    <mergeCell ref="I186:I187"/>
    <mergeCell ref="N149:N150"/>
    <mergeCell ref="L149:L150"/>
    <mergeCell ref="L201:L202"/>
    <mergeCell ref="M201:M202"/>
    <mergeCell ref="A205:B205"/>
    <mergeCell ref="M186:M187"/>
    <mergeCell ref="N186:N187"/>
    <mergeCell ref="A200:M200"/>
    <mergeCell ref="A201:B202"/>
    <mergeCell ref="C201:C202"/>
    <mergeCell ref="D201:D202"/>
    <mergeCell ref="E201:E202"/>
    <mergeCell ref="F201:F202"/>
    <mergeCell ref="G201:G202"/>
    <mergeCell ref="H201:H202"/>
    <mergeCell ref="G186:G187"/>
    <mergeCell ref="A208:B208"/>
    <mergeCell ref="A211:B211"/>
    <mergeCell ref="I201:I202"/>
    <mergeCell ref="J201:J202"/>
    <mergeCell ref="K201:K202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&amp;C&amp;"Arial,Tučné"&amp;14Rozpočet na rok 2019
9. zmena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9"/>
  <sheetViews>
    <sheetView zoomScale="106" zoomScaleNormal="106" workbookViewId="0">
      <selection sqref="A1:L1"/>
    </sheetView>
  </sheetViews>
  <sheetFormatPr defaultRowHeight="15" x14ac:dyDescent="0.25"/>
  <cols>
    <col min="1" max="1" width="6" style="110" customWidth="1"/>
    <col min="2" max="2" width="68.42578125" style="110" customWidth="1"/>
    <col min="3" max="12" width="12.5703125" style="110" customWidth="1"/>
    <col min="13" max="13" width="7.85546875" style="110" customWidth="1"/>
    <col min="14" max="14" width="9.140625" style="110"/>
    <col min="15" max="15" width="11.7109375" style="110" customWidth="1"/>
    <col min="16" max="16" width="11.28515625" style="110" customWidth="1"/>
    <col min="17" max="17" width="9.140625" style="110"/>
    <col min="18" max="18" width="11" style="110" customWidth="1"/>
    <col min="19" max="16384" width="9.140625" style="110"/>
  </cols>
  <sheetData>
    <row r="1" spans="1:13" ht="18.75" thickBot="1" x14ac:dyDescent="0.3">
      <c r="A1" s="674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</row>
    <row r="2" spans="1:13" ht="18.75" customHeight="1" x14ac:dyDescent="0.25">
      <c r="A2" s="644" t="s">
        <v>1</v>
      </c>
      <c r="B2" s="645"/>
      <c r="C2" s="638" t="s">
        <v>323</v>
      </c>
      <c r="D2" s="638" t="s">
        <v>562</v>
      </c>
      <c r="E2" s="638" t="s">
        <v>563</v>
      </c>
      <c r="F2" s="638" t="s">
        <v>564</v>
      </c>
      <c r="G2" s="638" t="s">
        <v>565</v>
      </c>
      <c r="H2" s="638" t="s">
        <v>566</v>
      </c>
      <c r="I2" s="638" t="s">
        <v>567</v>
      </c>
      <c r="J2" s="638" t="s">
        <v>605</v>
      </c>
      <c r="K2" s="638" t="s">
        <v>640</v>
      </c>
      <c r="L2" s="638" t="s">
        <v>654</v>
      </c>
      <c r="M2" s="662" t="s">
        <v>352</v>
      </c>
    </row>
    <row r="3" spans="1:13" ht="15.75" thickBot="1" x14ac:dyDescent="0.3">
      <c r="A3" s="646"/>
      <c r="B3" s="647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63"/>
    </row>
    <row r="4" spans="1:13" ht="15.75" thickBot="1" x14ac:dyDescent="0.3">
      <c r="A4" s="664" t="s">
        <v>2</v>
      </c>
      <c r="B4" s="665"/>
      <c r="C4" s="1">
        <f t="shared" ref="C4:L4" si="0">SUM(C5:C11)</f>
        <v>1151580</v>
      </c>
      <c r="D4" s="1">
        <f t="shared" si="0"/>
        <v>1173580</v>
      </c>
      <c r="E4" s="1">
        <f t="shared" si="0"/>
        <v>1174080</v>
      </c>
      <c r="F4" s="1">
        <f t="shared" si="0"/>
        <v>1175080</v>
      </c>
      <c r="G4" s="1">
        <f t="shared" si="0"/>
        <v>1215080</v>
      </c>
      <c r="H4" s="1">
        <f t="shared" si="0"/>
        <v>1205480</v>
      </c>
      <c r="I4" s="1">
        <f t="shared" si="0"/>
        <v>1201580</v>
      </c>
      <c r="J4" s="1">
        <f t="shared" si="0"/>
        <v>1201580</v>
      </c>
      <c r="K4" s="1">
        <f t="shared" ref="K4" si="1">SUM(K5:K11)</f>
        <v>1201980</v>
      </c>
      <c r="L4" s="1">
        <f t="shared" si="0"/>
        <v>994068</v>
      </c>
      <c r="M4" s="466">
        <f t="shared" ref="M4:M35" si="2">L4/K4</f>
        <v>0.82702540807667346</v>
      </c>
    </row>
    <row r="5" spans="1:13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52">
        <f>1109000+40000</f>
        <v>1149000</v>
      </c>
      <c r="H5" s="452">
        <f>1109000+40000-9600</f>
        <v>1139400</v>
      </c>
      <c r="I5" s="452">
        <f>1109000+40000-9600-5400</f>
        <v>1134000</v>
      </c>
      <c r="J5" s="4">
        <f>1109000+40000-9600-5400</f>
        <v>1134000</v>
      </c>
      <c r="K5" s="4">
        <f>1109000+40000-9600-5400</f>
        <v>1134000</v>
      </c>
      <c r="L5" s="4">
        <v>940775</v>
      </c>
      <c r="M5" s="466">
        <f t="shared" si="2"/>
        <v>0.82960758377425048</v>
      </c>
    </row>
    <row r="6" spans="1:13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34680</v>
      </c>
      <c r="H6" s="101">
        <v>34680</v>
      </c>
      <c r="I6" s="101">
        <v>34680</v>
      </c>
      <c r="J6" s="101">
        <v>34680</v>
      </c>
      <c r="K6" s="101">
        <v>34680</v>
      </c>
      <c r="L6" s="101">
        <v>28524</v>
      </c>
      <c r="M6" s="466">
        <f t="shared" si="2"/>
        <v>0.8224913494809688</v>
      </c>
    </row>
    <row r="7" spans="1:13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  <c r="H7" s="7">
        <v>1000</v>
      </c>
      <c r="I7" s="7">
        <v>1000</v>
      </c>
      <c r="J7" s="7">
        <v>1000</v>
      </c>
      <c r="K7" s="7">
        <v>1000</v>
      </c>
      <c r="L7" s="7">
        <v>828</v>
      </c>
      <c r="M7" s="466">
        <f t="shared" si="2"/>
        <v>0.82799999999999996</v>
      </c>
    </row>
    <row r="8" spans="1:13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 t="shared" ref="E8:K8" si="3">400+500</f>
        <v>900</v>
      </c>
      <c r="F8" s="9">
        <f t="shared" si="3"/>
        <v>900</v>
      </c>
      <c r="G8" s="9">
        <f t="shared" si="3"/>
        <v>900</v>
      </c>
      <c r="H8" s="9">
        <f t="shared" si="3"/>
        <v>900</v>
      </c>
      <c r="I8" s="9">
        <f t="shared" si="3"/>
        <v>900</v>
      </c>
      <c r="J8" s="9">
        <f t="shared" si="3"/>
        <v>900</v>
      </c>
      <c r="K8" s="9">
        <f t="shared" si="3"/>
        <v>900</v>
      </c>
      <c r="L8" s="8">
        <v>520</v>
      </c>
      <c r="M8" s="466">
        <f t="shared" si="2"/>
        <v>0.57777777777777772</v>
      </c>
    </row>
    <row r="9" spans="1:13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1500</v>
      </c>
      <c r="H9" s="8">
        <v>1500</v>
      </c>
      <c r="I9" s="459">
        <f>1500+1500</f>
        <v>3000</v>
      </c>
      <c r="J9" s="8">
        <f>1500+1500</f>
        <v>3000</v>
      </c>
      <c r="K9" s="8">
        <f>1500+1500</f>
        <v>3000</v>
      </c>
      <c r="L9" s="8">
        <v>2117</v>
      </c>
      <c r="M9" s="466">
        <f t="shared" si="2"/>
        <v>0.70566666666666666</v>
      </c>
    </row>
    <row r="10" spans="1:13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 t="shared" ref="F10:J10" si="4">4000+1000</f>
        <v>5000</v>
      </c>
      <c r="G10" s="9">
        <f t="shared" si="4"/>
        <v>5000</v>
      </c>
      <c r="H10" s="9">
        <f t="shared" si="4"/>
        <v>5000</v>
      </c>
      <c r="I10" s="9">
        <f t="shared" si="4"/>
        <v>5000</v>
      </c>
      <c r="J10" s="9">
        <f t="shared" si="4"/>
        <v>5000</v>
      </c>
      <c r="K10" s="459">
        <f>4000+1000+400</f>
        <v>5400</v>
      </c>
      <c r="L10" s="8">
        <v>4795</v>
      </c>
      <c r="M10" s="466">
        <f t="shared" si="2"/>
        <v>0.88796296296296295</v>
      </c>
    </row>
    <row r="11" spans="1:13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23000</v>
      </c>
      <c r="H11" s="337">
        <v>23000</v>
      </c>
      <c r="I11" s="337">
        <v>23000</v>
      </c>
      <c r="J11" s="337">
        <v>23000</v>
      </c>
      <c r="K11" s="337">
        <v>23000</v>
      </c>
      <c r="L11" s="337">
        <v>16509</v>
      </c>
      <c r="M11" s="466">
        <f t="shared" si="2"/>
        <v>0.71778260869565214</v>
      </c>
    </row>
    <row r="12" spans="1:13" ht="15.75" thickBot="1" x14ac:dyDescent="0.3">
      <c r="A12" s="664" t="s">
        <v>10</v>
      </c>
      <c r="B12" s="665"/>
      <c r="C12" s="1">
        <f t="shared" ref="C12:L12" si="5">SUM(C13:C32)</f>
        <v>218240</v>
      </c>
      <c r="D12" s="1">
        <f t="shared" si="5"/>
        <v>217115</v>
      </c>
      <c r="E12" s="1">
        <f t="shared" si="5"/>
        <v>217115</v>
      </c>
      <c r="F12" s="1">
        <f t="shared" si="5"/>
        <v>219115</v>
      </c>
      <c r="G12" s="1">
        <f t="shared" si="5"/>
        <v>219115</v>
      </c>
      <c r="H12" s="1">
        <f t="shared" si="5"/>
        <v>215315</v>
      </c>
      <c r="I12" s="1">
        <f t="shared" si="5"/>
        <v>215315</v>
      </c>
      <c r="J12" s="1">
        <f t="shared" ref="J12:K12" si="6">SUM(J13:J32)</f>
        <v>215315</v>
      </c>
      <c r="K12" s="1">
        <f t="shared" si="6"/>
        <v>214915</v>
      </c>
      <c r="L12" s="1">
        <f t="shared" si="5"/>
        <v>171584</v>
      </c>
      <c r="M12" s="466">
        <f t="shared" si="2"/>
        <v>0.79838075518228135</v>
      </c>
    </row>
    <row r="13" spans="1:13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 t="shared" ref="E13:H13" si="7">1967+140</f>
        <v>2107</v>
      </c>
      <c r="F13" s="270">
        <f t="shared" si="7"/>
        <v>2107</v>
      </c>
      <c r="G13" s="270">
        <f t="shared" si="7"/>
        <v>2107</v>
      </c>
      <c r="H13" s="270">
        <f t="shared" si="7"/>
        <v>2107</v>
      </c>
      <c r="I13" s="504">
        <f>1967+140+40</f>
        <v>2147</v>
      </c>
      <c r="J13" s="270">
        <f>1967+140+40</f>
        <v>2147</v>
      </c>
      <c r="K13" s="270">
        <f>1967+140+40</f>
        <v>2147</v>
      </c>
      <c r="L13" s="270">
        <v>1614</v>
      </c>
      <c r="M13" s="466">
        <f t="shared" si="2"/>
        <v>0.75174662319515606</v>
      </c>
    </row>
    <row r="14" spans="1:13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7300</v>
      </c>
      <c r="H14" s="216">
        <v>7300</v>
      </c>
      <c r="I14" s="216">
        <v>7300</v>
      </c>
      <c r="J14" s="216">
        <v>7300</v>
      </c>
      <c r="K14" s="216">
        <v>7300</v>
      </c>
      <c r="L14" s="216">
        <v>5170</v>
      </c>
      <c r="M14" s="466">
        <f t="shared" si="2"/>
        <v>0.70821917808219181</v>
      </c>
    </row>
    <row r="15" spans="1:13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 t="shared" ref="E15:K15" si="8">3910-140</f>
        <v>3770</v>
      </c>
      <c r="F15" s="170">
        <f t="shared" si="8"/>
        <v>3770</v>
      </c>
      <c r="G15" s="170">
        <f t="shared" si="8"/>
        <v>3770</v>
      </c>
      <c r="H15" s="170">
        <f t="shared" si="8"/>
        <v>3770</v>
      </c>
      <c r="I15" s="170">
        <f t="shared" si="8"/>
        <v>3770</v>
      </c>
      <c r="J15" s="170">
        <f t="shared" si="8"/>
        <v>3770</v>
      </c>
      <c r="K15" s="170">
        <f t="shared" si="8"/>
        <v>3770</v>
      </c>
      <c r="L15" s="170">
        <v>3270</v>
      </c>
      <c r="M15" s="466">
        <f t="shared" si="2"/>
        <v>0.86737400530503983</v>
      </c>
    </row>
    <row r="16" spans="1:13" x14ac:dyDescent="0.25">
      <c r="A16" s="115">
        <v>212</v>
      </c>
      <c r="B16" s="116" t="s">
        <v>14</v>
      </c>
      <c r="C16" s="9">
        <v>18763</v>
      </c>
      <c r="D16" s="459">
        <f t="shared" ref="D16:H16" si="9">18763+500+375</f>
        <v>19638</v>
      </c>
      <c r="E16" s="9">
        <f t="shared" si="9"/>
        <v>19638</v>
      </c>
      <c r="F16" s="9">
        <f t="shared" si="9"/>
        <v>19638</v>
      </c>
      <c r="G16" s="9">
        <f t="shared" si="9"/>
        <v>19638</v>
      </c>
      <c r="H16" s="9">
        <f t="shared" si="9"/>
        <v>19638</v>
      </c>
      <c r="I16" s="459">
        <f>18763+500+375-40</f>
        <v>19598</v>
      </c>
      <c r="J16" s="9">
        <f>18763+500+375-40</f>
        <v>19598</v>
      </c>
      <c r="K16" s="9">
        <f>18763+500+375-40</f>
        <v>19598</v>
      </c>
      <c r="L16" s="9">
        <v>13587</v>
      </c>
      <c r="M16" s="466">
        <f t="shared" si="2"/>
        <v>0.69328502908460043</v>
      </c>
    </row>
    <row r="17" spans="1:24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 t="shared" ref="F17:K17" si="10">400+1000</f>
        <v>1400</v>
      </c>
      <c r="G17" s="219">
        <f t="shared" si="10"/>
        <v>1400</v>
      </c>
      <c r="H17" s="219">
        <f t="shared" si="10"/>
        <v>1400</v>
      </c>
      <c r="I17" s="219">
        <f t="shared" si="10"/>
        <v>1400</v>
      </c>
      <c r="J17" s="219">
        <f t="shared" si="10"/>
        <v>1400</v>
      </c>
      <c r="K17" s="219">
        <f t="shared" si="10"/>
        <v>1400</v>
      </c>
      <c r="L17" s="219">
        <v>1280</v>
      </c>
      <c r="M17" s="466">
        <f t="shared" si="2"/>
        <v>0.91428571428571426</v>
      </c>
      <c r="N17" s="123">
        <f t="shared" ref="N17:T17" si="11">SUM(C13:C17)</f>
        <v>32340</v>
      </c>
      <c r="O17" s="123">
        <f t="shared" si="11"/>
        <v>33215</v>
      </c>
      <c r="P17" s="123">
        <f t="shared" si="11"/>
        <v>33215</v>
      </c>
      <c r="Q17" s="123">
        <f t="shared" si="11"/>
        <v>34215</v>
      </c>
      <c r="R17" s="123">
        <f t="shared" si="11"/>
        <v>34215</v>
      </c>
      <c r="S17" s="123">
        <f t="shared" si="11"/>
        <v>34215</v>
      </c>
      <c r="T17" s="123">
        <f t="shared" si="11"/>
        <v>34215</v>
      </c>
      <c r="U17" s="123">
        <f t="shared" ref="U17" si="12">SUM(L13:L17)</f>
        <v>24921</v>
      </c>
    </row>
    <row r="18" spans="1:24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5000</v>
      </c>
      <c r="H18" s="220">
        <v>5000</v>
      </c>
      <c r="I18" s="220">
        <v>5000</v>
      </c>
      <c r="J18" s="220">
        <v>5000</v>
      </c>
      <c r="K18" s="601">
        <f>5000+300</f>
        <v>5300</v>
      </c>
      <c r="L18" s="220">
        <v>4356</v>
      </c>
      <c r="M18" s="466">
        <f t="shared" si="2"/>
        <v>0.82188679245283014</v>
      </c>
    </row>
    <row r="19" spans="1:24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555">
        <v>400</v>
      </c>
      <c r="I19" s="219">
        <v>400</v>
      </c>
      <c r="J19" s="219">
        <v>400</v>
      </c>
      <c r="K19" s="219">
        <v>400</v>
      </c>
      <c r="L19" s="219">
        <v>400</v>
      </c>
      <c r="M19" s="466">
        <f t="shared" si="2"/>
        <v>1</v>
      </c>
    </row>
    <row r="20" spans="1:24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900</v>
      </c>
      <c r="H20" s="216">
        <v>900</v>
      </c>
      <c r="I20" s="216">
        <v>900</v>
      </c>
      <c r="J20" s="216">
        <v>900</v>
      </c>
      <c r="K20" s="216">
        <v>900</v>
      </c>
      <c r="L20" s="216">
        <v>447</v>
      </c>
      <c r="M20" s="466">
        <f t="shared" si="2"/>
        <v>0.49666666666666665</v>
      </c>
    </row>
    <row r="21" spans="1:24" x14ac:dyDescent="0.25">
      <c r="A21" s="115">
        <v>223</v>
      </c>
      <c r="B21" s="116" t="s">
        <v>19</v>
      </c>
      <c r="C21" s="9">
        <v>20000</v>
      </c>
      <c r="D21" s="459">
        <f t="shared" ref="D21:K21" si="13">20000-2000</f>
        <v>18000</v>
      </c>
      <c r="E21" s="9">
        <f t="shared" si="13"/>
        <v>18000</v>
      </c>
      <c r="F21" s="9">
        <f t="shared" si="13"/>
        <v>18000</v>
      </c>
      <c r="G21" s="9">
        <f t="shared" si="13"/>
        <v>18000</v>
      </c>
      <c r="H21" s="9">
        <f t="shared" si="13"/>
        <v>18000</v>
      </c>
      <c r="I21" s="9">
        <f t="shared" si="13"/>
        <v>18000</v>
      </c>
      <c r="J21" s="9">
        <f t="shared" si="13"/>
        <v>18000</v>
      </c>
      <c r="K21" s="9">
        <f t="shared" si="13"/>
        <v>18000</v>
      </c>
      <c r="L21" s="9">
        <v>13014</v>
      </c>
      <c r="M21" s="466">
        <f t="shared" si="2"/>
        <v>0.72299999999999998</v>
      </c>
    </row>
    <row r="22" spans="1:24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500</v>
      </c>
      <c r="H22" s="9">
        <v>500</v>
      </c>
      <c r="I22" s="9">
        <v>500</v>
      </c>
      <c r="J22" s="9">
        <v>500</v>
      </c>
      <c r="K22" s="9">
        <v>500</v>
      </c>
      <c r="L22" s="9">
        <v>0</v>
      </c>
      <c r="M22" s="466">
        <f t="shared" si="2"/>
        <v>0</v>
      </c>
    </row>
    <row r="23" spans="1:24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f>33000+1000</f>
        <v>34000</v>
      </c>
      <c r="H23" s="9">
        <f>33000+1000</f>
        <v>34000</v>
      </c>
      <c r="I23" s="9">
        <f>33000+1000</f>
        <v>34000</v>
      </c>
      <c r="J23" s="9">
        <f>33000+1000</f>
        <v>34000</v>
      </c>
      <c r="K23" s="459">
        <f>33000+1000-1000</f>
        <v>33000</v>
      </c>
      <c r="L23" s="9">
        <v>31610</v>
      </c>
      <c r="M23" s="466">
        <f t="shared" si="2"/>
        <v>0.95787878787878789</v>
      </c>
    </row>
    <row r="24" spans="1:24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1000</v>
      </c>
      <c r="H24" s="9">
        <v>1000</v>
      </c>
      <c r="I24" s="9">
        <v>1000</v>
      </c>
      <c r="J24" s="9">
        <v>1000</v>
      </c>
      <c r="K24" s="9">
        <v>1000</v>
      </c>
      <c r="L24" s="9">
        <v>124</v>
      </c>
      <c r="M24" s="466">
        <f t="shared" si="2"/>
        <v>0.124</v>
      </c>
    </row>
    <row r="25" spans="1:24" x14ac:dyDescent="0.25">
      <c r="A25" s="115">
        <v>223</v>
      </c>
      <c r="B25" s="116" t="s">
        <v>21</v>
      </c>
      <c r="C25" s="9">
        <v>700</v>
      </c>
      <c r="D25" s="9">
        <v>700</v>
      </c>
      <c r="E25" s="9">
        <v>700</v>
      </c>
      <c r="F25" s="9">
        <v>700</v>
      </c>
      <c r="G25" s="9">
        <v>700</v>
      </c>
      <c r="H25" s="9">
        <v>700</v>
      </c>
      <c r="I25" s="9">
        <v>700</v>
      </c>
      <c r="J25" s="9">
        <v>700</v>
      </c>
      <c r="K25" s="459">
        <f>700+300</f>
        <v>1000</v>
      </c>
      <c r="L25" s="9">
        <v>583</v>
      </c>
      <c r="M25" s="466">
        <f t="shared" si="2"/>
        <v>0.58299999999999996</v>
      </c>
    </row>
    <row r="26" spans="1:24" x14ac:dyDescent="0.25">
      <c r="A26" s="115">
        <v>223</v>
      </c>
      <c r="B26" s="116" t="s">
        <v>22</v>
      </c>
      <c r="C26" s="9">
        <f t="shared" ref="C26:K26" si="14">31000+2000</f>
        <v>33000</v>
      </c>
      <c r="D26" s="9">
        <f t="shared" si="14"/>
        <v>33000</v>
      </c>
      <c r="E26" s="9">
        <f t="shared" si="14"/>
        <v>33000</v>
      </c>
      <c r="F26" s="9">
        <f t="shared" si="14"/>
        <v>33000</v>
      </c>
      <c r="G26" s="9">
        <f t="shared" si="14"/>
        <v>33000</v>
      </c>
      <c r="H26" s="9">
        <f t="shared" si="14"/>
        <v>33000</v>
      </c>
      <c r="I26" s="9">
        <f t="shared" si="14"/>
        <v>33000</v>
      </c>
      <c r="J26" s="9">
        <f t="shared" si="14"/>
        <v>33000</v>
      </c>
      <c r="K26" s="9">
        <f t="shared" si="14"/>
        <v>33000</v>
      </c>
      <c r="L26" s="9">
        <v>27236</v>
      </c>
      <c r="M26" s="466">
        <f t="shared" si="2"/>
        <v>0.82533333333333336</v>
      </c>
    </row>
    <row r="27" spans="1:24" x14ac:dyDescent="0.25">
      <c r="A27" s="115">
        <v>223</v>
      </c>
      <c r="B27" s="116" t="s">
        <v>23</v>
      </c>
      <c r="C27" s="9">
        <v>21460</v>
      </c>
      <c r="D27" s="9">
        <v>21460</v>
      </c>
      <c r="E27" s="9">
        <v>21460</v>
      </c>
      <c r="F27" s="9">
        <v>21460</v>
      </c>
      <c r="G27" s="9">
        <v>21460</v>
      </c>
      <c r="H27" s="9">
        <v>21460</v>
      </c>
      <c r="I27" s="9">
        <v>21460</v>
      </c>
      <c r="J27" s="9">
        <v>21460</v>
      </c>
      <c r="K27" s="9">
        <v>21460</v>
      </c>
      <c r="L27" s="9">
        <v>14689</v>
      </c>
      <c r="M27" s="466">
        <f t="shared" si="2"/>
        <v>0.68448275862068964</v>
      </c>
    </row>
    <row r="28" spans="1:24" x14ac:dyDescent="0.25">
      <c r="A28" s="115">
        <v>223</v>
      </c>
      <c r="B28" s="116" t="s">
        <v>24</v>
      </c>
      <c r="C28" s="9">
        <v>18000</v>
      </c>
      <c r="D28" s="9">
        <v>18000</v>
      </c>
      <c r="E28" s="9">
        <v>18000</v>
      </c>
      <c r="F28" s="9">
        <v>18000</v>
      </c>
      <c r="G28" s="9">
        <v>18000</v>
      </c>
      <c r="H28" s="459">
        <f>18000+9600</f>
        <v>27600</v>
      </c>
      <c r="I28" s="459">
        <f>18000+9600-1000</f>
        <v>26600</v>
      </c>
      <c r="J28" s="9">
        <f>18000+9600-1000</f>
        <v>26600</v>
      </c>
      <c r="K28" s="9">
        <f>18000+9600-1000</f>
        <v>26600</v>
      </c>
      <c r="L28" s="9">
        <v>19039</v>
      </c>
      <c r="M28" s="466">
        <f t="shared" si="2"/>
        <v>0.71575187969924814</v>
      </c>
    </row>
    <row r="29" spans="1:24" x14ac:dyDescent="0.25">
      <c r="A29" s="115">
        <v>223</v>
      </c>
      <c r="B29" s="116" t="s">
        <v>222</v>
      </c>
      <c r="C29" s="9">
        <v>240</v>
      </c>
      <c r="D29" s="9">
        <v>240</v>
      </c>
      <c r="E29" s="9">
        <v>240</v>
      </c>
      <c r="F29" s="9">
        <v>240</v>
      </c>
      <c r="G29" s="9">
        <v>240</v>
      </c>
      <c r="H29" s="9">
        <v>240</v>
      </c>
      <c r="I29" s="9">
        <v>240</v>
      </c>
      <c r="J29" s="9">
        <v>240</v>
      </c>
      <c r="K29" s="9">
        <v>240</v>
      </c>
      <c r="L29" s="9">
        <v>39</v>
      </c>
      <c r="M29" s="466">
        <f t="shared" si="2"/>
        <v>0.16250000000000001</v>
      </c>
    </row>
    <row r="30" spans="1:24" x14ac:dyDescent="0.25">
      <c r="A30" s="115">
        <v>223</v>
      </c>
      <c r="B30" s="116" t="s">
        <v>25</v>
      </c>
      <c r="C30" s="9">
        <v>2000</v>
      </c>
      <c r="D30" s="9">
        <v>2000</v>
      </c>
      <c r="E30" s="9">
        <v>2000</v>
      </c>
      <c r="F30" s="9">
        <v>2000</v>
      </c>
      <c r="G30" s="9">
        <v>2000</v>
      </c>
      <c r="H30" s="459">
        <f>2000+200</f>
        <v>2200</v>
      </c>
      <c r="I30" s="9">
        <f>2000+200</f>
        <v>2200</v>
      </c>
      <c r="J30" s="9">
        <f>2000+200</f>
        <v>2200</v>
      </c>
      <c r="K30" s="9">
        <f>2000+200</f>
        <v>2200</v>
      </c>
      <c r="L30" s="9">
        <v>1637</v>
      </c>
      <c r="M30" s="466">
        <f t="shared" si="2"/>
        <v>0.74409090909090914</v>
      </c>
    </row>
    <row r="31" spans="1:24" x14ac:dyDescent="0.25">
      <c r="A31" s="164">
        <v>223</v>
      </c>
      <c r="B31" s="165" t="s">
        <v>187</v>
      </c>
      <c r="C31" s="271">
        <v>50000</v>
      </c>
      <c r="D31" s="271">
        <v>50000</v>
      </c>
      <c r="E31" s="271">
        <v>50000</v>
      </c>
      <c r="F31" s="271">
        <v>50000</v>
      </c>
      <c r="G31" s="271">
        <v>50000</v>
      </c>
      <c r="H31" s="567">
        <f>50000-14000</f>
        <v>36000</v>
      </c>
      <c r="I31" s="567">
        <f>50000-14000+1000</f>
        <v>37000</v>
      </c>
      <c r="J31" s="271">
        <f>50000-14000+1000</f>
        <v>37000</v>
      </c>
      <c r="K31" s="271">
        <f>50000-14000+1000</f>
        <v>37000</v>
      </c>
      <c r="L31" s="271">
        <v>33489</v>
      </c>
      <c r="M31" s="466">
        <f t="shared" si="2"/>
        <v>0.90510810810810816</v>
      </c>
      <c r="N31" s="123">
        <f t="shared" ref="N31:T31" si="15">SUM(C20:C32)</f>
        <v>180900</v>
      </c>
      <c r="O31" s="123">
        <f t="shared" si="15"/>
        <v>178900</v>
      </c>
      <c r="P31" s="123">
        <f t="shared" si="15"/>
        <v>178900</v>
      </c>
      <c r="Q31" s="123">
        <f t="shared" si="15"/>
        <v>179900</v>
      </c>
      <c r="R31" s="123">
        <f t="shared" si="15"/>
        <v>179900</v>
      </c>
      <c r="S31" s="123">
        <f t="shared" si="15"/>
        <v>175700</v>
      </c>
      <c r="T31" s="123">
        <f t="shared" si="15"/>
        <v>175700</v>
      </c>
      <c r="U31" s="123">
        <f t="shared" ref="U31" si="16">SUM(L20:L32)</f>
        <v>141907</v>
      </c>
      <c r="V31" s="123"/>
      <c r="W31" s="123"/>
      <c r="X31" s="123"/>
    </row>
    <row r="32" spans="1:24" ht="15.75" thickBot="1" x14ac:dyDescent="0.3">
      <c r="A32" s="117">
        <v>223</v>
      </c>
      <c r="B32" s="118" t="s">
        <v>26</v>
      </c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0</v>
      </c>
      <c r="M32" s="466">
        <f t="shared" si="2"/>
        <v>0</v>
      </c>
      <c r="N32" s="123">
        <f t="shared" ref="N32:T32" si="17">SUM(C18:C32)</f>
        <v>185900</v>
      </c>
      <c r="O32" s="123">
        <f t="shared" si="17"/>
        <v>183900</v>
      </c>
      <c r="P32" s="123">
        <f t="shared" si="17"/>
        <v>183900</v>
      </c>
      <c r="Q32" s="123">
        <f t="shared" si="17"/>
        <v>184900</v>
      </c>
      <c r="R32" s="123">
        <f t="shared" si="17"/>
        <v>184900</v>
      </c>
      <c r="S32" s="123">
        <f t="shared" si="17"/>
        <v>181100</v>
      </c>
      <c r="T32" s="123">
        <f t="shared" si="17"/>
        <v>181100</v>
      </c>
      <c r="U32" s="123">
        <f t="shared" ref="U32" si="18">SUM(L18:L32)</f>
        <v>146663</v>
      </c>
    </row>
    <row r="33" spans="1:21" ht="15.75" thickBot="1" x14ac:dyDescent="0.3">
      <c r="A33" s="589" t="s">
        <v>27</v>
      </c>
      <c r="B33" s="590"/>
      <c r="C33" s="1">
        <f t="shared" ref="C33:L33" si="19">SUM(C34)</f>
        <v>400</v>
      </c>
      <c r="D33" s="1">
        <f t="shared" si="19"/>
        <v>400</v>
      </c>
      <c r="E33" s="1">
        <f t="shared" si="19"/>
        <v>400</v>
      </c>
      <c r="F33" s="1">
        <f t="shared" si="19"/>
        <v>400</v>
      </c>
      <c r="G33" s="1">
        <f t="shared" si="19"/>
        <v>400</v>
      </c>
      <c r="H33" s="1">
        <f t="shared" si="19"/>
        <v>400</v>
      </c>
      <c r="I33" s="1">
        <f t="shared" si="19"/>
        <v>400</v>
      </c>
      <c r="J33" s="1">
        <f t="shared" si="19"/>
        <v>400</v>
      </c>
      <c r="K33" s="1">
        <f t="shared" si="19"/>
        <v>400</v>
      </c>
      <c r="L33" s="1">
        <f t="shared" si="19"/>
        <v>346</v>
      </c>
      <c r="M33" s="466">
        <f t="shared" si="2"/>
        <v>0.86499999999999999</v>
      </c>
      <c r="N33" s="123"/>
      <c r="O33" s="123"/>
      <c r="P33" s="123"/>
      <c r="Q33" s="123"/>
      <c r="R33" s="123"/>
      <c r="S33" s="123"/>
      <c r="T33" s="123"/>
      <c r="U33" s="123"/>
    </row>
    <row r="34" spans="1:21" ht="15.75" thickBot="1" x14ac:dyDescent="0.3">
      <c r="A34" s="124">
        <v>240</v>
      </c>
      <c r="B34" s="125" t="s">
        <v>28</v>
      </c>
      <c r="C34" s="10">
        <v>400</v>
      </c>
      <c r="D34" s="10">
        <v>400</v>
      </c>
      <c r="E34" s="10">
        <v>400</v>
      </c>
      <c r="F34" s="10">
        <v>400</v>
      </c>
      <c r="G34" s="10">
        <v>400</v>
      </c>
      <c r="H34" s="10">
        <v>400</v>
      </c>
      <c r="I34" s="10">
        <v>400</v>
      </c>
      <c r="J34" s="10">
        <v>400</v>
      </c>
      <c r="K34" s="10">
        <v>400</v>
      </c>
      <c r="L34" s="10">
        <v>346</v>
      </c>
      <c r="M34" s="466">
        <f t="shared" si="2"/>
        <v>0.86499999999999999</v>
      </c>
    </row>
    <row r="35" spans="1:21" ht="15.75" thickBot="1" x14ac:dyDescent="0.3">
      <c r="A35" s="589" t="s">
        <v>29</v>
      </c>
      <c r="B35" s="590"/>
      <c r="C35" s="1">
        <f t="shared" ref="C35:L35" si="20">SUM(C36:C42)</f>
        <v>28250</v>
      </c>
      <c r="D35" s="1">
        <f t="shared" si="20"/>
        <v>31212</v>
      </c>
      <c r="E35" s="1">
        <f t="shared" si="20"/>
        <v>31212</v>
      </c>
      <c r="F35" s="1">
        <f t="shared" si="20"/>
        <v>34212</v>
      </c>
      <c r="G35" s="1">
        <f t="shared" si="20"/>
        <v>35212</v>
      </c>
      <c r="H35" s="1">
        <f t="shared" si="20"/>
        <v>35212</v>
      </c>
      <c r="I35" s="1">
        <f t="shared" si="20"/>
        <v>39912</v>
      </c>
      <c r="J35" s="1">
        <f t="shared" si="20"/>
        <v>39912</v>
      </c>
      <c r="K35" s="1">
        <f t="shared" ref="K35" si="21">SUM(K36:K42)</f>
        <v>40912</v>
      </c>
      <c r="L35" s="1">
        <f t="shared" si="20"/>
        <v>14882</v>
      </c>
      <c r="M35" s="466">
        <f t="shared" si="2"/>
        <v>0.36375635510363707</v>
      </c>
    </row>
    <row r="36" spans="1:21" x14ac:dyDescent="0.25">
      <c r="A36" s="13">
        <v>292</v>
      </c>
      <c r="B36" s="14" t="s">
        <v>30</v>
      </c>
      <c r="C36" s="15">
        <v>0</v>
      </c>
      <c r="D36" s="15">
        <v>0</v>
      </c>
      <c r="E36" s="15">
        <v>0</v>
      </c>
      <c r="F36" s="15">
        <v>0</v>
      </c>
      <c r="G36" s="482">
        <v>1000</v>
      </c>
      <c r="H36" s="15">
        <v>1000</v>
      </c>
      <c r="I36" s="15">
        <v>1000</v>
      </c>
      <c r="J36" s="15">
        <v>1000</v>
      </c>
      <c r="K36" s="15">
        <v>1000</v>
      </c>
      <c r="L36" s="15">
        <v>0</v>
      </c>
      <c r="M36" s="466">
        <f t="shared" ref="M36:M67" si="22">L36/K36</f>
        <v>0</v>
      </c>
    </row>
    <row r="37" spans="1:21" x14ac:dyDescent="0.25">
      <c r="A37" s="13">
        <v>292</v>
      </c>
      <c r="B37" s="14" t="s">
        <v>31</v>
      </c>
      <c r="C37" s="15">
        <v>400</v>
      </c>
      <c r="D37" s="15">
        <v>400</v>
      </c>
      <c r="E37" s="15">
        <v>400</v>
      </c>
      <c r="F37" s="15">
        <v>400</v>
      </c>
      <c r="G37" s="15">
        <v>400</v>
      </c>
      <c r="H37" s="15">
        <v>400</v>
      </c>
      <c r="I37" s="15">
        <v>400</v>
      </c>
      <c r="J37" s="15">
        <v>400</v>
      </c>
      <c r="K37" s="15">
        <v>400</v>
      </c>
      <c r="L37" s="15">
        <v>187</v>
      </c>
      <c r="M37" s="466">
        <f t="shared" si="22"/>
        <v>0.46750000000000003</v>
      </c>
    </row>
    <row r="38" spans="1:21" x14ac:dyDescent="0.25">
      <c r="A38" s="16">
        <v>292</v>
      </c>
      <c r="B38" s="17" t="s">
        <v>176</v>
      </c>
      <c r="C38" s="168">
        <v>0</v>
      </c>
      <c r="D38" s="465">
        <v>2950</v>
      </c>
      <c r="E38" s="168">
        <v>2950</v>
      </c>
      <c r="F38" s="168">
        <v>2950</v>
      </c>
      <c r="G38" s="168">
        <v>2950</v>
      </c>
      <c r="H38" s="168">
        <v>2950</v>
      </c>
      <c r="I38" s="168">
        <v>2950</v>
      </c>
      <c r="J38" s="168">
        <v>2950</v>
      </c>
      <c r="K38" s="168">
        <v>2950</v>
      </c>
      <c r="L38" s="168">
        <v>2949</v>
      </c>
      <c r="M38" s="466">
        <f t="shared" si="22"/>
        <v>0.99966101694915255</v>
      </c>
    </row>
    <row r="39" spans="1:21" x14ac:dyDescent="0.25">
      <c r="A39" s="16">
        <v>292</v>
      </c>
      <c r="B39" s="17" t="s">
        <v>177</v>
      </c>
      <c r="C39" s="18">
        <v>10000</v>
      </c>
      <c r="D39" s="18">
        <v>10000</v>
      </c>
      <c r="E39" s="18">
        <v>10000</v>
      </c>
      <c r="F39" s="18">
        <v>10000</v>
      </c>
      <c r="G39" s="18">
        <v>10000</v>
      </c>
      <c r="H39" s="18">
        <v>10000</v>
      </c>
      <c r="I39" s="18">
        <v>10000</v>
      </c>
      <c r="J39" s="18">
        <v>10000</v>
      </c>
      <c r="K39" s="18">
        <v>10000</v>
      </c>
      <c r="L39" s="18">
        <v>333</v>
      </c>
      <c r="M39" s="466">
        <f t="shared" si="22"/>
        <v>3.3300000000000003E-2</v>
      </c>
    </row>
    <row r="40" spans="1:21" x14ac:dyDescent="0.25">
      <c r="A40" s="16">
        <v>292</v>
      </c>
      <c r="B40" s="116" t="s">
        <v>32</v>
      </c>
      <c r="C40" s="171">
        <v>240</v>
      </c>
      <c r="D40" s="460">
        <f t="shared" ref="D40:K40" si="23">240+12</f>
        <v>252</v>
      </c>
      <c r="E40" s="171">
        <f t="shared" si="23"/>
        <v>252</v>
      </c>
      <c r="F40" s="171">
        <f t="shared" si="23"/>
        <v>252</v>
      </c>
      <c r="G40" s="171">
        <f t="shared" si="23"/>
        <v>252</v>
      </c>
      <c r="H40" s="171">
        <f t="shared" si="23"/>
        <v>252</v>
      </c>
      <c r="I40" s="171">
        <f t="shared" si="23"/>
        <v>252</v>
      </c>
      <c r="J40" s="171">
        <f t="shared" si="23"/>
        <v>252</v>
      </c>
      <c r="K40" s="171">
        <f t="shared" si="23"/>
        <v>252</v>
      </c>
      <c r="L40" s="171">
        <v>126</v>
      </c>
      <c r="M40" s="466">
        <f t="shared" si="22"/>
        <v>0.5</v>
      </c>
    </row>
    <row r="41" spans="1:21" x14ac:dyDescent="0.25">
      <c r="A41" s="16">
        <v>292</v>
      </c>
      <c r="B41" s="17" t="s">
        <v>33</v>
      </c>
      <c r="C41" s="18">
        <f>17710-240</f>
        <v>17470</v>
      </c>
      <c r="D41" s="18">
        <f>17710+12-D40</f>
        <v>17470</v>
      </c>
      <c r="E41" s="18">
        <f>17710+12-E40</f>
        <v>17470</v>
      </c>
      <c r="F41" s="477">
        <f>17710+12-F40+3000</f>
        <v>20470</v>
      </c>
      <c r="G41" s="18">
        <f>17710+12-G40+3000</f>
        <v>20470</v>
      </c>
      <c r="H41" s="18">
        <f>17710+12-H40+3000</f>
        <v>20470</v>
      </c>
      <c r="I41" s="477">
        <f>17710+12-I40+3000+2500+2200</f>
        <v>25170</v>
      </c>
      <c r="J41" s="18">
        <f>17710+12-J40+3000+2500+2200</f>
        <v>25170</v>
      </c>
      <c r="K41" s="477">
        <f>17710+12-K40+3000+2500+2200+1000</f>
        <v>26170</v>
      </c>
      <c r="L41" s="18">
        <f>11273-L40</f>
        <v>11147</v>
      </c>
      <c r="M41" s="466">
        <f t="shared" si="22"/>
        <v>0.42594573939625524</v>
      </c>
    </row>
    <row r="42" spans="1:21" ht="15.75" thickBot="1" x14ac:dyDescent="0.3">
      <c r="A42" s="16">
        <v>292</v>
      </c>
      <c r="B42" s="17" t="s">
        <v>235</v>
      </c>
      <c r="C42" s="18">
        <v>140</v>
      </c>
      <c r="D42" s="18">
        <v>140</v>
      </c>
      <c r="E42" s="18">
        <v>140</v>
      </c>
      <c r="F42" s="18">
        <v>140</v>
      </c>
      <c r="G42" s="18">
        <v>140</v>
      </c>
      <c r="H42" s="18">
        <v>140</v>
      </c>
      <c r="I42" s="18">
        <v>140</v>
      </c>
      <c r="J42" s="18">
        <v>140</v>
      </c>
      <c r="K42" s="18">
        <v>140</v>
      </c>
      <c r="L42" s="18">
        <v>140</v>
      </c>
      <c r="M42" s="466">
        <f t="shared" si="22"/>
        <v>1</v>
      </c>
    </row>
    <row r="43" spans="1:21" ht="15.75" thickBot="1" x14ac:dyDescent="0.3">
      <c r="A43" s="19" t="s">
        <v>34</v>
      </c>
      <c r="B43" s="20"/>
      <c r="C43" s="1">
        <f t="shared" ref="C43:L43" si="24">SUM(C44:C67)</f>
        <v>694110</v>
      </c>
      <c r="D43" s="1">
        <f t="shared" si="24"/>
        <v>713823</v>
      </c>
      <c r="E43" s="1">
        <f t="shared" si="24"/>
        <v>720268</v>
      </c>
      <c r="F43" s="1">
        <f t="shared" si="24"/>
        <v>743313</v>
      </c>
      <c r="G43" s="1">
        <f t="shared" si="24"/>
        <v>744024</v>
      </c>
      <c r="H43" s="1">
        <f t="shared" si="24"/>
        <v>765587</v>
      </c>
      <c r="I43" s="1">
        <f t="shared" si="24"/>
        <v>763363</v>
      </c>
      <c r="J43" s="1">
        <f t="shared" si="24"/>
        <v>763673</v>
      </c>
      <c r="K43" s="1">
        <f t="shared" ref="K43" si="25">SUM(K44:K67)</f>
        <v>760403</v>
      </c>
      <c r="L43" s="1">
        <f t="shared" si="24"/>
        <v>597121</v>
      </c>
      <c r="M43" s="466">
        <f t="shared" si="22"/>
        <v>0.785269127028694</v>
      </c>
    </row>
    <row r="44" spans="1:21" x14ac:dyDescent="0.25">
      <c r="A44" s="21">
        <v>311</v>
      </c>
      <c r="B44" s="22" t="s">
        <v>178</v>
      </c>
      <c r="C44" s="23">
        <v>0</v>
      </c>
      <c r="D44" s="23">
        <v>0</v>
      </c>
      <c r="E44" s="23">
        <v>0</v>
      </c>
      <c r="F44" s="461">
        <v>3000</v>
      </c>
      <c r="G44" s="23">
        <v>3000</v>
      </c>
      <c r="H44" s="23">
        <v>3000</v>
      </c>
      <c r="I44" s="23">
        <v>3000</v>
      </c>
      <c r="J44" s="23">
        <v>3000</v>
      </c>
      <c r="K44" s="23">
        <v>3000</v>
      </c>
      <c r="L44" s="23">
        <v>3000</v>
      </c>
      <c r="M44" s="466">
        <f t="shared" si="22"/>
        <v>1</v>
      </c>
    </row>
    <row r="45" spans="1:21" x14ac:dyDescent="0.25">
      <c r="A45" s="21">
        <v>311</v>
      </c>
      <c r="B45" s="22" t="s">
        <v>212</v>
      </c>
      <c r="C45" s="23">
        <v>0</v>
      </c>
      <c r="D45" s="461">
        <v>460</v>
      </c>
      <c r="E45" s="23">
        <v>460</v>
      </c>
      <c r="F45" s="23">
        <v>460</v>
      </c>
      <c r="G45" s="23">
        <v>460</v>
      </c>
      <c r="H45" s="23">
        <v>460</v>
      </c>
      <c r="I45" s="23">
        <v>460</v>
      </c>
      <c r="J45" s="23">
        <v>460</v>
      </c>
      <c r="K45" s="23">
        <v>460</v>
      </c>
      <c r="L45" s="23">
        <v>460</v>
      </c>
      <c r="M45" s="466">
        <f t="shared" si="22"/>
        <v>1</v>
      </c>
    </row>
    <row r="46" spans="1:21" x14ac:dyDescent="0.25">
      <c r="A46" s="27">
        <v>312</v>
      </c>
      <c r="B46" s="22" t="s">
        <v>443</v>
      </c>
      <c r="C46" s="28">
        <v>0</v>
      </c>
      <c r="D46" s="28">
        <v>0</v>
      </c>
      <c r="E46" s="462">
        <v>6000</v>
      </c>
      <c r="F46" s="28">
        <v>6000</v>
      </c>
      <c r="G46" s="28">
        <v>6000</v>
      </c>
      <c r="H46" s="28">
        <v>6000</v>
      </c>
      <c r="I46" s="28">
        <v>6000</v>
      </c>
      <c r="J46" s="28">
        <v>6000</v>
      </c>
      <c r="K46" s="28">
        <v>6000</v>
      </c>
      <c r="L46" s="28">
        <v>6000</v>
      </c>
      <c r="M46" s="466">
        <f t="shared" si="22"/>
        <v>1</v>
      </c>
    </row>
    <row r="47" spans="1:21" x14ac:dyDescent="0.25">
      <c r="A47" s="21">
        <v>312</v>
      </c>
      <c r="B47" s="22" t="s">
        <v>236</v>
      </c>
      <c r="C47" s="23">
        <v>8220</v>
      </c>
      <c r="D47" s="23">
        <v>8220</v>
      </c>
      <c r="E47" s="23">
        <v>8220</v>
      </c>
      <c r="F47" s="23">
        <v>8220</v>
      </c>
      <c r="G47" s="23">
        <v>8220</v>
      </c>
      <c r="H47" s="23">
        <v>8220</v>
      </c>
      <c r="I47" s="23">
        <v>8220</v>
      </c>
      <c r="J47" s="23">
        <v>8220</v>
      </c>
      <c r="K47" s="23">
        <v>8220</v>
      </c>
      <c r="L47" s="23">
        <v>5392</v>
      </c>
      <c r="M47" s="466">
        <f t="shared" si="22"/>
        <v>0.65596107055961073</v>
      </c>
    </row>
    <row r="48" spans="1:21" x14ac:dyDescent="0.25">
      <c r="A48" s="21">
        <v>312</v>
      </c>
      <c r="B48" s="22" t="s">
        <v>35</v>
      </c>
      <c r="C48" s="23">
        <v>4000</v>
      </c>
      <c r="D48" s="461">
        <f>4000+2100</f>
        <v>6100</v>
      </c>
      <c r="E48" s="461">
        <f>4000+2100+145</f>
        <v>6245</v>
      </c>
      <c r="F48" s="461">
        <f t="shared" ref="F48:K48" si="26">4000+2100+145+5</f>
        <v>6250</v>
      </c>
      <c r="G48" s="23">
        <f t="shared" si="26"/>
        <v>6250</v>
      </c>
      <c r="H48" s="23">
        <f t="shared" si="26"/>
        <v>6250</v>
      </c>
      <c r="I48" s="23">
        <f t="shared" si="26"/>
        <v>6250</v>
      </c>
      <c r="J48" s="23">
        <f t="shared" si="26"/>
        <v>6250</v>
      </c>
      <c r="K48" s="23">
        <f t="shared" si="26"/>
        <v>6250</v>
      </c>
      <c r="L48" s="23">
        <v>6211</v>
      </c>
      <c r="M48" s="466">
        <f t="shared" si="22"/>
        <v>0.99375999999999998</v>
      </c>
    </row>
    <row r="49" spans="1:13" x14ac:dyDescent="0.25">
      <c r="A49" s="24">
        <v>312</v>
      </c>
      <c r="B49" s="116" t="s">
        <v>568</v>
      </c>
      <c r="C49" s="7">
        <v>7200</v>
      </c>
      <c r="D49" s="7">
        <v>7200</v>
      </c>
      <c r="E49" s="7">
        <v>7200</v>
      </c>
      <c r="F49" s="216">
        <v>7200</v>
      </c>
      <c r="G49" s="216">
        <v>7200</v>
      </c>
      <c r="H49" s="463">
        <f>7200+20000+1457</f>
        <v>28657</v>
      </c>
      <c r="I49" s="216">
        <f>7200+20000+1457</f>
        <v>28657</v>
      </c>
      <c r="J49" s="216">
        <f>7200+20000+1457</f>
        <v>28657</v>
      </c>
      <c r="K49" s="216">
        <f>7200+20000+1457</f>
        <v>28657</v>
      </c>
      <c r="L49" s="7">
        <v>25644</v>
      </c>
      <c r="M49" s="466">
        <f t="shared" si="22"/>
        <v>0.89485989461562621</v>
      </c>
    </row>
    <row r="50" spans="1:13" x14ac:dyDescent="0.25">
      <c r="A50" s="24">
        <v>312</v>
      </c>
      <c r="B50" s="116" t="s">
        <v>37</v>
      </c>
      <c r="C50" s="7">
        <v>1000</v>
      </c>
      <c r="D50" s="7">
        <v>1000</v>
      </c>
      <c r="E50" s="7">
        <v>1000</v>
      </c>
      <c r="F50" s="216">
        <v>1000</v>
      </c>
      <c r="G50" s="216">
        <v>1000</v>
      </c>
      <c r="H50" s="216">
        <v>1000</v>
      </c>
      <c r="I50" s="216">
        <v>1000</v>
      </c>
      <c r="J50" s="216">
        <v>1000</v>
      </c>
      <c r="K50" s="216">
        <v>1000</v>
      </c>
      <c r="L50" s="7">
        <f>8+219</f>
        <v>227</v>
      </c>
      <c r="M50" s="466">
        <f t="shared" si="22"/>
        <v>0.22700000000000001</v>
      </c>
    </row>
    <row r="51" spans="1:13" x14ac:dyDescent="0.25">
      <c r="A51" s="21">
        <v>312</v>
      </c>
      <c r="B51" s="22" t="s">
        <v>402</v>
      </c>
      <c r="C51" s="23">
        <v>0</v>
      </c>
      <c r="D51" s="23">
        <v>0</v>
      </c>
      <c r="E51" s="461">
        <v>300</v>
      </c>
      <c r="F51" s="23">
        <v>300</v>
      </c>
      <c r="G51" s="23">
        <v>300</v>
      </c>
      <c r="H51" s="23">
        <v>300</v>
      </c>
      <c r="I51" s="23">
        <v>300</v>
      </c>
      <c r="J51" s="23">
        <v>300</v>
      </c>
      <c r="K51" s="23">
        <v>300</v>
      </c>
      <c r="L51" s="23">
        <v>300</v>
      </c>
      <c r="M51" s="466">
        <f t="shared" si="22"/>
        <v>1</v>
      </c>
    </row>
    <row r="52" spans="1:13" x14ac:dyDescent="0.25">
      <c r="A52" s="24">
        <v>312</v>
      </c>
      <c r="B52" s="25" t="s">
        <v>166</v>
      </c>
      <c r="C52" s="26">
        <v>14440</v>
      </c>
      <c r="D52" s="26">
        <v>14440</v>
      </c>
      <c r="E52" s="26">
        <v>14440</v>
      </c>
      <c r="F52" s="262">
        <v>14440</v>
      </c>
      <c r="G52" s="262">
        <v>14440</v>
      </c>
      <c r="H52" s="262">
        <v>14440</v>
      </c>
      <c r="I52" s="262">
        <v>14440</v>
      </c>
      <c r="J52" s="262">
        <v>14440</v>
      </c>
      <c r="K52" s="262">
        <v>14440</v>
      </c>
      <c r="L52" s="26">
        <v>2208</v>
      </c>
      <c r="M52" s="466">
        <f t="shared" si="22"/>
        <v>0.15290858725761772</v>
      </c>
    </row>
    <row r="53" spans="1:13" x14ac:dyDescent="0.25">
      <c r="A53" s="24">
        <v>312</v>
      </c>
      <c r="B53" s="25" t="s">
        <v>238</v>
      </c>
      <c r="C53" s="26">
        <v>3800</v>
      </c>
      <c r="D53" s="26">
        <v>3800</v>
      </c>
      <c r="E53" s="26">
        <v>3800</v>
      </c>
      <c r="F53" s="262">
        <v>3800</v>
      </c>
      <c r="G53" s="262">
        <v>3800</v>
      </c>
      <c r="H53" s="262">
        <v>3800</v>
      </c>
      <c r="I53" s="262">
        <v>3800</v>
      </c>
      <c r="J53" s="262">
        <v>3800</v>
      </c>
      <c r="K53" s="262">
        <v>3800</v>
      </c>
      <c r="L53" s="26">
        <v>0</v>
      </c>
      <c r="M53" s="466">
        <f t="shared" si="22"/>
        <v>0</v>
      </c>
    </row>
    <row r="54" spans="1:13" x14ac:dyDescent="0.25">
      <c r="A54" s="24">
        <v>312</v>
      </c>
      <c r="B54" s="25" t="s">
        <v>237</v>
      </c>
      <c r="C54" s="26">
        <v>950</v>
      </c>
      <c r="D54" s="26">
        <v>950</v>
      </c>
      <c r="E54" s="26">
        <v>950</v>
      </c>
      <c r="F54" s="262">
        <v>950</v>
      </c>
      <c r="G54" s="262">
        <v>950</v>
      </c>
      <c r="H54" s="262">
        <v>950</v>
      </c>
      <c r="I54" s="262">
        <v>950</v>
      </c>
      <c r="J54" s="262">
        <v>950</v>
      </c>
      <c r="K54" s="262">
        <v>950</v>
      </c>
      <c r="L54" s="26">
        <v>0</v>
      </c>
      <c r="M54" s="466">
        <f t="shared" si="22"/>
        <v>0</v>
      </c>
    </row>
    <row r="55" spans="1:13" x14ac:dyDescent="0.25">
      <c r="A55" s="21">
        <v>312</v>
      </c>
      <c r="B55" s="22" t="s">
        <v>349</v>
      </c>
      <c r="C55" s="23">
        <v>0</v>
      </c>
      <c r="D55" s="461">
        <v>30</v>
      </c>
      <c r="E55" s="23">
        <v>30</v>
      </c>
      <c r="F55" s="23">
        <v>30</v>
      </c>
      <c r="G55" s="23">
        <v>30</v>
      </c>
      <c r="H55" s="23">
        <v>30</v>
      </c>
      <c r="I55" s="23">
        <v>30</v>
      </c>
      <c r="J55" s="23">
        <v>30</v>
      </c>
      <c r="K55" s="23">
        <v>30</v>
      </c>
      <c r="L55" s="23">
        <v>30</v>
      </c>
      <c r="M55" s="466">
        <f t="shared" si="22"/>
        <v>1</v>
      </c>
    </row>
    <row r="56" spans="1:13" x14ac:dyDescent="0.25">
      <c r="A56" s="24">
        <v>312</v>
      </c>
      <c r="B56" s="25" t="s">
        <v>38</v>
      </c>
      <c r="C56" s="7">
        <v>18300</v>
      </c>
      <c r="D56" s="7">
        <v>18300</v>
      </c>
      <c r="E56" s="7">
        <v>18300</v>
      </c>
      <c r="F56" s="216">
        <v>18300</v>
      </c>
      <c r="G56" s="216">
        <v>18300</v>
      </c>
      <c r="H56" s="216">
        <v>18300</v>
      </c>
      <c r="I56" s="463">
        <f>18300+1700</f>
        <v>20000</v>
      </c>
      <c r="J56" s="216">
        <f>18300+1700</f>
        <v>20000</v>
      </c>
      <c r="K56" s="216">
        <f>18300+1700</f>
        <v>20000</v>
      </c>
      <c r="L56" s="7">
        <v>19077</v>
      </c>
      <c r="M56" s="466">
        <f t="shared" si="22"/>
        <v>0.95384999999999998</v>
      </c>
    </row>
    <row r="57" spans="1:13" x14ac:dyDescent="0.25">
      <c r="A57" s="24">
        <v>312</v>
      </c>
      <c r="B57" s="25" t="s">
        <v>39</v>
      </c>
      <c r="C57" s="7">
        <v>8700</v>
      </c>
      <c r="D57" s="7">
        <v>8700</v>
      </c>
      <c r="E57" s="7">
        <v>8700</v>
      </c>
      <c r="F57" s="7">
        <v>8700</v>
      </c>
      <c r="G57" s="7">
        <v>8700</v>
      </c>
      <c r="H57" s="7">
        <v>8700</v>
      </c>
      <c r="I57" s="7">
        <v>8700</v>
      </c>
      <c r="J57" s="7">
        <v>8700</v>
      </c>
      <c r="K57" s="7">
        <v>8700</v>
      </c>
      <c r="L57" s="7">
        <v>8700</v>
      </c>
      <c r="M57" s="466">
        <f t="shared" si="22"/>
        <v>1</v>
      </c>
    </row>
    <row r="58" spans="1:13" x14ac:dyDescent="0.25">
      <c r="A58" s="24">
        <v>312</v>
      </c>
      <c r="B58" s="25" t="s">
        <v>40</v>
      </c>
      <c r="C58" s="7">
        <v>7900</v>
      </c>
      <c r="D58" s="7">
        <v>7900</v>
      </c>
      <c r="E58" s="7">
        <v>7900</v>
      </c>
      <c r="F58" s="463">
        <f t="shared" ref="F58:K58" si="27">7900+200</f>
        <v>8100</v>
      </c>
      <c r="G58" s="216">
        <f t="shared" si="27"/>
        <v>8100</v>
      </c>
      <c r="H58" s="216">
        <f t="shared" si="27"/>
        <v>8100</v>
      </c>
      <c r="I58" s="216">
        <f t="shared" si="27"/>
        <v>8100</v>
      </c>
      <c r="J58" s="216">
        <f t="shared" si="27"/>
        <v>8100</v>
      </c>
      <c r="K58" s="216">
        <f t="shared" si="27"/>
        <v>8100</v>
      </c>
      <c r="L58" s="7">
        <v>6646</v>
      </c>
      <c r="M58" s="466">
        <f t="shared" si="22"/>
        <v>0.82049382716049379</v>
      </c>
    </row>
    <row r="59" spans="1:13" x14ac:dyDescent="0.25">
      <c r="A59" s="24">
        <v>312</v>
      </c>
      <c r="B59" s="25" t="s">
        <v>499</v>
      </c>
      <c r="C59" s="7">
        <v>0</v>
      </c>
      <c r="D59" s="7">
        <v>0</v>
      </c>
      <c r="E59" s="7">
        <v>0</v>
      </c>
      <c r="F59" s="463">
        <f t="shared" ref="F59:K59" si="28">2000+1500</f>
        <v>3500</v>
      </c>
      <c r="G59" s="216">
        <f t="shared" si="28"/>
        <v>3500</v>
      </c>
      <c r="H59" s="216">
        <f t="shared" si="28"/>
        <v>3500</v>
      </c>
      <c r="I59" s="216">
        <f t="shared" si="28"/>
        <v>3500</v>
      </c>
      <c r="J59" s="216">
        <f t="shared" si="28"/>
        <v>3500</v>
      </c>
      <c r="K59" s="216">
        <f t="shared" si="28"/>
        <v>3500</v>
      </c>
      <c r="L59" s="7">
        <v>3500</v>
      </c>
      <c r="M59" s="466">
        <f t="shared" si="22"/>
        <v>1</v>
      </c>
    </row>
    <row r="60" spans="1:13" x14ac:dyDescent="0.25">
      <c r="A60" s="24">
        <v>312</v>
      </c>
      <c r="B60" s="25" t="s">
        <v>41</v>
      </c>
      <c r="C60" s="7">
        <v>3000</v>
      </c>
      <c r="D60" s="7">
        <v>3000</v>
      </c>
      <c r="E60" s="7">
        <v>3000</v>
      </c>
      <c r="F60" s="7">
        <v>3000</v>
      </c>
      <c r="G60" s="216">
        <v>3000</v>
      </c>
      <c r="H60" s="216">
        <v>3000</v>
      </c>
      <c r="I60" s="216">
        <v>3000</v>
      </c>
      <c r="J60" s="216">
        <v>3000</v>
      </c>
      <c r="K60" s="216">
        <v>3000</v>
      </c>
      <c r="L60" s="7">
        <v>3000</v>
      </c>
      <c r="M60" s="466">
        <f t="shared" si="22"/>
        <v>1</v>
      </c>
    </row>
    <row r="61" spans="1:13" x14ac:dyDescent="0.25">
      <c r="A61" s="27">
        <v>312</v>
      </c>
      <c r="B61" s="22" t="s">
        <v>180</v>
      </c>
      <c r="C61" s="28">
        <v>0</v>
      </c>
      <c r="D61" s="462">
        <f>2000+2000</f>
        <v>4000</v>
      </c>
      <c r="E61" s="28">
        <f>2000+2000</f>
        <v>4000</v>
      </c>
      <c r="F61" s="462">
        <f>2000+2000+1900+2000+2200+2000+8000</f>
        <v>20100</v>
      </c>
      <c r="G61" s="28">
        <f>2000+2000+1900+2000+2200+2000+8000</f>
        <v>20100</v>
      </c>
      <c r="H61" s="28">
        <f>2000+2000+1900+2000+2200+2000+8000</f>
        <v>20100</v>
      </c>
      <c r="I61" s="462">
        <f>2000+2000+1900+2000+2200+2000+8000-6100</f>
        <v>14000</v>
      </c>
      <c r="J61" s="28">
        <f>2000+2000+1900+2000+2200+2000+8000-6100</f>
        <v>14000</v>
      </c>
      <c r="K61" s="28">
        <f>2000+2000+1900+2000+2200+2000+8000-6100</f>
        <v>14000</v>
      </c>
      <c r="L61" s="28">
        <v>14000</v>
      </c>
      <c r="M61" s="466">
        <f t="shared" si="22"/>
        <v>1</v>
      </c>
    </row>
    <row r="62" spans="1:13" x14ac:dyDescent="0.25">
      <c r="A62" s="29">
        <v>312</v>
      </c>
      <c r="B62" s="116" t="s">
        <v>42</v>
      </c>
      <c r="C62" s="170">
        <v>4430</v>
      </c>
      <c r="D62" s="464">
        <f>4430-130</f>
        <v>4300</v>
      </c>
      <c r="E62" s="170">
        <f>4430-130</f>
        <v>4300</v>
      </c>
      <c r="F62" s="464">
        <f t="shared" ref="F62:K62" si="29">4430-130+440</f>
        <v>4740</v>
      </c>
      <c r="G62" s="170">
        <f t="shared" si="29"/>
        <v>4740</v>
      </c>
      <c r="H62" s="170">
        <f t="shared" si="29"/>
        <v>4740</v>
      </c>
      <c r="I62" s="170">
        <f t="shared" si="29"/>
        <v>4740</v>
      </c>
      <c r="J62" s="170">
        <f t="shared" si="29"/>
        <v>4740</v>
      </c>
      <c r="K62" s="170">
        <f t="shared" si="29"/>
        <v>4740</v>
      </c>
      <c r="L62" s="170">
        <v>4569</v>
      </c>
      <c r="M62" s="466">
        <f t="shared" si="22"/>
        <v>0.96392405063291142</v>
      </c>
    </row>
    <row r="63" spans="1:13" x14ac:dyDescent="0.25">
      <c r="A63" s="29">
        <v>312</v>
      </c>
      <c r="B63" s="126" t="s">
        <v>43</v>
      </c>
      <c r="C63" s="9">
        <v>3700</v>
      </c>
      <c r="D63" s="459">
        <f>3700-200</f>
        <v>3500</v>
      </c>
      <c r="E63" s="9">
        <f>3700-200</f>
        <v>3500</v>
      </c>
      <c r="F63" s="459">
        <f t="shared" ref="F63:K63" si="30">3700-200-200</f>
        <v>3300</v>
      </c>
      <c r="G63" s="9">
        <f t="shared" si="30"/>
        <v>3300</v>
      </c>
      <c r="H63" s="9">
        <f t="shared" si="30"/>
        <v>3300</v>
      </c>
      <c r="I63" s="9">
        <f t="shared" si="30"/>
        <v>3300</v>
      </c>
      <c r="J63" s="9">
        <f t="shared" si="30"/>
        <v>3300</v>
      </c>
      <c r="K63" s="9">
        <f t="shared" si="30"/>
        <v>3300</v>
      </c>
      <c r="L63" s="9">
        <v>3259</v>
      </c>
      <c r="M63" s="466">
        <f t="shared" si="22"/>
        <v>0.98757575757575755</v>
      </c>
    </row>
    <row r="64" spans="1:13" x14ac:dyDescent="0.25">
      <c r="A64" s="29">
        <v>312</v>
      </c>
      <c r="B64" s="30" t="s">
        <v>44</v>
      </c>
      <c r="C64" s="170">
        <v>3000</v>
      </c>
      <c r="D64" s="464">
        <f t="shared" ref="D64:I64" si="31">3000-470</f>
        <v>2530</v>
      </c>
      <c r="E64" s="170">
        <f t="shared" si="31"/>
        <v>2530</v>
      </c>
      <c r="F64" s="170">
        <f t="shared" si="31"/>
        <v>2530</v>
      </c>
      <c r="G64" s="170">
        <f t="shared" si="31"/>
        <v>2530</v>
      </c>
      <c r="H64" s="170">
        <f t="shared" si="31"/>
        <v>2530</v>
      </c>
      <c r="I64" s="170">
        <f t="shared" si="31"/>
        <v>2530</v>
      </c>
      <c r="J64" s="464">
        <f>3000-470+310</f>
        <v>2840</v>
      </c>
      <c r="K64" s="170">
        <f>3000-470+310</f>
        <v>2840</v>
      </c>
      <c r="L64" s="170">
        <v>1685</v>
      </c>
      <c r="M64" s="466">
        <f t="shared" si="22"/>
        <v>0.59330985915492962</v>
      </c>
    </row>
    <row r="65" spans="1:22" ht="15.75" customHeight="1" x14ac:dyDescent="0.25">
      <c r="A65" s="24">
        <v>312</v>
      </c>
      <c r="B65" s="25" t="s">
        <v>181</v>
      </c>
      <c r="C65" s="216">
        <v>102200</v>
      </c>
      <c r="D65" s="216">
        <v>102200</v>
      </c>
      <c r="E65" s="216">
        <v>102200</v>
      </c>
      <c r="F65" s="216">
        <v>102200</v>
      </c>
      <c r="G65" s="216">
        <v>102200</v>
      </c>
      <c r="H65" s="216">
        <v>102200</v>
      </c>
      <c r="I65" s="216">
        <v>102200</v>
      </c>
      <c r="J65" s="216">
        <v>102200</v>
      </c>
      <c r="K65" s="216">
        <v>102200</v>
      </c>
      <c r="L65" s="216">
        <v>45158</v>
      </c>
      <c r="M65" s="466">
        <f t="shared" si="22"/>
        <v>0.44185909980430527</v>
      </c>
    </row>
    <row r="66" spans="1:22" x14ac:dyDescent="0.25">
      <c r="A66" s="24">
        <v>312</v>
      </c>
      <c r="B66" s="25" t="s">
        <v>239</v>
      </c>
      <c r="C66" s="216">
        <v>31000</v>
      </c>
      <c r="D66" s="463">
        <f t="shared" ref="D66:K66" si="32">31000+104</f>
        <v>31104</v>
      </c>
      <c r="E66" s="216">
        <f t="shared" si="32"/>
        <v>31104</v>
      </c>
      <c r="F66" s="216">
        <f t="shared" si="32"/>
        <v>31104</v>
      </c>
      <c r="G66" s="216">
        <f t="shared" si="32"/>
        <v>31104</v>
      </c>
      <c r="H66" s="216">
        <f t="shared" si="32"/>
        <v>31104</v>
      </c>
      <c r="I66" s="216">
        <f t="shared" si="32"/>
        <v>31104</v>
      </c>
      <c r="J66" s="216">
        <f t="shared" si="32"/>
        <v>31104</v>
      </c>
      <c r="K66" s="216">
        <f t="shared" si="32"/>
        <v>31104</v>
      </c>
      <c r="L66" s="216">
        <v>31104</v>
      </c>
      <c r="M66" s="466">
        <f t="shared" si="22"/>
        <v>1</v>
      </c>
    </row>
    <row r="67" spans="1:22" ht="16.5" thickBot="1" x14ac:dyDescent="0.3">
      <c r="A67" s="241">
        <v>312</v>
      </c>
      <c r="B67" s="242" t="s">
        <v>270</v>
      </c>
      <c r="C67" s="218">
        <f>440000+32270</f>
        <v>472270</v>
      </c>
      <c r="D67" s="218">
        <f>440000+32270+13819</f>
        <v>486089</v>
      </c>
      <c r="E67" s="218">
        <f>440000+32270+13819</f>
        <v>486089</v>
      </c>
      <c r="F67" s="218">
        <f>440000+32270+13819</f>
        <v>486089</v>
      </c>
      <c r="G67" s="218">
        <f>440000+32270+13819+711</f>
        <v>486800</v>
      </c>
      <c r="H67" s="571">
        <f>440000+32270+13819+711+106</f>
        <v>486906</v>
      </c>
      <c r="I67" s="571">
        <f>440000+32270+13819+711+106+2176</f>
        <v>489082</v>
      </c>
      <c r="J67" s="218">
        <f>440000+32270+13819+711+106+2176</f>
        <v>489082</v>
      </c>
      <c r="K67" s="571">
        <f>440000+32270+13819+711+106+2176-3270</f>
        <v>485812</v>
      </c>
      <c r="L67" s="218">
        <v>406951</v>
      </c>
      <c r="M67" s="466">
        <f t="shared" si="22"/>
        <v>0.83767177426658868</v>
      </c>
      <c r="N67" s="123"/>
    </row>
    <row r="68" spans="1:22" ht="16.5" thickBot="1" x14ac:dyDescent="0.3">
      <c r="A68" s="31" t="s">
        <v>45</v>
      </c>
      <c r="B68" s="127"/>
      <c r="C68" s="32">
        <f t="shared" ref="C68:L68" si="33">SUM(C4+C12+C33+C35+C43)</f>
        <v>2092580</v>
      </c>
      <c r="D68" s="32">
        <f t="shared" si="33"/>
        <v>2136130</v>
      </c>
      <c r="E68" s="32">
        <f t="shared" si="33"/>
        <v>2143075</v>
      </c>
      <c r="F68" s="32">
        <f t="shared" si="33"/>
        <v>2172120</v>
      </c>
      <c r="G68" s="32">
        <f t="shared" si="33"/>
        <v>2213831</v>
      </c>
      <c r="H68" s="32">
        <f t="shared" si="33"/>
        <v>2221994</v>
      </c>
      <c r="I68" s="32">
        <f t="shared" si="33"/>
        <v>2220570</v>
      </c>
      <c r="J68" s="32">
        <f t="shared" si="33"/>
        <v>2220880</v>
      </c>
      <c r="K68" s="32">
        <f t="shared" ref="K68" si="34">SUM(K4+K12+K33+K35+K43)</f>
        <v>2218610</v>
      </c>
      <c r="L68" s="32">
        <f t="shared" si="33"/>
        <v>1778001</v>
      </c>
      <c r="M68" s="466">
        <f t="shared" ref="M68:M75" si="35">L68/K68</f>
        <v>0.80140313078909764</v>
      </c>
      <c r="N68" s="123">
        <f t="shared" ref="N68:U68" si="36">D68-C68</f>
        <v>43550</v>
      </c>
      <c r="O68" s="123">
        <f t="shared" si="36"/>
        <v>6945</v>
      </c>
      <c r="P68" s="123">
        <f t="shared" si="36"/>
        <v>29045</v>
      </c>
      <c r="Q68" s="123">
        <f t="shared" si="36"/>
        <v>41711</v>
      </c>
      <c r="R68" s="123">
        <f t="shared" si="36"/>
        <v>8163</v>
      </c>
      <c r="S68" s="123">
        <f t="shared" si="36"/>
        <v>-1424</v>
      </c>
      <c r="T68" s="123">
        <f t="shared" si="36"/>
        <v>310</v>
      </c>
      <c r="U68" s="123">
        <f t="shared" si="36"/>
        <v>-2270</v>
      </c>
      <c r="V68" s="123"/>
    </row>
    <row r="69" spans="1:22" x14ac:dyDescent="0.25">
      <c r="A69" s="243" t="s">
        <v>46</v>
      </c>
      <c r="B69" s="244" t="s">
        <v>269</v>
      </c>
      <c r="C69" s="217">
        <v>3000</v>
      </c>
      <c r="D69" s="217">
        <v>3000</v>
      </c>
      <c r="E69" s="217">
        <v>3000</v>
      </c>
      <c r="F69" s="217">
        <v>3000</v>
      </c>
      <c r="G69" s="217">
        <v>3000</v>
      </c>
      <c r="H69" s="492">
        <f>3000+4330</f>
        <v>7330</v>
      </c>
      <c r="I69" s="217">
        <f>3000+4330</f>
        <v>7330</v>
      </c>
      <c r="J69" s="217">
        <f>3000+4330</f>
        <v>7330</v>
      </c>
      <c r="K69" s="217">
        <f>3000+4330</f>
        <v>7330</v>
      </c>
      <c r="L69" s="217">
        <f>1275+121+171+12+275+310+170+3634+20</f>
        <v>5988</v>
      </c>
      <c r="M69" s="466">
        <f t="shared" si="35"/>
        <v>0.81691678035470672</v>
      </c>
      <c r="N69" s="123">
        <f>L69+L70+L73</f>
        <v>17405</v>
      </c>
      <c r="O69" s="123"/>
      <c r="P69" s="123"/>
    </row>
    <row r="70" spans="1:22" ht="15.75" customHeight="1" x14ac:dyDescent="0.25">
      <c r="A70" s="359" t="s">
        <v>46</v>
      </c>
      <c r="B70" s="244" t="s">
        <v>263</v>
      </c>
      <c r="C70" s="360">
        <v>1320</v>
      </c>
      <c r="D70" s="360">
        <v>1320</v>
      </c>
      <c r="E70" s="360">
        <v>1320</v>
      </c>
      <c r="F70" s="360">
        <v>1320</v>
      </c>
      <c r="G70" s="360">
        <v>1320</v>
      </c>
      <c r="H70" s="360">
        <v>1320</v>
      </c>
      <c r="I70" s="360">
        <v>1320</v>
      </c>
      <c r="J70" s="360">
        <v>1320</v>
      </c>
      <c r="K70" s="360">
        <v>1320</v>
      </c>
      <c r="L70" s="360">
        <f>369+357</f>
        <v>726</v>
      </c>
      <c r="M70" s="466">
        <f t="shared" si="35"/>
        <v>0.55000000000000004</v>
      </c>
      <c r="N70" s="123"/>
      <c r="O70" s="123"/>
      <c r="P70" s="123"/>
    </row>
    <row r="71" spans="1:22" ht="15.75" customHeight="1" thickBot="1" x14ac:dyDescent="0.3">
      <c r="A71" s="245" t="s">
        <v>46</v>
      </c>
      <c r="B71" s="246" t="s">
        <v>229</v>
      </c>
      <c r="C71" s="234">
        <v>54240</v>
      </c>
      <c r="D71" s="234">
        <v>54240</v>
      </c>
      <c r="E71" s="234">
        <v>54240</v>
      </c>
      <c r="F71" s="234">
        <v>54240</v>
      </c>
      <c r="G71" s="234">
        <v>54240</v>
      </c>
      <c r="H71" s="234">
        <v>54240</v>
      </c>
      <c r="I71" s="234">
        <v>54240</v>
      </c>
      <c r="J71" s="234">
        <v>54240</v>
      </c>
      <c r="K71" s="234">
        <v>54240</v>
      </c>
      <c r="L71" s="234">
        <f>5459+12534+279+14410+3670</f>
        <v>36352</v>
      </c>
      <c r="M71" s="466">
        <f t="shared" si="35"/>
        <v>0.67020648967551621</v>
      </c>
      <c r="N71" s="123"/>
      <c r="O71" s="123"/>
      <c r="P71" s="123"/>
    </row>
    <row r="72" spans="1:22" ht="15.75" thickBot="1" x14ac:dyDescent="0.3">
      <c r="A72" s="668" t="s">
        <v>277</v>
      </c>
      <c r="B72" s="669"/>
      <c r="C72" s="369">
        <f t="shared" ref="C72:F72" si="37">SUM(C69:C71)</f>
        <v>58560</v>
      </c>
      <c r="D72" s="369">
        <f t="shared" si="37"/>
        <v>58560</v>
      </c>
      <c r="E72" s="369">
        <f t="shared" si="37"/>
        <v>58560</v>
      </c>
      <c r="F72" s="369">
        <f t="shared" si="37"/>
        <v>58560</v>
      </c>
      <c r="G72" s="369">
        <f t="shared" ref="G72:L72" si="38">SUM(G69:G71)</f>
        <v>58560</v>
      </c>
      <c r="H72" s="369">
        <f t="shared" si="38"/>
        <v>62890</v>
      </c>
      <c r="I72" s="369">
        <f t="shared" si="38"/>
        <v>62890</v>
      </c>
      <c r="J72" s="369">
        <f t="shared" si="38"/>
        <v>62890</v>
      </c>
      <c r="K72" s="369">
        <f t="shared" ref="K72" si="39">SUM(K69:K71)</f>
        <v>62890</v>
      </c>
      <c r="L72" s="369">
        <f t="shared" si="38"/>
        <v>43066</v>
      </c>
      <c r="M72" s="466">
        <f t="shared" si="35"/>
        <v>0.68478295436476389</v>
      </c>
      <c r="N72" s="123">
        <f t="shared" ref="N72:U75" si="40">D72-C72</f>
        <v>0</v>
      </c>
      <c r="O72" s="123">
        <f t="shared" si="40"/>
        <v>0</v>
      </c>
      <c r="P72" s="123">
        <f t="shared" si="40"/>
        <v>0</v>
      </c>
      <c r="Q72" s="123">
        <f t="shared" si="40"/>
        <v>0</v>
      </c>
      <c r="R72" s="123">
        <f t="shared" si="40"/>
        <v>4330</v>
      </c>
      <c r="S72" s="123">
        <f t="shared" si="40"/>
        <v>0</v>
      </c>
      <c r="T72" s="123">
        <f t="shared" si="40"/>
        <v>0</v>
      </c>
      <c r="U72" s="123">
        <f t="shared" si="40"/>
        <v>0</v>
      </c>
      <c r="V72" s="123"/>
    </row>
    <row r="73" spans="1:22" ht="14.25" customHeight="1" thickBot="1" x14ac:dyDescent="0.3">
      <c r="A73" s="267" t="s">
        <v>46</v>
      </c>
      <c r="B73" s="268" t="s">
        <v>278</v>
      </c>
      <c r="C73" s="269">
        <v>9770</v>
      </c>
      <c r="D73" s="269">
        <v>9770</v>
      </c>
      <c r="E73" s="269">
        <v>9770</v>
      </c>
      <c r="F73" s="269">
        <v>9770</v>
      </c>
      <c r="G73" s="269">
        <v>9770</v>
      </c>
      <c r="H73" s="568">
        <f>9770+1260</f>
        <v>11030</v>
      </c>
      <c r="I73" s="269">
        <f>9770+1260</f>
        <v>11030</v>
      </c>
      <c r="J73" s="269">
        <f>9770+1260</f>
        <v>11030</v>
      </c>
      <c r="K73" s="568">
        <f>9770+1260+679</f>
        <v>11709</v>
      </c>
      <c r="L73" s="269">
        <v>10691</v>
      </c>
      <c r="M73" s="466">
        <f t="shared" si="35"/>
        <v>0.91305833119822355</v>
      </c>
      <c r="N73" s="123">
        <f t="shared" si="40"/>
        <v>0</v>
      </c>
      <c r="O73" s="123">
        <f t="shared" si="40"/>
        <v>0</v>
      </c>
      <c r="P73" s="123">
        <f t="shared" si="40"/>
        <v>0</v>
      </c>
      <c r="Q73" s="123">
        <f t="shared" si="40"/>
        <v>0</v>
      </c>
      <c r="R73" s="123">
        <f t="shared" si="40"/>
        <v>1260</v>
      </c>
      <c r="S73" s="123">
        <f t="shared" si="40"/>
        <v>0</v>
      </c>
      <c r="T73" s="123">
        <f t="shared" si="40"/>
        <v>0</v>
      </c>
      <c r="U73" s="123">
        <f t="shared" si="40"/>
        <v>679</v>
      </c>
      <c r="V73" s="123"/>
    </row>
    <row r="74" spans="1:22" ht="17.25" customHeight="1" thickBot="1" x14ac:dyDescent="0.3">
      <c r="A74" s="670" t="s">
        <v>182</v>
      </c>
      <c r="B74" s="671"/>
      <c r="C74" s="235">
        <f t="shared" ref="C74:L74" si="41">C72+C73</f>
        <v>68330</v>
      </c>
      <c r="D74" s="235">
        <f t="shared" si="41"/>
        <v>68330</v>
      </c>
      <c r="E74" s="235">
        <f t="shared" si="41"/>
        <v>68330</v>
      </c>
      <c r="F74" s="235">
        <f t="shared" si="41"/>
        <v>68330</v>
      </c>
      <c r="G74" s="235">
        <f t="shared" si="41"/>
        <v>68330</v>
      </c>
      <c r="H74" s="235">
        <f t="shared" si="41"/>
        <v>73920</v>
      </c>
      <c r="I74" s="235">
        <f t="shared" si="41"/>
        <v>73920</v>
      </c>
      <c r="J74" s="235">
        <f t="shared" si="41"/>
        <v>73920</v>
      </c>
      <c r="K74" s="235">
        <f t="shared" ref="K74" si="42">K72+K73</f>
        <v>74599</v>
      </c>
      <c r="L74" s="235">
        <f t="shared" si="41"/>
        <v>53757</v>
      </c>
      <c r="M74" s="466">
        <f t="shared" si="35"/>
        <v>0.72061287684821518</v>
      </c>
      <c r="N74" s="123">
        <f t="shared" si="40"/>
        <v>0</v>
      </c>
      <c r="O74" s="123">
        <f t="shared" si="40"/>
        <v>0</v>
      </c>
      <c r="P74" s="123">
        <f t="shared" si="40"/>
        <v>0</v>
      </c>
      <c r="Q74" s="123">
        <f t="shared" si="40"/>
        <v>0</v>
      </c>
      <c r="R74" s="123">
        <f t="shared" si="40"/>
        <v>5590</v>
      </c>
      <c r="S74" s="123">
        <f t="shared" si="40"/>
        <v>0</v>
      </c>
      <c r="T74" s="123">
        <f t="shared" si="40"/>
        <v>0</v>
      </c>
      <c r="U74" s="123">
        <f t="shared" si="40"/>
        <v>679</v>
      </c>
      <c r="V74" s="123"/>
    </row>
    <row r="75" spans="1:22" ht="27" customHeight="1" thickBot="1" x14ac:dyDescent="0.3">
      <c r="A75" s="31" t="s">
        <v>47</v>
      </c>
      <c r="B75" s="20"/>
      <c r="C75" s="32">
        <f t="shared" ref="C75:L75" si="43">C68+C74</f>
        <v>2160910</v>
      </c>
      <c r="D75" s="32">
        <f t="shared" si="43"/>
        <v>2204460</v>
      </c>
      <c r="E75" s="32">
        <f t="shared" si="43"/>
        <v>2211405</v>
      </c>
      <c r="F75" s="32">
        <f t="shared" si="43"/>
        <v>2240450</v>
      </c>
      <c r="G75" s="32">
        <f t="shared" si="43"/>
        <v>2282161</v>
      </c>
      <c r="H75" s="32">
        <f t="shared" si="43"/>
        <v>2295914</v>
      </c>
      <c r="I75" s="32">
        <f t="shared" si="43"/>
        <v>2294490</v>
      </c>
      <c r="J75" s="32">
        <f t="shared" si="43"/>
        <v>2294800</v>
      </c>
      <c r="K75" s="32">
        <f t="shared" ref="K75" si="44">K68+K74</f>
        <v>2293209</v>
      </c>
      <c r="L75" s="32">
        <f t="shared" si="43"/>
        <v>1831758</v>
      </c>
      <c r="M75" s="466">
        <f t="shared" si="35"/>
        <v>0.79877499172556887</v>
      </c>
      <c r="N75" s="123">
        <f t="shared" si="40"/>
        <v>43550</v>
      </c>
      <c r="O75" s="123">
        <f t="shared" si="40"/>
        <v>6945</v>
      </c>
      <c r="P75" s="123">
        <f t="shared" si="40"/>
        <v>29045</v>
      </c>
      <c r="Q75" s="123">
        <f t="shared" si="40"/>
        <v>41711</v>
      </c>
      <c r="R75" s="123">
        <f t="shared" si="40"/>
        <v>13753</v>
      </c>
      <c r="S75" s="123">
        <f t="shared" si="40"/>
        <v>-1424</v>
      </c>
      <c r="T75" s="123">
        <f t="shared" si="40"/>
        <v>310</v>
      </c>
      <c r="U75" s="123">
        <f t="shared" si="40"/>
        <v>-1591</v>
      </c>
      <c r="V75" s="123"/>
    </row>
    <row r="76" spans="1:22" ht="45.75" customHeight="1" x14ac:dyDescent="0.25"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35"/>
    </row>
    <row r="77" spans="1:22" ht="46.5" customHeight="1" x14ac:dyDescent="0.2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22" ht="15" customHeight="1" thickBot="1" x14ac:dyDescent="0.3">
      <c r="A78" s="672" t="s">
        <v>48</v>
      </c>
      <c r="B78" s="673"/>
      <c r="C78" s="673"/>
      <c r="D78" s="673"/>
      <c r="E78" s="673"/>
      <c r="F78" s="673"/>
      <c r="G78" s="673"/>
      <c r="H78" s="673"/>
      <c r="I78" s="673"/>
      <c r="J78" s="673"/>
      <c r="K78" s="673"/>
      <c r="L78" s="673"/>
    </row>
    <row r="79" spans="1:22" ht="15" customHeight="1" x14ac:dyDescent="0.25">
      <c r="A79" s="644" t="s">
        <v>1</v>
      </c>
      <c r="B79" s="645"/>
      <c r="C79" s="638" t="s">
        <v>323</v>
      </c>
      <c r="D79" s="638" t="s">
        <v>562</v>
      </c>
      <c r="E79" s="638" t="s">
        <v>563</v>
      </c>
      <c r="F79" s="638" t="s">
        <v>564</v>
      </c>
      <c r="G79" s="638" t="s">
        <v>565</v>
      </c>
      <c r="H79" s="638" t="s">
        <v>566</v>
      </c>
      <c r="I79" s="638" t="s">
        <v>567</v>
      </c>
      <c r="J79" s="638" t="s">
        <v>605</v>
      </c>
      <c r="K79" s="638" t="s">
        <v>640</v>
      </c>
      <c r="L79" s="638" t="s">
        <v>654</v>
      </c>
      <c r="M79" s="666" t="s">
        <v>354</v>
      </c>
    </row>
    <row r="80" spans="1:22" ht="15.75" thickBot="1" x14ac:dyDescent="0.3">
      <c r="A80" s="646"/>
      <c r="B80" s="647"/>
      <c r="C80" s="639"/>
      <c r="D80" s="639"/>
      <c r="E80" s="639"/>
      <c r="F80" s="639"/>
      <c r="G80" s="639"/>
      <c r="H80" s="639"/>
      <c r="I80" s="639"/>
      <c r="J80" s="639"/>
      <c r="K80" s="639"/>
      <c r="L80" s="639"/>
      <c r="M80" s="667"/>
    </row>
    <row r="81" spans="1:13" ht="15.75" thickBot="1" x14ac:dyDescent="0.3">
      <c r="A81" s="36" t="s">
        <v>49</v>
      </c>
      <c r="B81" s="37"/>
      <c r="C81" s="38">
        <f t="shared" ref="C81:L81" si="45">SUM(C82:C86)</f>
        <v>269300</v>
      </c>
      <c r="D81" s="38">
        <f t="shared" si="45"/>
        <v>272000</v>
      </c>
      <c r="E81" s="38">
        <f t="shared" si="45"/>
        <v>270845</v>
      </c>
      <c r="F81" s="38">
        <f t="shared" si="45"/>
        <v>273290</v>
      </c>
      <c r="G81" s="38">
        <f t="shared" si="45"/>
        <v>279290</v>
      </c>
      <c r="H81" s="38">
        <f t="shared" si="45"/>
        <v>279290</v>
      </c>
      <c r="I81" s="38">
        <f t="shared" si="45"/>
        <v>279290</v>
      </c>
      <c r="J81" s="38">
        <f t="shared" si="45"/>
        <v>279810</v>
      </c>
      <c r="K81" s="38">
        <f t="shared" ref="K81" si="46">SUM(K82:K86)</f>
        <v>280410</v>
      </c>
      <c r="L81" s="38">
        <f t="shared" si="45"/>
        <v>159851</v>
      </c>
      <c r="M81" s="466">
        <f t="shared" ref="M81:M112" si="47">L81/K81</f>
        <v>0.57006169537463003</v>
      </c>
    </row>
    <row r="82" spans="1:13" x14ac:dyDescent="0.25">
      <c r="A82" s="135" t="s">
        <v>50</v>
      </c>
      <c r="B82" s="39" t="s">
        <v>51</v>
      </c>
      <c r="C82" s="169">
        <v>121700</v>
      </c>
      <c r="D82" s="492">
        <f>121700+300</f>
        <v>122000</v>
      </c>
      <c r="E82" s="169">
        <f>121700+300</f>
        <v>122000</v>
      </c>
      <c r="F82" s="169">
        <f>121700+300</f>
        <v>122000</v>
      </c>
      <c r="G82" s="492">
        <f>121700+300+6000</f>
        <v>128000</v>
      </c>
      <c r="H82" s="169">
        <f>121700+300+6000</f>
        <v>128000</v>
      </c>
      <c r="I82" s="169">
        <f>121700+300+6000</f>
        <v>128000</v>
      </c>
      <c r="J82" s="492">
        <f>121700+300+6000+520</f>
        <v>128520</v>
      </c>
      <c r="K82" s="492">
        <f>121700+300+6000+520+3200</f>
        <v>131720</v>
      </c>
      <c r="L82" s="169">
        <v>66410</v>
      </c>
      <c r="M82" s="466">
        <f t="shared" si="47"/>
        <v>0.50417552383844522</v>
      </c>
    </row>
    <row r="83" spans="1:13" x14ac:dyDescent="0.25">
      <c r="A83" s="136" t="s">
        <v>52</v>
      </c>
      <c r="B83" s="25" t="s">
        <v>173</v>
      </c>
      <c r="C83" s="168">
        <v>86600</v>
      </c>
      <c r="D83" s="465">
        <f>86600+300</f>
        <v>86900</v>
      </c>
      <c r="E83" s="465">
        <f t="shared" ref="E83:K83" si="48">86600+300-1300</f>
        <v>85600</v>
      </c>
      <c r="F83" s="168">
        <f t="shared" si="48"/>
        <v>85600</v>
      </c>
      <c r="G83" s="168">
        <f t="shared" si="48"/>
        <v>85600</v>
      </c>
      <c r="H83" s="168">
        <f t="shared" si="48"/>
        <v>85600</v>
      </c>
      <c r="I83" s="168">
        <f t="shared" si="48"/>
        <v>85600</v>
      </c>
      <c r="J83" s="168">
        <f t="shared" si="48"/>
        <v>85600</v>
      </c>
      <c r="K83" s="168">
        <f t="shared" si="48"/>
        <v>85600</v>
      </c>
      <c r="L83" s="168">
        <v>51501</v>
      </c>
      <c r="M83" s="466">
        <f t="shared" si="47"/>
        <v>0.60164719626168228</v>
      </c>
    </row>
    <row r="84" spans="1:13" x14ac:dyDescent="0.25">
      <c r="A84" s="136" t="s">
        <v>53</v>
      </c>
      <c r="B84" s="25" t="s">
        <v>172</v>
      </c>
      <c r="C84" s="168">
        <v>4000</v>
      </c>
      <c r="D84" s="168">
        <v>4000</v>
      </c>
      <c r="E84" s="168">
        <f>4000</f>
        <v>4000</v>
      </c>
      <c r="F84" s="465">
        <f t="shared" ref="F84:J84" si="49">4000+2000</f>
        <v>6000</v>
      </c>
      <c r="G84" s="168">
        <f t="shared" si="49"/>
        <v>6000</v>
      </c>
      <c r="H84" s="168">
        <f t="shared" si="49"/>
        <v>6000</v>
      </c>
      <c r="I84" s="168">
        <f t="shared" si="49"/>
        <v>6000</v>
      </c>
      <c r="J84" s="168">
        <f t="shared" si="49"/>
        <v>6000</v>
      </c>
      <c r="K84" s="465">
        <f>4000+2000+200</f>
        <v>6200</v>
      </c>
      <c r="L84" s="168">
        <v>4602</v>
      </c>
      <c r="M84" s="466">
        <f t="shared" si="47"/>
        <v>0.74225806451612908</v>
      </c>
    </row>
    <row r="85" spans="1:13" x14ac:dyDescent="0.25">
      <c r="A85" s="137" t="s">
        <v>54</v>
      </c>
      <c r="B85" s="25" t="s">
        <v>356</v>
      </c>
      <c r="C85" s="168">
        <v>53000</v>
      </c>
      <c r="D85" s="168">
        <f>53000</f>
        <v>53000</v>
      </c>
      <c r="E85" s="168">
        <f>53000</f>
        <v>53000</v>
      </c>
      <c r="F85" s="465">
        <f>53000+440</f>
        <v>53440</v>
      </c>
      <c r="G85" s="168">
        <f>53000+440</f>
        <v>53440</v>
      </c>
      <c r="H85" s="168">
        <f>53000+440</f>
        <v>53440</v>
      </c>
      <c r="I85" s="168">
        <f>53000+440</f>
        <v>53440</v>
      </c>
      <c r="J85" s="168">
        <f>53000+440</f>
        <v>53440</v>
      </c>
      <c r="K85" s="465">
        <f>53000+440-2800</f>
        <v>50640</v>
      </c>
      <c r="L85" s="168">
        <v>31127</v>
      </c>
      <c r="M85" s="466">
        <f t="shared" si="47"/>
        <v>0.61467219589257505</v>
      </c>
    </row>
    <row r="86" spans="1:13" ht="15.75" thickBot="1" x14ac:dyDescent="0.3">
      <c r="A86" s="138" t="s">
        <v>56</v>
      </c>
      <c r="B86" s="3" t="s">
        <v>57</v>
      </c>
      <c r="C86" s="42">
        <v>4000</v>
      </c>
      <c r="D86" s="454">
        <f>4000+2100</f>
        <v>6100</v>
      </c>
      <c r="E86" s="454">
        <f>4000+2100+145</f>
        <v>6245</v>
      </c>
      <c r="F86" s="454">
        <f t="shared" ref="F86:K86" si="50">4000+2100+145+5</f>
        <v>6250</v>
      </c>
      <c r="G86" s="50">
        <f t="shared" si="50"/>
        <v>6250</v>
      </c>
      <c r="H86" s="50">
        <f t="shared" si="50"/>
        <v>6250</v>
      </c>
      <c r="I86" s="50">
        <f t="shared" si="50"/>
        <v>6250</v>
      </c>
      <c r="J86" s="50">
        <f t="shared" si="50"/>
        <v>6250</v>
      </c>
      <c r="K86" s="50">
        <f t="shared" si="50"/>
        <v>6250</v>
      </c>
      <c r="L86" s="42">
        <v>6211</v>
      </c>
      <c r="M86" s="466">
        <f t="shared" si="47"/>
        <v>0.99375999999999998</v>
      </c>
    </row>
    <row r="87" spans="1:13" ht="15.75" thickBot="1" x14ac:dyDescent="0.3">
      <c r="A87" s="43" t="s">
        <v>58</v>
      </c>
      <c r="B87" s="44"/>
      <c r="C87" s="38">
        <f t="shared" ref="C87:K87" si="51">SUM(C88)</f>
        <v>1660</v>
      </c>
      <c r="D87" s="38">
        <f t="shared" si="51"/>
        <v>1672</v>
      </c>
      <c r="E87" s="38">
        <f t="shared" si="51"/>
        <v>1672</v>
      </c>
      <c r="F87" s="38">
        <f t="shared" si="51"/>
        <v>1672</v>
      </c>
      <c r="G87" s="38">
        <f t="shared" si="51"/>
        <v>1672</v>
      </c>
      <c r="H87" s="38">
        <f t="shared" si="51"/>
        <v>1672</v>
      </c>
      <c r="I87" s="38">
        <f t="shared" si="51"/>
        <v>1672</v>
      </c>
      <c r="J87" s="38">
        <f t="shared" si="51"/>
        <v>1672</v>
      </c>
      <c r="K87" s="38">
        <f t="shared" si="51"/>
        <v>1672</v>
      </c>
      <c r="L87" s="38">
        <f t="shared" ref="L87" si="52">SUM(L88)</f>
        <v>1466</v>
      </c>
      <c r="M87" s="466">
        <f t="shared" si="47"/>
        <v>0.87679425837320579</v>
      </c>
    </row>
    <row r="88" spans="1:13" ht="15.75" thickBot="1" x14ac:dyDescent="0.3">
      <c r="A88" s="139" t="s">
        <v>59</v>
      </c>
      <c r="B88" s="34" t="s">
        <v>60</v>
      </c>
      <c r="C88" s="180">
        <v>1660</v>
      </c>
      <c r="D88" s="476">
        <f t="shared" ref="D88:K88" si="53">1660+12</f>
        <v>1672</v>
      </c>
      <c r="E88" s="180">
        <f t="shared" si="53"/>
        <v>1672</v>
      </c>
      <c r="F88" s="180">
        <f t="shared" si="53"/>
        <v>1672</v>
      </c>
      <c r="G88" s="180">
        <f t="shared" si="53"/>
        <v>1672</v>
      </c>
      <c r="H88" s="180">
        <f t="shared" si="53"/>
        <v>1672</v>
      </c>
      <c r="I88" s="180">
        <f t="shared" si="53"/>
        <v>1672</v>
      </c>
      <c r="J88" s="180">
        <f t="shared" si="53"/>
        <v>1672</v>
      </c>
      <c r="K88" s="180">
        <f t="shared" si="53"/>
        <v>1672</v>
      </c>
      <c r="L88" s="180">
        <v>1466</v>
      </c>
      <c r="M88" s="466">
        <f t="shared" si="47"/>
        <v>0.87679425837320579</v>
      </c>
    </row>
    <row r="89" spans="1:13" ht="15.75" thickBot="1" x14ac:dyDescent="0.3">
      <c r="A89" s="43" t="s">
        <v>61</v>
      </c>
      <c r="B89" s="44"/>
      <c r="C89" s="38">
        <f t="shared" ref="C89:H89" si="54">SUM(C90:C91)</f>
        <v>14900</v>
      </c>
      <c r="D89" s="38">
        <f t="shared" si="54"/>
        <v>14900</v>
      </c>
      <c r="E89" s="38">
        <f t="shared" si="54"/>
        <v>16200</v>
      </c>
      <c r="F89" s="38">
        <f t="shared" si="54"/>
        <v>14900</v>
      </c>
      <c r="G89" s="38">
        <f t="shared" si="54"/>
        <v>14900</v>
      </c>
      <c r="H89" s="38">
        <f t="shared" si="54"/>
        <v>14900</v>
      </c>
      <c r="I89" s="38">
        <f t="shared" ref="I89:L89" si="55">SUM(I90:I91)</f>
        <v>14900</v>
      </c>
      <c r="J89" s="38">
        <f t="shared" si="55"/>
        <v>15100</v>
      </c>
      <c r="K89" s="38">
        <f t="shared" ref="K89" si="56">SUM(K90:K91)</f>
        <v>15100</v>
      </c>
      <c r="L89" s="38">
        <f t="shared" si="55"/>
        <v>7697</v>
      </c>
      <c r="M89" s="466">
        <f t="shared" si="47"/>
        <v>0.5097350993377483</v>
      </c>
    </row>
    <row r="90" spans="1:13" x14ac:dyDescent="0.25">
      <c r="A90" s="45" t="s">
        <v>62</v>
      </c>
      <c r="B90" s="46" t="s">
        <v>63</v>
      </c>
      <c r="C90" s="47">
        <v>13600</v>
      </c>
      <c r="D90" s="47">
        <v>13600</v>
      </c>
      <c r="E90" s="478">
        <f>13600+1300</f>
        <v>14900</v>
      </c>
      <c r="F90" s="478">
        <f t="shared" ref="F90:K90" si="57">13600+1300-1300</f>
        <v>13600</v>
      </c>
      <c r="G90" s="47">
        <f t="shared" si="57"/>
        <v>13600</v>
      </c>
      <c r="H90" s="47">
        <f t="shared" si="57"/>
        <v>13600</v>
      </c>
      <c r="I90" s="47">
        <f t="shared" si="57"/>
        <v>13600</v>
      </c>
      <c r="J90" s="47">
        <f t="shared" si="57"/>
        <v>13600</v>
      </c>
      <c r="K90" s="47">
        <f t="shared" si="57"/>
        <v>13600</v>
      </c>
      <c r="L90" s="47">
        <v>6665</v>
      </c>
      <c r="M90" s="466">
        <f t="shared" si="47"/>
        <v>0.49007352941176469</v>
      </c>
    </row>
    <row r="91" spans="1:13" ht="15.75" thickBot="1" x14ac:dyDescent="0.3">
      <c r="A91" s="48" t="s">
        <v>64</v>
      </c>
      <c r="B91" s="49" t="s">
        <v>619</v>
      </c>
      <c r="C91" s="50">
        <v>1300</v>
      </c>
      <c r="D91" s="50">
        <v>1300</v>
      </c>
      <c r="E91" s="50">
        <v>1300</v>
      </c>
      <c r="F91" s="50">
        <v>1300</v>
      </c>
      <c r="G91" s="50">
        <v>1300</v>
      </c>
      <c r="H91" s="50">
        <v>1300</v>
      </c>
      <c r="I91" s="50">
        <v>1300</v>
      </c>
      <c r="J91" s="454">
        <f>1300+200</f>
        <v>1500</v>
      </c>
      <c r="K91" s="50">
        <f>1300+200</f>
        <v>1500</v>
      </c>
      <c r="L91" s="50">
        <v>1032</v>
      </c>
      <c r="M91" s="466">
        <f t="shared" si="47"/>
        <v>0.68799999999999994</v>
      </c>
    </row>
    <row r="92" spans="1:13" ht="15.75" thickBot="1" x14ac:dyDescent="0.3">
      <c r="A92" s="36" t="s">
        <v>66</v>
      </c>
      <c r="B92" s="140"/>
      <c r="C92" s="38">
        <f t="shared" ref="C92:L92" si="58">SUM(C93:C96)</f>
        <v>66150</v>
      </c>
      <c r="D92" s="38">
        <f t="shared" si="58"/>
        <v>81870</v>
      </c>
      <c r="E92" s="38">
        <f t="shared" si="58"/>
        <v>79870</v>
      </c>
      <c r="F92" s="38">
        <f t="shared" si="58"/>
        <v>79170</v>
      </c>
      <c r="G92" s="38">
        <f t="shared" si="58"/>
        <v>73170</v>
      </c>
      <c r="H92" s="38">
        <f t="shared" si="58"/>
        <v>72670</v>
      </c>
      <c r="I92" s="38">
        <f t="shared" si="58"/>
        <v>75170</v>
      </c>
      <c r="J92" s="38">
        <f t="shared" si="58"/>
        <v>79120</v>
      </c>
      <c r="K92" s="38">
        <f t="shared" ref="K92" si="59">SUM(K93:K96)</f>
        <v>79120</v>
      </c>
      <c r="L92" s="38">
        <f t="shared" si="58"/>
        <v>44078</v>
      </c>
      <c r="M92" s="466">
        <f t="shared" si="47"/>
        <v>0.55710313447927196</v>
      </c>
    </row>
    <row r="93" spans="1:13" x14ac:dyDescent="0.25">
      <c r="A93" s="51" t="s">
        <v>67</v>
      </c>
      <c r="B93" s="14" t="s">
        <v>68</v>
      </c>
      <c r="C93" s="15">
        <v>20200</v>
      </c>
      <c r="D93" s="15">
        <v>20200</v>
      </c>
      <c r="E93" s="15">
        <v>20200</v>
      </c>
      <c r="F93" s="15">
        <v>20200</v>
      </c>
      <c r="G93" s="15">
        <v>20200</v>
      </c>
      <c r="H93" s="15">
        <v>20200</v>
      </c>
      <c r="I93" s="15">
        <f>20200</f>
        <v>20200</v>
      </c>
      <c r="J93" s="482">
        <f>20200+3950</f>
        <v>24150</v>
      </c>
      <c r="K93" s="15">
        <f>20200+3950</f>
        <v>24150</v>
      </c>
      <c r="L93" s="15">
        <v>14660</v>
      </c>
      <c r="M93" s="466">
        <f t="shared" si="47"/>
        <v>0.60703933747412009</v>
      </c>
    </row>
    <row r="94" spans="1:13" x14ac:dyDescent="0.25">
      <c r="A94" s="137" t="s">
        <v>69</v>
      </c>
      <c r="B94" s="25" t="s">
        <v>70</v>
      </c>
      <c r="C94" s="41">
        <v>20800</v>
      </c>
      <c r="D94" s="477">
        <f>20800+17000-1500</f>
        <v>36300</v>
      </c>
      <c r="E94" s="477">
        <f t="shared" ref="E94:K94" si="60">20800+17000-1500-2000</f>
        <v>34300</v>
      </c>
      <c r="F94" s="18">
        <f t="shared" si="60"/>
        <v>34300</v>
      </c>
      <c r="G94" s="18">
        <f t="shared" si="60"/>
        <v>34300</v>
      </c>
      <c r="H94" s="18">
        <f t="shared" si="60"/>
        <v>34300</v>
      </c>
      <c r="I94" s="18">
        <f t="shared" si="60"/>
        <v>34300</v>
      </c>
      <c r="J94" s="18">
        <f t="shared" si="60"/>
        <v>34300</v>
      </c>
      <c r="K94" s="18">
        <f t="shared" si="60"/>
        <v>34300</v>
      </c>
      <c r="L94" s="18">
        <v>19888</v>
      </c>
      <c r="M94" s="466">
        <f t="shared" si="47"/>
        <v>0.57982507288629737</v>
      </c>
    </row>
    <row r="95" spans="1:13" x14ac:dyDescent="0.25">
      <c r="A95" s="137" t="s">
        <v>71</v>
      </c>
      <c r="B95" s="25" t="s">
        <v>72</v>
      </c>
      <c r="C95" s="18">
        <v>25000</v>
      </c>
      <c r="D95" s="18">
        <v>25000</v>
      </c>
      <c r="E95" s="18">
        <v>25000</v>
      </c>
      <c r="F95" s="477">
        <f>25000-700</f>
        <v>24300</v>
      </c>
      <c r="G95" s="477">
        <f>25000-700-6000</f>
        <v>18300</v>
      </c>
      <c r="H95" s="477">
        <f>25000-700-6000-500</f>
        <v>17800</v>
      </c>
      <c r="I95" s="477">
        <f>25000-700-6000-500+2500</f>
        <v>20300</v>
      </c>
      <c r="J95" s="18">
        <f>25000-700-6000-500+2500</f>
        <v>20300</v>
      </c>
      <c r="K95" s="18">
        <f>25000-700-6000-500+2500</f>
        <v>20300</v>
      </c>
      <c r="L95" s="18">
        <v>9530</v>
      </c>
      <c r="M95" s="466">
        <f t="shared" si="47"/>
        <v>0.46945812807881776</v>
      </c>
    </row>
    <row r="96" spans="1:13" ht="15.75" thickBot="1" x14ac:dyDescent="0.3">
      <c r="A96" s="137" t="s">
        <v>73</v>
      </c>
      <c r="B96" s="25" t="s">
        <v>74</v>
      </c>
      <c r="C96" s="18">
        <v>150</v>
      </c>
      <c r="D96" s="477">
        <f t="shared" ref="D96:K96" si="61">150+220</f>
        <v>370</v>
      </c>
      <c r="E96" s="18">
        <f t="shared" si="61"/>
        <v>370</v>
      </c>
      <c r="F96" s="18">
        <f t="shared" si="61"/>
        <v>370</v>
      </c>
      <c r="G96" s="18">
        <f t="shared" si="61"/>
        <v>370</v>
      </c>
      <c r="H96" s="18">
        <f t="shared" si="61"/>
        <v>370</v>
      </c>
      <c r="I96" s="18">
        <f t="shared" si="61"/>
        <v>370</v>
      </c>
      <c r="J96" s="18">
        <f t="shared" si="61"/>
        <v>370</v>
      </c>
      <c r="K96" s="18">
        <f t="shared" si="61"/>
        <v>370</v>
      </c>
      <c r="L96" s="18">
        <v>0</v>
      </c>
      <c r="M96" s="466">
        <f t="shared" si="47"/>
        <v>0</v>
      </c>
    </row>
    <row r="97" spans="1:13" ht="15.75" thickBot="1" x14ac:dyDescent="0.3">
      <c r="A97" s="652" t="s">
        <v>75</v>
      </c>
      <c r="B97" s="653"/>
      <c r="C97" s="38">
        <f t="shared" ref="C97:H97" si="62">SUM(C98:C101)</f>
        <v>112450</v>
      </c>
      <c r="D97" s="38">
        <f t="shared" si="62"/>
        <v>108600</v>
      </c>
      <c r="E97" s="38">
        <f t="shared" si="62"/>
        <v>108600</v>
      </c>
      <c r="F97" s="38">
        <f t="shared" si="62"/>
        <v>108600</v>
      </c>
      <c r="G97" s="38">
        <f t="shared" si="62"/>
        <v>108600</v>
      </c>
      <c r="H97" s="38">
        <f t="shared" si="62"/>
        <v>108600</v>
      </c>
      <c r="I97" s="38">
        <f t="shared" ref="I97:L97" si="63">SUM(I98:I101)</f>
        <v>108600</v>
      </c>
      <c r="J97" s="38">
        <f t="shared" si="63"/>
        <v>108300</v>
      </c>
      <c r="K97" s="38">
        <f t="shared" ref="K97" si="64">SUM(K98:K101)</f>
        <v>108300</v>
      </c>
      <c r="L97" s="38">
        <f t="shared" si="63"/>
        <v>76088</v>
      </c>
      <c r="M97" s="466">
        <f t="shared" si="47"/>
        <v>0.70256694367497696</v>
      </c>
    </row>
    <row r="98" spans="1:13" x14ac:dyDescent="0.25">
      <c r="A98" s="141" t="s">
        <v>76</v>
      </c>
      <c r="B98" s="52" t="s">
        <v>260</v>
      </c>
      <c r="C98" s="53">
        <v>66000</v>
      </c>
      <c r="D98" s="478">
        <f t="shared" ref="D98:K98" si="65">66000+150</f>
        <v>66150</v>
      </c>
      <c r="E98" s="47">
        <f t="shared" si="65"/>
        <v>66150</v>
      </c>
      <c r="F98" s="47">
        <f t="shared" si="65"/>
        <v>66150</v>
      </c>
      <c r="G98" s="47">
        <f t="shared" si="65"/>
        <v>66150</v>
      </c>
      <c r="H98" s="47">
        <f t="shared" si="65"/>
        <v>66150</v>
      </c>
      <c r="I98" s="47">
        <f t="shared" si="65"/>
        <v>66150</v>
      </c>
      <c r="J98" s="47">
        <f t="shared" si="65"/>
        <v>66150</v>
      </c>
      <c r="K98" s="47">
        <f t="shared" si="65"/>
        <v>66150</v>
      </c>
      <c r="L98" s="53">
        <v>44248</v>
      </c>
      <c r="M98" s="466">
        <f t="shared" si="47"/>
        <v>0.66890400604686318</v>
      </c>
    </row>
    <row r="99" spans="1:13" x14ac:dyDescent="0.25">
      <c r="A99" s="137" t="s">
        <v>77</v>
      </c>
      <c r="B99" s="467" t="s">
        <v>78</v>
      </c>
      <c r="C99" s="41">
        <v>36800</v>
      </c>
      <c r="D99" s="479">
        <f t="shared" ref="D99:K99" si="66">36800-4000</f>
        <v>32800</v>
      </c>
      <c r="E99" s="320">
        <f t="shared" si="66"/>
        <v>32800</v>
      </c>
      <c r="F99" s="320">
        <f t="shared" si="66"/>
        <v>32800</v>
      </c>
      <c r="G99" s="320">
        <f t="shared" si="66"/>
        <v>32800</v>
      </c>
      <c r="H99" s="320">
        <f t="shared" si="66"/>
        <v>32800</v>
      </c>
      <c r="I99" s="320">
        <f t="shared" si="66"/>
        <v>32800</v>
      </c>
      <c r="J99" s="320">
        <f t="shared" si="66"/>
        <v>32800</v>
      </c>
      <c r="K99" s="320">
        <f t="shared" si="66"/>
        <v>32800</v>
      </c>
      <c r="L99" s="41">
        <v>26919</v>
      </c>
      <c r="M99" s="466">
        <f t="shared" si="47"/>
        <v>0.8207012195121951</v>
      </c>
    </row>
    <row r="100" spans="1:13" x14ac:dyDescent="0.25">
      <c r="A100" s="139" t="s">
        <v>79</v>
      </c>
      <c r="B100" s="468" t="s">
        <v>80</v>
      </c>
      <c r="C100" s="55">
        <v>1450</v>
      </c>
      <c r="D100" s="308">
        <v>1450</v>
      </c>
      <c r="E100" s="499">
        <v>1450</v>
      </c>
      <c r="F100" s="499">
        <v>1450</v>
      </c>
      <c r="G100" s="499">
        <v>1450</v>
      </c>
      <c r="H100" s="499">
        <v>1450</v>
      </c>
      <c r="I100" s="499">
        <v>1450</v>
      </c>
      <c r="J100" s="587">
        <f>1450-300</f>
        <v>1150</v>
      </c>
      <c r="K100" s="499">
        <f>1450-300</f>
        <v>1150</v>
      </c>
      <c r="L100" s="306">
        <v>1073</v>
      </c>
      <c r="M100" s="466">
        <f t="shared" si="47"/>
        <v>0.93304347826086953</v>
      </c>
    </row>
    <row r="101" spans="1:13" ht="15.75" thickBot="1" x14ac:dyDescent="0.3">
      <c r="A101" s="142" t="s">
        <v>81</v>
      </c>
      <c r="B101" s="469" t="s">
        <v>170</v>
      </c>
      <c r="C101" s="57">
        <v>8200</v>
      </c>
      <c r="D101" s="309">
        <v>8200</v>
      </c>
      <c r="E101" s="309">
        <v>8200</v>
      </c>
      <c r="F101" s="309">
        <v>8200</v>
      </c>
      <c r="G101" s="309">
        <v>8200</v>
      </c>
      <c r="H101" s="309">
        <v>8200</v>
      </c>
      <c r="I101" s="309">
        <v>8200</v>
      </c>
      <c r="J101" s="309">
        <v>8200</v>
      </c>
      <c r="K101" s="309">
        <v>8200</v>
      </c>
      <c r="L101" s="309">
        <v>3848</v>
      </c>
      <c r="M101" s="466">
        <f t="shared" si="47"/>
        <v>0.4692682926829268</v>
      </c>
    </row>
    <row r="102" spans="1:13" ht="15.75" thickBot="1" x14ac:dyDescent="0.3">
      <c r="A102" s="36" t="s">
        <v>82</v>
      </c>
      <c r="B102" s="470"/>
      <c r="C102" s="38">
        <f t="shared" ref="C102:L102" si="67">SUM(C103:C105)</f>
        <v>167335</v>
      </c>
      <c r="D102" s="310">
        <f t="shared" si="67"/>
        <v>165110</v>
      </c>
      <c r="E102" s="310">
        <f t="shared" si="67"/>
        <v>165110</v>
      </c>
      <c r="F102" s="310">
        <f t="shared" si="67"/>
        <v>166710</v>
      </c>
      <c r="G102" s="310">
        <f t="shared" si="67"/>
        <v>168710</v>
      </c>
      <c r="H102" s="310">
        <f t="shared" si="67"/>
        <v>169210</v>
      </c>
      <c r="I102" s="310">
        <f t="shared" si="67"/>
        <v>169210</v>
      </c>
      <c r="J102" s="310">
        <f t="shared" si="67"/>
        <v>169610</v>
      </c>
      <c r="K102" s="310">
        <f t="shared" ref="K102" si="68">SUM(K103:K105)</f>
        <v>169610</v>
      </c>
      <c r="L102" s="310">
        <f t="shared" si="67"/>
        <v>98349</v>
      </c>
      <c r="M102" s="466">
        <f t="shared" si="47"/>
        <v>0.57985378220623784</v>
      </c>
    </row>
    <row r="103" spans="1:13" x14ac:dyDescent="0.25">
      <c r="A103" s="51" t="s">
        <v>83</v>
      </c>
      <c r="B103" s="471" t="s">
        <v>84</v>
      </c>
      <c r="C103" s="178">
        <v>128035</v>
      </c>
      <c r="D103" s="483">
        <f>128035-2000</f>
        <v>126035</v>
      </c>
      <c r="E103" s="319">
        <f>128035-2000</f>
        <v>126035</v>
      </c>
      <c r="F103" s="319">
        <f>128035-2000</f>
        <v>126035</v>
      </c>
      <c r="G103" s="483">
        <f>128035-2000+2000</f>
        <v>128035</v>
      </c>
      <c r="H103" s="319">
        <f>128035-2000+2000</f>
        <v>128035</v>
      </c>
      <c r="I103" s="319">
        <f>128035-2000+2000</f>
        <v>128035</v>
      </c>
      <c r="J103" s="483">
        <f>128035-2000+2000+400</f>
        <v>128435</v>
      </c>
      <c r="K103" s="319">
        <f>128035-2000+2000+400</f>
        <v>128435</v>
      </c>
      <c r="L103" s="319">
        <v>70479</v>
      </c>
      <c r="M103" s="466">
        <f t="shared" si="47"/>
        <v>0.54875228714914159</v>
      </c>
    </row>
    <row r="104" spans="1:13" x14ac:dyDescent="0.25">
      <c r="A104" s="58" t="s">
        <v>85</v>
      </c>
      <c r="B104" s="467" t="s">
        <v>86</v>
      </c>
      <c r="C104" s="41">
        <v>20800</v>
      </c>
      <c r="D104" s="479">
        <f t="shared" ref="D104:K104" si="69">20800-3000</f>
        <v>17800</v>
      </c>
      <c r="E104" s="320">
        <f t="shared" si="69"/>
        <v>17800</v>
      </c>
      <c r="F104" s="320">
        <f t="shared" si="69"/>
        <v>17800</v>
      </c>
      <c r="G104" s="320">
        <f t="shared" si="69"/>
        <v>17800</v>
      </c>
      <c r="H104" s="320">
        <f t="shared" si="69"/>
        <v>17800</v>
      </c>
      <c r="I104" s="320">
        <f t="shared" si="69"/>
        <v>17800</v>
      </c>
      <c r="J104" s="320">
        <f t="shared" si="69"/>
        <v>17800</v>
      </c>
      <c r="K104" s="320">
        <f t="shared" si="69"/>
        <v>17800</v>
      </c>
      <c r="L104" s="320">
        <v>14033</v>
      </c>
      <c r="M104" s="466">
        <f t="shared" si="47"/>
        <v>0.78837078651685388</v>
      </c>
    </row>
    <row r="105" spans="1:13" ht="15.75" thickBot="1" x14ac:dyDescent="0.3">
      <c r="A105" s="59" t="s">
        <v>87</v>
      </c>
      <c r="B105" s="469" t="s">
        <v>88</v>
      </c>
      <c r="C105" s="181">
        <v>18500</v>
      </c>
      <c r="D105" s="480">
        <f>18500+2400+375</f>
        <v>21275</v>
      </c>
      <c r="E105" s="312">
        <f>18500+2400+375</f>
        <v>21275</v>
      </c>
      <c r="F105" s="480">
        <f>18500+2400+375+1600</f>
        <v>22875</v>
      </c>
      <c r="G105" s="312">
        <f>18500+2400+375+1600</f>
        <v>22875</v>
      </c>
      <c r="H105" s="480">
        <f>18500+2400+375+1600+500</f>
        <v>23375</v>
      </c>
      <c r="I105" s="312">
        <f>18500+2400+375+1600+500</f>
        <v>23375</v>
      </c>
      <c r="J105" s="312">
        <f>18500+2400+375+1600+500</f>
        <v>23375</v>
      </c>
      <c r="K105" s="312">
        <f>18500+2400+375+1600+500</f>
        <v>23375</v>
      </c>
      <c r="L105" s="312">
        <v>13837</v>
      </c>
      <c r="M105" s="466">
        <f t="shared" si="47"/>
        <v>0.59195721925133693</v>
      </c>
    </row>
    <row r="106" spans="1:13" ht="15.75" thickBot="1" x14ac:dyDescent="0.3">
      <c r="A106" s="60" t="s">
        <v>89</v>
      </c>
      <c r="B106" s="472"/>
      <c r="C106" s="61">
        <f t="shared" ref="C106:L106" si="70">SUM(C107:C110)</f>
        <v>700</v>
      </c>
      <c r="D106" s="313">
        <f t="shared" si="70"/>
        <v>1000</v>
      </c>
      <c r="E106" s="313">
        <f t="shared" si="70"/>
        <v>1000</v>
      </c>
      <c r="F106" s="313">
        <f t="shared" si="70"/>
        <v>1000</v>
      </c>
      <c r="G106" s="313">
        <f t="shared" si="70"/>
        <v>1000</v>
      </c>
      <c r="H106" s="313">
        <f t="shared" si="70"/>
        <v>1000</v>
      </c>
      <c r="I106" s="313">
        <f t="shared" si="70"/>
        <v>1000</v>
      </c>
      <c r="J106" s="313">
        <f t="shared" si="70"/>
        <v>1000</v>
      </c>
      <c r="K106" s="313">
        <f t="shared" ref="K106" si="71">SUM(K107:K110)</f>
        <v>1000</v>
      </c>
      <c r="L106" s="313">
        <f t="shared" si="70"/>
        <v>834</v>
      </c>
      <c r="M106" s="466">
        <f t="shared" si="47"/>
        <v>0.83399999999999996</v>
      </c>
    </row>
    <row r="107" spans="1:13" x14ac:dyDescent="0.25">
      <c r="A107" s="45" t="s">
        <v>90</v>
      </c>
      <c r="B107" s="473" t="s">
        <v>91</v>
      </c>
      <c r="C107" s="53">
        <v>50</v>
      </c>
      <c r="D107" s="53">
        <v>50</v>
      </c>
      <c r="E107" s="53">
        <v>50</v>
      </c>
      <c r="F107" s="53">
        <v>50</v>
      </c>
      <c r="G107" s="53">
        <v>50</v>
      </c>
      <c r="H107" s="53">
        <v>50</v>
      </c>
      <c r="I107" s="53">
        <v>50</v>
      </c>
      <c r="J107" s="53">
        <v>50</v>
      </c>
      <c r="K107" s="53">
        <v>50</v>
      </c>
      <c r="L107" s="314">
        <v>40</v>
      </c>
      <c r="M107" s="466">
        <f t="shared" si="47"/>
        <v>0.8</v>
      </c>
    </row>
    <row r="108" spans="1:13" x14ac:dyDescent="0.25">
      <c r="A108" s="58" t="s">
        <v>92</v>
      </c>
      <c r="B108" s="467" t="s">
        <v>93</v>
      </c>
      <c r="C108" s="179">
        <v>50</v>
      </c>
      <c r="D108" s="179">
        <v>50</v>
      </c>
      <c r="E108" s="179">
        <v>50</v>
      </c>
      <c r="F108" s="179">
        <v>50</v>
      </c>
      <c r="G108" s="179">
        <v>50</v>
      </c>
      <c r="H108" s="179">
        <v>50</v>
      </c>
      <c r="I108" s="179">
        <v>50</v>
      </c>
      <c r="J108" s="179">
        <v>50</v>
      </c>
      <c r="K108" s="179">
        <v>50</v>
      </c>
      <c r="L108" s="321">
        <v>28</v>
      </c>
      <c r="M108" s="466">
        <f t="shared" si="47"/>
        <v>0.56000000000000005</v>
      </c>
    </row>
    <row r="109" spans="1:13" ht="15.75" thickBot="1" x14ac:dyDescent="0.3">
      <c r="A109" s="59" t="s">
        <v>94</v>
      </c>
      <c r="B109" s="469" t="s">
        <v>358</v>
      </c>
      <c r="C109" s="57">
        <v>300</v>
      </c>
      <c r="D109" s="481">
        <f t="shared" ref="D109:K109" si="72">300+300</f>
        <v>600</v>
      </c>
      <c r="E109" s="181">
        <f t="shared" si="72"/>
        <v>600</v>
      </c>
      <c r="F109" s="181">
        <f t="shared" si="72"/>
        <v>600</v>
      </c>
      <c r="G109" s="181">
        <f t="shared" si="72"/>
        <v>600</v>
      </c>
      <c r="H109" s="181">
        <f t="shared" si="72"/>
        <v>600</v>
      </c>
      <c r="I109" s="181">
        <f t="shared" si="72"/>
        <v>600</v>
      </c>
      <c r="J109" s="181">
        <f t="shared" si="72"/>
        <v>600</v>
      </c>
      <c r="K109" s="181">
        <f t="shared" si="72"/>
        <v>600</v>
      </c>
      <c r="L109" s="309">
        <v>466</v>
      </c>
      <c r="M109" s="466">
        <f t="shared" si="47"/>
        <v>0.77666666666666662</v>
      </c>
    </row>
    <row r="110" spans="1:13" ht="15.75" thickBot="1" x14ac:dyDescent="0.3">
      <c r="A110" s="279" t="s">
        <v>242</v>
      </c>
      <c r="B110" s="474" t="s">
        <v>261</v>
      </c>
      <c r="C110" s="42">
        <v>300</v>
      </c>
      <c r="D110" s="42">
        <v>300</v>
      </c>
      <c r="E110" s="42">
        <v>300</v>
      </c>
      <c r="F110" s="42">
        <v>300</v>
      </c>
      <c r="G110" s="42">
        <v>300</v>
      </c>
      <c r="H110" s="42">
        <v>300</v>
      </c>
      <c r="I110" s="42">
        <v>300</v>
      </c>
      <c r="J110" s="42">
        <v>300</v>
      </c>
      <c r="K110" s="42">
        <v>300</v>
      </c>
      <c r="L110" s="316">
        <v>300</v>
      </c>
      <c r="M110" s="466">
        <f t="shared" si="47"/>
        <v>1</v>
      </c>
    </row>
    <row r="111" spans="1:13" ht="15.75" thickBot="1" x14ac:dyDescent="0.3">
      <c r="A111" s="62" t="s">
        <v>96</v>
      </c>
      <c r="B111" s="475"/>
      <c r="C111" s="64">
        <f t="shared" ref="C111:L111" si="73">SUM(C112:C116)</f>
        <v>132750</v>
      </c>
      <c r="D111" s="317">
        <f t="shared" si="73"/>
        <v>147184</v>
      </c>
      <c r="E111" s="317">
        <f t="shared" si="73"/>
        <v>153184</v>
      </c>
      <c r="F111" s="317">
        <f t="shared" si="73"/>
        <v>173884</v>
      </c>
      <c r="G111" s="317">
        <f t="shared" si="73"/>
        <v>168984</v>
      </c>
      <c r="H111" s="317">
        <f t="shared" si="73"/>
        <v>168984</v>
      </c>
      <c r="I111" s="317">
        <f t="shared" si="73"/>
        <v>161584</v>
      </c>
      <c r="J111" s="317">
        <f t="shared" si="73"/>
        <v>156814</v>
      </c>
      <c r="K111" s="317">
        <f t="shared" ref="K111" si="74">SUM(K112:K116)</f>
        <v>156814</v>
      </c>
      <c r="L111" s="317">
        <f t="shared" si="73"/>
        <v>116463</v>
      </c>
      <c r="M111" s="466">
        <f t="shared" si="47"/>
        <v>0.74268241356001374</v>
      </c>
    </row>
    <row r="112" spans="1:13" x14ac:dyDescent="0.25">
      <c r="A112" s="141" t="s">
        <v>97</v>
      </c>
      <c r="B112" s="52" t="s">
        <v>359</v>
      </c>
      <c r="C112" s="47">
        <v>20700</v>
      </c>
      <c r="D112" s="478">
        <f>20700+500+904</f>
        <v>22104</v>
      </c>
      <c r="E112" s="47">
        <f>20700+500+904</f>
        <v>22104</v>
      </c>
      <c r="F112" s="478">
        <f>20700+500+904-800-1300</f>
        <v>20004</v>
      </c>
      <c r="G112" s="47">
        <f>20700+500+904-800-1300</f>
        <v>20004</v>
      </c>
      <c r="H112" s="47">
        <f>20700+500+904-800-1300</f>
        <v>20004</v>
      </c>
      <c r="I112" s="47">
        <f>20700+500+904-800-1300</f>
        <v>20004</v>
      </c>
      <c r="J112" s="478">
        <f>20700+500+904-800-1300-850</f>
        <v>19154</v>
      </c>
      <c r="K112" s="47">
        <f>20700+500+904-800-1300-850</f>
        <v>19154</v>
      </c>
      <c r="L112" s="322">
        <v>16146</v>
      </c>
      <c r="M112" s="466">
        <f t="shared" si="47"/>
        <v>0.84295708468205077</v>
      </c>
    </row>
    <row r="113" spans="1:17" x14ac:dyDescent="0.25">
      <c r="A113" s="144" t="s">
        <v>99</v>
      </c>
      <c r="B113" s="65" t="s">
        <v>198</v>
      </c>
      <c r="C113" s="15">
        <v>81800</v>
      </c>
      <c r="D113" s="482">
        <f>81800+2400+4600</f>
        <v>88800</v>
      </c>
      <c r="E113" s="15">
        <f>81800+2400+4600</f>
        <v>88800</v>
      </c>
      <c r="F113" s="482">
        <f>81800+2400+4600+2250+2000+3000+50+2800+3000</f>
        <v>101900</v>
      </c>
      <c r="G113" s="482">
        <f>81800+2400+4600+2250+2000+3000+50+2800+3000-1500-2400-1000</f>
        <v>97000</v>
      </c>
      <c r="H113" s="482">
        <f>81800+2400+4600+2250+2000+3000+50+2800+3000-1500-2400-1000+150</f>
        <v>97150</v>
      </c>
      <c r="I113" s="482">
        <f>81800+2400+4600+2250+2000+3000+50+2800+3000-1500-2400-1000+150-7800</f>
        <v>89350</v>
      </c>
      <c r="J113" s="482">
        <f>81800+2400+4600+2250+2000+3000+50+2800+3000-1500-2400-1000+150-7800-1900-520</f>
        <v>86930</v>
      </c>
      <c r="K113" s="482">
        <f>81800+2400+4600+2250+2000+3000+50+2800+3000-1500-2400-1000+150-7800-1900-520-100-700</f>
        <v>86130</v>
      </c>
      <c r="L113" s="323">
        <v>71883</v>
      </c>
      <c r="M113" s="466">
        <f t="shared" ref="M113:M144" si="75">L113/K113</f>
        <v>0.83458725182863114</v>
      </c>
    </row>
    <row r="114" spans="1:17" x14ac:dyDescent="0.25">
      <c r="A114" s="144" t="s">
        <v>100</v>
      </c>
      <c r="B114" s="39" t="s">
        <v>101</v>
      </c>
      <c r="C114" s="15">
        <v>3950</v>
      </c>
      <c r="D114" s="15">
        <v>3950</v>
      </c>
      <c r="E114" s="15">
        <v>3950</v>
      </c>
      <c r="F114" s="15">
        <v>3950</v>
      </c>
      <c r="G114" s="15">
        <v>3950</v>
      </c>
      <c r="H114" s="15">
        <v>3950</v>
      </c>
      <c r="I114" s="15">
        <v>3950</v>
      </c>
      <c r="J114" s="482">
        <f>3950+100</f>
        <v>4050</v>
      </c>
      <c r="K114" s="482">
        <f>3950+100+100</f>
        <v>4150</v>
      </c>
      <c r="L114" s="15">
        <v>2918</v>
      </c>
      <c r="M114" s="466">
        <f t="shared" si="75"/>
        <v>0.70313253012048194</v>
      </c>
    </row>
    <row r="115" spans="1:17" x14ac:dyDescent="0.25">
      <c r="A115" s="144" t="s">
        <v>102</v>
      </c>
      <c r="B115" s="39" t="s">
        <v>103</v>
      </c>
      <c r="C115" s="15">
        <v>16300</v>
      </c>
      <c r="D115" s="482">
        <f t="shared" ref="D115:K115" si="76">16300+30</f>
        <v>16330</v>
      </c>
      <c r="E115" s="15">
        <f t="shared" si="76"/>
        <v>16330</v>
      </c>
      <c r="F115" s="15">
        <f t="shared" si="76"/>
        <v>16330</v>
      </c>
      <c r="G115" s="15">
        <f t="shared" si="76"/>
        <v>16330</v>
      </c>
      <c r="H115" s="15">
        <f t="shared" si="76"/>
        <v>16330</v>
      </c>
      <c r="I115" s="15">
        <f t="shared" si="76"/>
        <v>16330</v>
      </c>
      <c r="J115" s="15">
        <f t="shared" si="76"/>
        <v>16330</v>
      </c>
      <c r="K115" s="15">
        <f t="shared" si="76"/>
        <v>16330</v>
      </c>
      <c r="L115" s="15">
        <v>10200</v>
      </c>
      <c r="M115" s="466">
        <f t="shared" si="75"/>
        <v>0.6246172688303735</v>
      </c>
    </row>
    <row r="116" spans="1:17" ht="15.75" thickBot="1" x14ac:dyDescent="0.3">
      <c r="A116" s="142" t="s">
        <v>104</v>
      </c>
      <c r="B116" s="56" t="s">
        <v>361</v>
      </c>
      <c r="C116" s="181">
        <v>10000</v>
      </c>
      <c r="D116" s="481">
        <f>10000+6000</f>
        <v>16000</v>
      </c>
      <c r="E116" s="481">
        <f>10000+6000+6000</f>
        <v>22000</v>
      </c>
      <c r="F116" s="481">
        <f>10000+6000+6000+8800+700+200</f>
        <v>31700</v>
      </c>
      <c r="G116" s="181">
        <f>10000+6000+6000+8800+700+200</f>
        <v>31700</v>
      </c>
      <c r="H116" s="481">
        <f>10000+6000+6000+8800+700+200-150</f>
        <v>31550</v>
      </c>
      <c r="I116" s="481">
        <f>10000+6000+6000+8800+700+200-150-2100+2500</f>
        <v>31950</v>
      </c>
      <c r="J116" s="481">
        <f>10000+6000+6000+8800+700+200-150-2100+2500-1600</f>
        <v>30350</v>
      </c>
      <c r="K116" s="481">
        <f>10000+6000+6000+8800+700+200-150-2100+2500-1600+700</f>
        <v>31050</v>
      </c>
      <c r="L116" s="181">
        <v>15316</v>
      </c>
      <c r="M116" s="466">
        <f t="shared" si="75"/>
        <v>0.49326892109500803</v>
      </c>
    </row>
    <row r="117" spans="1:17" ht="15.75" thickBot="1" x14ac:dyDescent="0.3">
      <c r="A117" s="43" t="s">
        <v>105</v>
      </c>
      <c r="B117" s="44"/>
      <c r="C117" s="38">
        <f t="shared" ref="C117:G117" si="77">SUM(C118:C126)</f>
        <v>309800</v>
      </c>
      <c r="D117" s="38">
        <f t="shared" si="77"/>
        <v>309800</v>
      </c>
      <c r="E117" s="38">
        <f t="shared" si="77"/>
        <v>311800</v>
      </c>
      <c r="F117" s="38">
        <f t="shared" si="77"/>
        <v>314800</v>
      </c>
      <c r="G117" s="38">
        <f t="shared" si="77"/>
        <v>323700</v>
      </c>
      <c r="H117" s="38">
        <f t="shared" ref="H117:L117" si="78">SUM(H118:H126)</f>
        <v>331757</v>
      </c>
      <c r="I117" s="38">
        <f t="shared" si="78"/>
        <v>332557</v>
      </c>
      <c r="J117" s="38">
        <f t="shared" si="78"/>
        <v>332867</v>
      </c>
      <c r="K117" s="38">
        <f t="shared" ref="K117" si="79">SUM(K118:K126)</f>
        <v>332867</v>
      </c>
      <c r="L117" s="38">
        <f t="shared" si="78"/>
        <v>231961</v>
      </c>
      <c r="M117" s="466">
        <f t="shared" si="75"/>
        <v>0.69685790420798699</v>
      </c>
    </row>
    <row r="118" spans="1:17" x14ac:dyDescent="0.25">
      <c r="A118" s="66" t="s">
        <v>106</v>
      </c>
      <c r="B118" s="67" t="s">
        <v>107</v>
      </c>
      <c r="C118" s="86">
        <v>149400</v>
      </c>
      <c r="D118" s="86">
        <f>149400</f>
        <v>149400</v>
      </c>
      <c r="E118" s="86">
        <f>149400</f>
        <v>149400</v>
      </c>
      <c r="F118" s="506">
        <f>149400+3000</f>
        <v>152400</v>
      </c>
      <c r="G118" s="506">
        <f>149400+3000+1700+4500</f>
        <v>158600</v>
      </c>
      <c r="H118" s="86">
        <f>149400+3000+1700+4500</f>
        <v>158600</v>
      </c>
      <c r="I118" s="86">
        <f>149400+3000+1700+4500</f>
        <v>158600</v>
      </c>
      <c r="J118" s="506">
        <f>149400+3000+1700+4500+310</f>
        <v>158910</v>
      </c>
      <c r="K118" s="86">
        <f>149400+3000+1700+4500+310</f>
        <v>158910</v>
      </c>
      <c r="L118" s="86">
        <v>113130</v>
      </c>
      <c r="M118" s="466">
        <f t="shared" si="75"/>
        <v>0.71191240324712102</v>
      </c>
    </row>
    <row r="119" spans="1:17" x14ac:dyDescent="0.25">
      <c r="A119" s="505" t="s">
        <v>444</v>
      </c>
      <c r="B119" s="14" t="s">
        <v>446</v>
      </c>
      <c r="C119" s="169">
        <v>0</v>
      </c>
      <c r="D119" s="169">
        <v>0</v>
      </c>
      <c r="E119" s="492">
        <v>1000</v>
      </c>
      <c r="F119" s="169">
        <v>1000</v>
      </c>
      <c r="G119" s="169">
        <v>1000</v>
      </c>
      <c r="H119" s="169">
        <v>1000</v>
      </c>
      <c r="I119" s="492">
        <f t="shared" ref="I119:K120" si="80">1000+400</f>
        <v>1400</v>
      </c>
      <c r="J119" s="169">
        <f t="shared" si="80"/>
        <v>1400</v>
      </c>
      <c r="K119" s="169">
        <f t="shared" si="80"/>
        <v>1400</v>
      </c>
      <c r="L119" s="168">
        <v>0</v>
      </c>
      <c r="M119" s="466">
        <f t="shared" si="75"/>
        <v>0</v>
      </c>
    </row>
    <row r="120" spans="1:17" x14ac:dyDescent="0.25">
      <c r="A120" s="505" t="s">
        <v>445</v>
      </c>
      <c r="B120" s="14" t="s">
        <v>447</v>
      </c>
      <c r="C120" s="169">
        <v>0</v>
      </c>
      <c r="D120" s="169">
        <v>0</v>
      </c>
      <c r="E120" s="492">
        <v>1000</v>
      </c>
      <c r="F120" s="169">
        <v>1000</v>
      </c>
      <c r="G120" s="169">
        <v>1000</v>
      </c>
      <c r="H120" s="169">
        <v>1000</v>
      </c>
      <c r="I120" s="492">
        <f t="shared" si="80"/>
        <v>1400</v>
      </c>
      <c r="J120" s="169">
        <f t="shared" si="80"/>
        <v>1400</v>
      </c>
      <c r="K120" s="169">
        <f t="shared" si="80"/>
        <v>1400</v>
      </c>
      <c r="L120" s="168">
        <v>0</v>
      </c>
      <c r="M120" s="466">
        <f t="shared" si="75"/>
        <v>0</v>
      </c>
    </row>
    <row r="121" spans="1:17" x14ac:dyDescent="0.25">
      <c r="A121" s="68" t="s">
        <v>108</v>
      </c>
      <c r="B121" s="17" t="s">
        <v>196</v>
      </c>
      <c r="C121" s="168">
        <v>3000</v>
      </c>
      <c r="D121" s="168">
        <v>3000</v>
      </c>
      <c r="E121" s="168">
        <v>3000</v>
      </c>
      <c r="F121" s="168">
        <v>3000</v>
      </c>
      <c r="G121" s="168">
        <v>3000</v>
      </c>
      <c r="H121" s="168">
        <v>3000</v>
      </c>
      <c r="I121" s="168">
        <v>3000</v>
      </c>
      <c r="J121" s="168">
        <v>3000</v>
      </c>
      <c r="K121" s="168">
        <v>3000</v>
      </c>
      <c r="L121" s="168">
        <v>1496</v>
      </c>
      <c r="M121" s="466">
        <f t="shared" si="75"/>
        <v>0.49866666666666665</v>
      </c>
    </row>
    <row r="122" spans="1:17" x14ac:dyDescent="0.25">
      <c r="A122" s="68" t="s">
        <v>109</v>
      </c>
      <c r="B122" s="17" t="s">
        <v>110</v>
      </c>
      <c r="C122" s="168">
        <v>27800</v>
      </c>
      <c r="D122" s="168">
        <v>27800</v>
      </c>
      <c r="E122" s="168">
        <f>27800-300+300</f>
        <v>27800</v>
      </c>
      <c r="F122" s="168">
        <f>27800-300+300</f>
        <v>27800</v>
      </c>
      <c r="G122" s="465">
        <f>27800-300+300+570</f>
        <v>28370</v>
      </c>
      <c r="H122" s="465">
        <f>27800-300+300+570+1220</f>
        <v>29590</v>
      </c>
      <c r="I122" s="465">
        <f>27800-300+300+570+1220-700</f>
        <v>28890</v>
      </c>
      <c r="J122" s="168">
        <f>27800-300+300+570+1220-700</f>
        <v>28890</v>
      </c>
      <c r="K122" s="168">
        <f>27800-300+300+570+1220-700</f>
        <v>28890</v>
      </c>
      <c r="L122" s="168">
        <v>19997</v>
      </c>
      <c r="M122" s="466">
        <f t="shared" si="75"/>
        <v>0.69217722395292491</v>
      </c>
    </row>
    <row r="123" spans="1:17" x14ac:dyDescent="0.25">
      <c r="A123" s="68" t="s">
        <v>111</v>
      </c>
      <c r="B123" s="17" t="s">
        <v>112</v>
      </c>
      <c r="C123" s="18">
        <v>41200</v>
      </c>
      <c r="D123" s="18">
        <v>41200</v>
      </c>
      <c r="E123" s="18">
        <f t="shared" ref="E123:F124" si="81">41200-400+400</f>
        <v>41200</v>
      </c>
      <c r="F123" s="18">
        <f t="shared" si="81"/>
        <v>41200</v>
      </c>
      <c r="G123" s="477">
        <f>41200-400+400+780</f>
        <v>41980</v>
      </c>
      <c r="H123" s="477">
        <f>41200-400+400+780-600</f>
        <v>41380</v>
      </c>
      <c r="I123" s="18">
        <f>41200-400+400+780-600</f>
        <v>41380</v>
      </c>
      <c r="J123" s="18">
        <f>41200-400+400+780-600</f>
        <v>41380</v>
      </c>
      <c r="K123" s="18">
        <f>41200-400+400+780-600</f>
        <v>41380</v>
      </c>
      <c r="L123" s="18">
        <v>29116</v>
      </c>
      <c r="M123" s="466">
        <f t="shared" si="75"/>
        <v>0.70362493958434025</v>
      </c>
    </row>
    <row r="124" spans="1:17" x14ac:dyDescent="0.25">
      <c r="A124" s="68" t="s">
        <v>113</v>
      </c>
      <c r="B124" s="17" t="s">
        <v>114</v>
      </c>
      <c r="C124" s="18">
        <v>41200</v>
      </c>
      <c r="D124" s="18">
        <v>41200</v>
      </c>
      <c r="E124" s="18">
        <f t="shared" si="81"/>
        <v>41200</v>
      </c>
      <c r="F124" s="18">
        <f t="shared" si="81"/>
        <v>41200</v>
      </c>
      <c r="G124" s="477">
        <f>41200-400+400+780</f>
        <v>41980</v>
      </c>
      <c r="H124" s="477">
        <f>41200-400+400+780+6020</f>
        <v>48000</v>
      </c>
      <c r="I124" s="477">
        <f>41200-400+400+780+6020+700</f>
        <v>48700</v>
      </c>
      <c r="J124" s="18">
        <f>41200-400+400+780+6020+700</f>
        <v>48700</v>
      </c>
      <c r="K124" s="18">
        <f>41200-400+400+780+6020+700</f>
        <v>48700</v>
      </c>
      <c r="L124" s="18">
        <v>31685</v>
      </c>
      <c r="M124" s="466">
        <f t="shared" si="75"/>
        <v>0.65061601642710476</v>
      </c>
    </row>
    <row r="125" spans="1:17" x14ac:dyDescent="0.25">
      <c r="A125" s="69" t="s">
        <v>115</v>
      </c>
      <c r="B125" s="17" t="s">
        <v>362</v>
      </c>
      <c r="C125" s="70">
        <v>43900</v>
      </c>
      <c r="D125" s="70">
        <v>43900</v>
      </c>
      <c r="E125" s="70">
        <f>43900+1100-1100</f>
        <v>43900</v>
      </c>
      <c r="F125" s="70">
        <f>43900+1100-1100</f>
        <v>43900</v>
      </c>
      <c r="G125" s="561">
        <f>43900+1100-1100+570</f>
        <v>44470</v>
      </c>
      <c r="H125" s="561">
        <f>43900+1100-1100+570+1417</f>
        <v>45887</v>
      </c>
      <c r="I125" s="70">
        <f>43900+1100-1100+570+1417</f>
        <v>45887</v>
      </c>
      <c r="J125" s="70">
        <f>43900+1100-1100+570+1417</f>
        <v>45887</v>
      </c>
      <c r="K125" s="70">
        <f>43900+1100-1100+570+1417</f>
        <v>45887</v>
      </c>
      <c r="L125" s="70">
        <v>33336</v>
      </c>
      <c r="M125" s="466">
        <f t="shared" si="75"/>
        <v>0.72648026674221455</v>
      </c>
      <c r="O125" s="123"/>
      <c r="P125" s="123"/>
      <c r="Q125" s="123"/>
    </row>
    <row r="126" spans="1:17" ht="15.75" thickBot="1" x14ac:dyDescent="0.3">
      <c r="A126" s="68" t="s">
        <v>117</v>
      </c>
      <c r="B126" s="17" t="s">
        <v>118</v>
      </c>
      <c r="C126" s="70">
        <v>3300</v>
      </c>
      <c r="D126" s="70">
        <v>3300</v>
      </c>
      <c r="E126" s="70">
        <v>3300</v>
      </c>
      <c r="F126" s="70">
        <v>3300</v>
      </c>
      <c r="G126" s="70">
        <v>3300</v>
      </c>
      <c r="H126" s="70">
        <v>3300</v>
      </c>
      <c r="I126" s="70">
        <v>3300</v>
      </c>
      <c r="J126" s="70">
        <v>3300</v>
      </c>
      <c r="K126" s="70">
        <v>3300</v>
      </c>
      <c r="L126" s="70">
        <v>3201</v>
      </c>
      <c r="M126" s="466">
        <f t="shared" si="75"/>
        <v>0.97</v>
      </c>
    </row>
    <row r="127" spans="1:17" ht="15.75" thickBot="1" x14ac:dyDescent="0.3">
      <c r="A127" s="36" t="s">
        <v>119</v>
      </c>
      <c r="B127" s="37"/>
      <c r="C127" s="38">
        <f t="shared" ref="C127:G127" si="82">SUM(C128:C132)</f>
        <v>307100</v>
      </c>
      <c r="D127" s="38">
        <f t="shared" si="82"/>
        <v>309680</v>
      </c>
      <c r="E127" s="38">
        <f t="shared" si="82"/>
        <v>310480</v>
      </c>
      <c r="F127" s="38">
        <f t="shared" si="82"/>
        <v>310480</v>
      </c>
      <c r="G127" s="38">
        <f t="shared" si="82"/>
        <v>345480</v>
      </c>
      <c r="H127" s="38">
        <f t="shared" ref="H127:L127" si="83">SUM(H128:H132)</f>
        <v>345480</v>
      </c>
      <c r="I127" s="38">
        <f t="shared" si="83"/>
        <v>345980</v>
      </c>
      <c r="J127" s="38">
        <f t="shared" si="83"/>
        <v>345980</v>
      </c>
      <c r="K127" s="38">
        <f t="shared" ref="K127" si="84">SUM(K128:K132)</f>
        <v>346380</v>
      </c>
      <c r="L127" s="38">
        <f t="shared" si="83"/>
        <v>166353</v>
      </c>
      <c r="M127" s="466">
        <f t="shared" si="75"/>
        <v>0.48026156244586871</v>
      </c>
    </row>
    <row r="128" spans="1:17" x14ac:dyDescent="0.25">
      <c r="A128" s="144" t="s">
        <v>120</v>
      </c>
      <c r="B128" s="39" t="s">
        <v>262</v>
      </c>
      <c r="C128" s="15">
        <v>276500</v>
      </c>
      <c r="D128" s="482">
        <f>276500+1080+1500</f>
        <v>279080</v>
      </c>
      <c r="E128" s="15">
        <f>276500+1080+1500</f>
        <v>279080</v>
      </c>
      <c r="F128" s="15">
        <f>276500+1080+1500</f>
        <v>279080</v>
      </c>
      <c r="G128" s="482">
        <f>276500+1080+1500+31000</f>
        <v>310080</v>
      </c>
      <c r="H128" s="15">
        <f>276500+1080+1500+31000</f>
        <v>310080</v>
      </c>
      <c r="I128" s="15">
        <f>276500+1080+1500+31000</f>
        <v>310080</v>
      </c>
      <c r="J128" s="15">
        <f>276500+1080+1500+31000</f>
        <v>310080</v>
      </c>
      <c r="K128" s="15">
        <f>276500+1080+1500+31000</f>
        <v>310080</v>
      </c>
      <c r="L128" s="15">
        <v>153390</v>
      </c>
      <c r="M128" s="466">
        <f t="shared" si="75"/>
        <v>0.49467879256965946</v>
      </c>
    </row>
    <row r="129" spans="1:22" x14ac:dyDescent="0.25">
      <c r="A129" s="144" t="s">
        <v>121</v>
      </c>
      <c r="B129" s="39" t="s">
        <v>167</v>
      </c>
      <c r="C129" s="15">
        <v>8200</v>
      </c>
      <c r="D129" s="15">
        <v>8200</v>
      </c>
      <c r="E129" s="15">
        <v>8200</v>
      </c>
      <c r="F129" s="15">
        <v>8200</v>
      </c>
      <c r="G129" s="15">
        <v>8200</v>
      </c>
      <c r="H129" s="15">
        <v>8200</v>
      </c>
      <c r="I129" s="15">
        <v>8200</v>
      </c>
      <c r="J129" s="15">
        <v>8200</v>
      </c>
      <c r="K129" s="15">
        <v>8200</v>
      </c>
      <c r="L129" s="40">
        <v>3241</v>
      </c>
      <c r="M129" s="466">
        <f t="shared" si="75"/>
        <v>0.39524390243902441</v>
      </c>
    </row>
    <row r="130" spans="1:22" x14ac:dyDescent="0.25">
      <c r="A130" s="137" t="s">
        <v>122</v>
      </c>
      <c r="B130" s="25" t="s">
        <v>168</v>
      </c>
      <c r="C130" s="41">
        <v>21400</v>
      </c>
      <c r="D130" s="41">
        <v>21400</v>
      </c>
      <c r="E130" s="477">
        <f>21400+500</f>
        <v>21900</v>
      </c>
      <c r="F130" s="18">
        <f>21400+500</f>
        <v>21900</v>
      </c>
      <c r="G130" s="477">
        <f>21400+500+4000</f>
        <v>25900</v>
      </c>
      <c r="H130" s="18">
        <f>21400+500+4000</f>
        <v>25900</v>
      </c>
      <c r="I130" s="477">
        <f>21400+500+4000+500</f>
        <v>26400</v>
      </c>
      <c r="J130" s="18">
        <f>21400+500+4000+500</f>
        <v>26400</v>
      </c>
      <c r="K130" s="477">
        <f>21400+500+4000+500+400</f>
        <v>26800</v>
      </c>
      <c r="L130" s="41">
        <v>9422</v>
      </c>
      <c r="M130" s="466">
        <f t="shared" si="75"/>
        <v>0.3515671641791045</v>
      </c>
      <c r="P130" s="123"/>
    </row>
    <row r="131" spans="1:22" x14ac:dyDescent="0.25">
      <c r="A131" s="137" t="s">
        <v>123</v>
      </c>
      <c r="B131" s="25" t="s">
        <v>124</v>
      </c>
      <c r="C131" s="41">
        <v>500</v>
      </c>
      <c r="D131" s="41">
        <v>500</v>
      </c>
      <c r="E131" s="41">
        <v>500</v>
      </c>
      <c r="F131" s="18">
        <v>500</v>
      </c>
      <c r="G131" s="18">
        <v>500</v>
      </c>
      <c r="H131" s="18">
        <v>500</v>
      </c>
      <c r="I131" s="18">
        <v>500</v>
      </c>
      <c r="J131" s="18">
        <v>500</v>
      </c>
      <c r="K131" s="18">
        <v>500</v>
      </c>
      <c r="L131" s="41">
        <v>0</v>
      </c>
      <c r="M131" s="466">
        <f t="shared" si="75"/>
        <v>0</v>
      </c>
    </row>
    <row r="132" spans="1:22" ht="15.75" thickBot="1" x14ac:dyDescent="0.3">
      <c r="A132" s="142" t="s">
        <v>125</v>
      </c>
      <c r="B132" s="56" t="s">
        <v>126</v>
      </c>
      <c r="C132" s="57">
        <v>500</v>
      </c>
      <c r="D132" s="57">
        <v>500</v>
      </c>
      <c r="E132" s="481">
        <f t="shared" ref="E132:K132" si="85">500+300</f>
        <v>800</v>
      </c>
      <c r="F132" s="181">
        <f t="shared" si="85"/>
        <v>800</v>
      </c>
      <c r="G132" s="181">
        <f t="shared" si="85"/>
        <v>800</v>
      </c>
      <c r="H132" s="181">
        <f t="shared" si="85"/>
        <v>800</v>
      </c>
      <c r="I132" s="181">
        <f t="shared" si="85"/>
        <v>800</v>
      </c>
      <c r="J132" s="181">
        <f t="shared" si="85"/>
        <v>800</v>
      </c>
      <c r="K132" s="181">
        <f t="shared" si="85"/>
        <v>800</v>
      </c>
      <c r="L132" s="57">
        <v>300</v>
      </c>
      <c r="M132" s="466">
        <f t="shared" si="75"/>
        <v>0.375</v>
      </c>
      <c r="N132" s="123"/>
      <c r="O132" s="123"/>
    </row>
    <row r="133" spans="1:22" ht="21.75" customHeight="1" thickBot="1" x14ac:dyDescent="0.3">
      <c r="A133" s="71" t="s">
        <v>127</v>
      </c>
      <c r="B133" s="143"/>
      <c r="C133" s="72">
        <f t="shared" ref="C133:L133" si="86">SUM(C81+C87+C89+C92+C97+C102+C106+C111+C117+C127)</f>
        <v>1382145</v>
      </c>
      <c r="D133" s="72">
        <f t="shared" si="86"/>
        <v>1411816</v>
      </c>
      <c r="E133" s="72">
        <f t="shared" si="86"/>
        <v>1418761</v>
      </c>
      <c r="F133" s="72">
        <f t="shared" si="86"/>
        <v>1444506</v>
      </c>
      <c r="G133" s="72">
        <f t="shared" si="86"/>
        <v>1485506</v>
      </c>
      <c r="H133" s="72">
        <f t="shared" si="86"/>
        <v>1493563</v>
      </c>
      <c r="I133" s="72">
        <f t="shared" si="86"/>
        <v>1489963</v>
      </c>
      <c r="J133" s="72">
        <f t="shared" si="86"/>
        <v>1490273</v>
      </c>
      <c r="K133" s="72">
        <f t="shared" ref="K133" si="87">SUM(K81+K87+K89+K92+K97+K102+K106+K111+K117+K127)</f>
        <v>1491273</v>
      </c>
      <c r="L133" s="72">
        <f t="shared" si="86"/>
        <v>903140</v>
      </c>
      <c r="M133" s="466">
        <f t="shared" si="75"/>
        <v>0.60561681194523065</v>
      </c>
      <c r="N133" s="123">
        <f t="shared" ref="N133:U133" si="88">D133-C133</f>
        <v>29671</v>
      </c>
      <c r="O133" s="123">
        <f t="shared" si="88"/>
        <v>6945</v>
      </c>
      <c r="P133" s="123">
        <f t="shared" si="88"/>
        <v>25745</v>
      </c>
      <c r="Q133" s="123">
        <f t="shared" si="88"/>
        <v>41000</v>
      </c>
      <c r="R133" s="123">
        <f t="shared" si="88"/>
        <v>8057</v>
      </c>
      <c r="S133" s="123">
        <f t="shared" si="88"/>
        <v>-3600</v>
      </c>
      <c r="T133" s="123">
        <f t="shared" si="88"/>
        <v>310</v>
      </c>
      <c r="U133" s="123">
        <f t="shared" si="88"/>
        <v>1000</v>
      </c>
      <c r="V133" s="123"/>
    </row>
    <row r="134" spans="1:22" x14ac:dyDescent="0.25">
      <c r="A134" s="247" t="s">
        <v>231</v>
      </c>
      <c r="B134" s="248" t="s">
        <v>264</v>
      </c>
      <c r="C134" s="249">
        <f t="shared" ref="C134:L134" si="89">C67</f>
        <v>472270</v>
      </c>
      <c r="D134" s="506">
        <f t="shared" si="89"/>
        <v>486089</v>
      </c>
      <c r="E134" s="249">
        <f t="shared" si="89"/>
        <v>486089</v>
      </c>
      <c r="F134" s="249">
        <f t="shared" si="89"/>
        <v>486089</v>
      </c>
      <c r="G134" s="506">
        <f t="shared" si="89"/>
        <v>486800</v>
      </c>
      <c r="H134" s="506">
        <f t="shared" si="89"/>
        <v>486906</v>
      </c>
      <c r="I134" s="506">
        <f t="shared" si="89"/>
        <v>489082</v>
      </c>
      <c r="J134" s="249">
        <f t="shared" si="89"/>
        <v>489082</v>
      </c>
      <c r="K134" s="506">
        <f t="shared" ref="K134" si="90">K67</f>
        <v>485812</v>
      </c>
      <c r="L134" s="249">
        <f t="shared" si="89"/>
        <v>406951</v>
      </c>
      <c r="M134" s="466">
        <f t="shared" si="75"/>
        <v>0.83767177426658868</v>
      </c>
      <c r="N134" s="123"/>
      <c r="O134" s="123"/>
      <c r="P134" s="123"/>
    </row>
    <row r="135" spans="1:22" ht="16.5" customHeight="1" x14ac:dyDescent="0.25">
      <c r="A135" s="263" t="s">
        <v>231</v>
      </c>
      <c r="B135" s="264" t="s">
        <v>225</v>
      </c>
      <c r="C135" s="265">
        <f t="shared" ref="C135:L135" si="91">C69</f>
        <v>3000</v>
      </c>
      <c r="D135" s="265">
        <f t="shared" si="91"/>
        <v>3000</v>
      </c>
      <c r="E135" s="265">
        <f t="shared" si="91"/>
        <v>3000</v>
      </c>
      <c r="F135" s="265">
        <f t="shared" si="91"/>
        <v>3000</v>
      </c>
      <c r="G135" s="265">
        <f t="shared" si="91"/>
        <v>3000</v>
      </c>
      <c r="H135" s="265">
        <f t="shared" si="91"/>
        <v>7330</v>
      </c>
      <c r="I135" s="265">
        <f t="shared" si="91"/>
        <v>7330</v>
      </c>
      <c r="J135" s="265">
        <f t="shared" si="91"/>
        <v>7330</v>
      </c>
      <c r="K135" s="265">
        <f t="shared" ref="K135" si="92">K69</f>
        <v>7330</v>
      </c>
      <c r="L135" s="265">
        <f t="shared" si="91"/>
        <v>5988</v>
      </c>
      <c r="M135" s="466">
        <f t="shared" si="75"/>
        <v>0.81691678035470672</v>
      </c>
      <c r="N135" s="123"/>
      <c r="O135" s="123"/>
      <c r="P135" s="123"/>
    </row>
    <row r="136" spans="1:22" ht="16.5" customHeight="1" x14ac:dyDescent="0.25">
      <c r="A136" s="263" t="s">
        <v>231</v>
      </c>
      <c r="B136" s="264" t="s">
        <v>265</v>
      </c>
      <c r="C136" s="265">
        <v>54240</v>
      </c>
      <c r="D136" s="265">
        <v>54240</v>
      </c>
      <c r="E136" s="265">
        <v>54240</v>
      </c>
      <c r="F136" s="265">
        <v>54240</v>
      </c>
      <c r="G136" s="265">
        <v>54240</v>
      </c>
      <c r="H136" s="265">
        <v>54240</v>
      </c>
      <c r="I136" s="265">
        <v>54240</v>
      </c>
      <c r="J136" s="265">
        <v>54240</v>
      </c>
      <c r="K136" s="265">
        <v>54240</v>
      </c>
      <c r="L136" s="265">
        <f>L71</f>
        <v>36352</v>
      </c>
      <c r="M136" s="466">
        <f t="shared" si="75"/>
        <v>0.67020648967551621</v>
      </c>
      <c r="N136" s="123"/>
      <c r="O136" s="123"/>
      <c r="P136" s="123"/>
    </row>
    <row r="137" spans="1:22" ht="15.75" thickBot="1" x14ac:dyDescent="0.3">
      <c r="A137" s="364" t="s">
        <v>231</v>
      </c>
      <c r="B137" s="365" t="s">
        <v>266</v>
      </c>
      <c r="C137" s="366">
        <v>2855</v>
      </c>
      <c r="D137" s="366">
        <v>2855</v>
      </c>
      <c r="E137" s="366">
        <v>2855</v>
      </c>
      <c r="F137" s="366">
        <v>2855</v>
      </c>
      <c r="G137" s="366">
        <v>2855</v>
      </c>
      <c r="H137" s="366">
        <v>2855</v>
      </c>
      <c r="I137" s="366">
        <v>2855</v>
      </c>
      <c r="J137" s="366">
        <v>2855</v>
      </c>
      <c r="K137" s="366">
        <v>2855</v>
      </c>
      <c r="L137" s="366">
        <v>2702</v>
      </c>
      <c r="M137" s="466">
        <f t="shared" si="75"/>
        <v>0.94640980735551661</v>
      </c>
      <c r="N137" s="123"/>
      <c r="O137" s="123"/>
      <c r="P137" s="123"/>
    </row>
    <row r="138" spans="1:22" x14ac:dyDescent="0.25">
      <c r="A138" s="361" t="s">
        <v>108</v>
      </c>
      <c r="B138" s="362" t="s">
        <v>267</v>
      </c>
      <c r="C138" s="363">
        <v>22500</v>
      </c>
      <c r="D138" s="363">
        <v>22500</v>
      </c>
      <c r="E138" s="363">
        <v>22500</v>
      </c>
      <c r="F138" s="363">
        <v>22500</v>
      </c>
      <c r="G138" s="363">
        <v>22500</v>
      </c>
      <c r="H138" s="363">
        <v>22500</v>
      </c>
      <c r="I138" s="363">
        <v>22500</v>
      </c>
      <c r="J138" s="363">
        <v>22500</v>
      </c>
      <c r="K138" s="363">
        <v>22500</v>
      </c>
      <c r="L138" s="363">
        <v>22500</v>
      </c>
      <c r="M138" s="466">
        <f t="shared" si="75"/>
        <v>1</v>
      </c>
      <c r="N138" s="123"/>
      <c r="O138" s="123"/>
      <c r="P138" s="123"/>
    </row>
    <row r="139" spans="1:22" ht="15" customHeight="1" thickBot="1" x14ac:dyDescent="0.3">
      <c r="A139" s="263" t="s">
        <v>108</v>
      </c>
      <c r="B139" s="264" t="s">
        <v>268</v>
      </c>
      <c r="C139" s="265">
        <f t="shared" ref="C139:L139" si="93">C70</f>
        <v>1320</v>
      </c>
      <c r="D139" s="265">
        <f t="shared" si="93"/>
        <v>1320</v>
      </c>
      <c r="E139" s="265">
        <f t="shared" si="93"/>
        <v>1320</v>
      </c>
      <c r="F139" s="265">
        <f t="shared" si="93"/>
        <v>1320</v>
      </c>
      <c r="G139" s="265">
        <f t="shared" si="93"/>
        <v>1320</v>
      </c>
      <c r="H139" s="265">
        <f t="shared" si="93"/>
        <v>1320</v>
      </c>
      <c r="I139" s="265">
        <f t="shared" si="93"/>
        <v>1320</v>
      </c>
      <c r="J139" s="265">
        <f t="shared" si="93"/>
        <v>1320</v>
      </c>
      <c r="K139" s="265">
        <f t="shared" ref="K139" si="94">K70</f>
        <v>1320</v>
      </c>
      <c r="L139" s="265">
        <f t="shared" si="93"/>
        <v>726</v>
      </c>
      <c r="M139" s="466">
        <f t="shared" si="75"/>
        <v>0.55000000000000004</v>
      </c>
      <c r="N139" s="123">
        <f>L135+L137+L138+L139-1275</f>
        <v>30641</v>
      </c>
      <c r="O139" s="123"/>
      <c r="P139" s="123"/>
    </row>
    <row r="140" spans="1:22" ht="22.5" customHeight="1" thickBot="1" x14ac:dyDescent="0.3">
      <c r="A140" s="654" t="s">
        <v>183</v>
      </c>
      <c r="B140" s="655"/>
      <c r="C140" s="128">
        <f t="shared" ref="C140:F140" si="95">SUM(C134:C139)</f>
        <v>556185</v>
      </c>
      <c r="D140" s="128">
        <f t="shared" si="95"/>
        <v>570004</v>
      </c>
      <c r="E140" s="128">
        <f t="shared" si="95"/>
        <v>570004</v>
      </c>
      <c r="F140" s="128">
        <f t="shared" si="95"/>
        <v>570004</v>
      </c>
      <c r="G140" s="128">
        <f t="shared" ref="G140:L140" si="96">SUM(G134:G139)</f>
        <v>570715</v>
      </c>
      <c r="H140" s="128">
        <f t="shared" si="96"/>
        <v>575151</v>
      </c>
      <c r="I140" s="128">
        <f t="shared" si="96"/>
        <v>577327</v>
      </c>
      <c r="J140" s="128">
        <f t="shared" si="96"/>
        <v>577327</v>
      </c>
      <c r="K140" s="128">
        <f t="shared" ref="K140" si="97">SUM(K134:K139)</f>
        <v>574057</v>
      </c>
      <c r="L140" s="128">
        <f t="shared" si="96"/>
        <v>475219</v>
      </c>
      <c r="M140" s="466">
        <f t="shared" si="75"/>
        <v>0.8278254598410959</v>
      </c>
      <c r="N140" s="123">
        <f t="shared" ref="N140:U140" si="98">D140-C140</f>
        <v>13819</v>
      </c>
      <c r="O140" s="123">
        <f t="shared" si="98"/>
        <v>0</v>
      </c>
      <c r="P140" s="123">
        <f t="shared" si="98"/>
        <v>0</v>
      </c>
      <c r="Q140" s="123">
        <f t="shared" si="98"/>
        <v>711</v>
      </c>
      <c r="R140" s="123">
        <f t="shared" si="98"/>
        <v>4436</v>
      </c>
      <c r="S140" s="123">
        <f t="shared" si="98"/>
        <v>2176</v>
      </c>
      <c r="T140" s="123">
        <f t="shared" si="98"/>
        <v>0</v>
      </c>
      <c r="U140" s="123">
        <f t="shared" si="98"/>
        <v>-3270</v>
      </c>
      <c r="V140" s="123"/>
    </row>
    <row r="141" spans="1:22" x14ac:dyDescent="0.25">
      <c r="A141" s="250" t="s">
        <v>108</v>
      </c>
      <c r="B141" s="251" t="s">
        <v>227</v>
      </c>
      <c r="C141" s="221">
        <f t="shared" ref="C141:K141" si="99">190500+13510</f>
        <v>204010</v>
      </c>
      <c r="D141" s="221">
        <f t="shared" si="99"/>
        <v>204010</v>
      </c>
      <c r="E141" s="221">
        <f t="shared" si="99"/>
        <v>204010</v>
      </c>
      <c r="F141" s="221">
        <f t="shared" si="99"/>
        <v>204010</v>
      </c>
      <c r="G141" s="221">
        <f t="shared" si="99"/>
        <v>204010</v>
      </c>
      <c r="H141" s="221">
        <f t="shared" si="99"/>
        <v>204010</v>
      </c>
      <c r="I141" s="221">
        <f t="shared" si="99"/>
        <v>204010</v>
      </c>
      <c r="J141" s="221">
        <f t="shared" si="99"/>
        <v>204010</v>
      </c>
      <c r="K141" s="221">
        <f t="shared" si="99"/>
        <v>204010</v>
      </c>
      <c r="L141" s="221">
        <v>170000</v>
      </c>
      <c r="M141" s="466">
        <f t="shared" si="75"/>
        <v>0.8332924856624675</v>
      </c>
      <c r="N141" s="123"/>
      <c r="O141" s="123"/>
      <c r="P141" s="123"/>
    </row>
    <row r="142" spans="1:22" ht="17.25" customHeight="1" thickBot="1" x14ac:dyDescent="0.3">
      <c r="A142" s="266" t="s">
        <v>108</v>
      </c>
      <c r="B142" s="244" t="s">
        <v>228</v>
      </c>
      <c r="C142" s="217">
        <f t="shared" ref="C142:J142" si="100">C73</f>
        <v>9770</v>
      </c>
      <c r="D142" s="217">
        <f t="shared" si="100"/>
        <v>9770</v>
      </c>
      <c r="E142" s="217">
        <f t="shared" si="100"/>
        <v>9770</v>
      </c>
      <c r="F142" s="217">
        <f t="shared" si="100"/>
        <v>9770</v>
      </c>
      <c r="G142" s="217">
        <f t="shared" si="100"/>
        <v>9770</v>
      </c>
      <c r="H142" s="492">
        <f t="shared" si="100"/>
        <v>11030</v>
      </c>
      <c r="I142" s="217">
        <f t="shared" si="100"/>
        <v>11030</v>
      </c>
      <c r="J142" s="217">
        <f t="shared" si="100"/>
        <v>11030</v>
      </c>
      <c r="K142" s="492">
        <f t="shared" ref="K142" si="101">K73</f>
        <v>11709</v>
      </c>
      <c r="L142" s="217">
        <f>6233+1008</f>
        <v>7241</v>
      </c>
      <c r="M142" s="466">
        <f t="shared" si="75"/>
        <v>0.61841318643778287</v>
      </c>
      <c r="N142" s="123"/>
      <c r="O142" s="123"/>
      <c r="P142" s="123"/>
    </row>
    <row r="143" spans="1:22" ht="16.5" customHeight="1" thickBot="1" x14ac:dyDescent="0.3">
      <c r="A143" s="656" t="s">
        <v>226</v>
      </c>
      <c r="B143" s="657"/>
      <c r="C143" s="367">
        <f t="shared" ref="C143:L143" si="102">SUM(C141:C142)</f>
        <v>213780</v>
      </c>
      <c r="D143" s="367">
        <f t="shared" si="102"/>
        <v>213780</v>
      </c>
      <c r="E143" s="367">
        <f t="shared" si="102"/>
        <v>213780</v>
      </c>
      <c r="F143" s="367">
        <f t="shared" si="102"/>
        <v>213780</v>
      </c>
      <c r="G143" s="367">
        <f t="shared" si="102"/>
        <v>213780</v>
      </c>
      <c r="H143" s="367">
        <f t="shared" si="102"/>
        <v>215040</v>
      </c>
      <c r="I143" s="367">
        <f t="shared" si="102"/>
        <v>215040</v>
      </c>
      <c r="J143" s="367">
        <f t="shared" si="102"/>
        <v>215040</v>
      </c>
      <c r="K143" s="367">
        <f t="shared" ref="K143" si="103">SUM(K141:K142)</f>
        <v>215719</v>
      </c>
      <c r="L143" s="367">
        <f t="shared" si="102"/>
        <v>177241</v>
      </c>
      <c r="M143" s="466">
        <f t="shared" si="75"/>
        <v>0.82162906373569322</v>
      </c>
      <c r="N143" s="123">
        <f t="shared" ref="N143:U145" si="104">D143-C143</f>
        <v>0</v>
      </c>
      <c r="O143" s="123">
        <f t="shared" si="104"/>
        <v>0</v>
      </c>
      <c r="P143" s="123">
        <f t="shared" si="104"/>
        <v>0</v>
      </c>
      <c r="Q143" s="123">
        <f t="shared" si="104"/>
        <v>0</v>
      </c>
      <c r="R143" s="123">
        <f t="shared" si="104"/>
        <v>1260</v>
      </c>
      <c r="S143" s="123">
        <f t="shared" si="104"/>
        <v>0</v>
      </c>
      <c r="T143" s="123">
        <f t="shared" si="104"/>
        <v>0</v>
      </c>
      <c r="U143" s="123">
        <f t="shared" si="104"/>
        <v>679</v>
      </c>
      <c r="V143" s="123"/>
    </row>
    <row r="144" spans="1:22" ht="18.75" customHeight="1" thickBot="1" x14ac:dyDescent="0.3">
      <c r="A144" s="658" t="s">
        <v>220</v>
      </c>
      <c r="B144" s="659"/>
      <c r="C144" s="368">
        <f t="shared" ref="C144:L144" si="105">C140+C143</f>
        <v>769965</v>
      </c>
      <c r="D144" s="368">
        <f t="shared" si="105"/>
        <v>783784</v>
      </c>
      <c r="E144" s="368">
        <f t="shared" si="105"/>
        <v>783784</v>
      </c>
      <c r="F144" s="368">
        <f t="shared" si="105"/>
        <v>783784</v>
      </c>
      <c r="G144" s="368">
        <f t="shared" si="105"/>
        <v>784495</v>
      </c>
      <c r="H144" s="368">
        <f t="shared" si="105"/>
        <v>790191</v>
      </c>
      <c r="I144" s="368">
        <f t="shared" si="105"/>
        <v>792367</v>
      </c>
      <c r="J144" s="368">
        <f t="shared" si="105"/>
        <v>792367</v>
      </c>
      <c r="K144" s="368">
        <f t="shared" ref="K144" si="106">K140+K143</f>
        <v>789776</v>
      </c>
      <c r="L144" s="368">
        <f t="shared" si="105"/>
        <v>652460</v>
      </c>
      <c r="M144" s="466">
        <f t="shared" si="75"/>
        <v>0.82613297947772535</v>
      </c>
      <c r="N144" s="123">
        <f t="shared" si="104"/>
        <v>13819</v>
      </c>
      <c r="O144" s="123">
        <f t="shared" si="104"/>
        <v>0</v>
      </c>
      <c r="P144" s="123">
        <f t="shared" si="104"/>
        <v>0</v>
      </c>
      <c r="Q144" s="123">
        <f t="shared" si="104"/>
        <v>711</v>
      </c>
      <c r="R144" s="123">
        <f t="shared" si="104"/>
        <v>5696</v>
      </c>
      <c r="S144" s="123">
        <f t="shared" si="104"/>
        <v>2176</v>
      </c>
      <c r="T144" s="123">
        <f t="shared" si="104"/>
        <v>0</v>
      </c>
      <c r="U144" s="123">
        <f t="shared" si="104"/>
        <v>-2591</v>
      </c>
      <c r="V144" s="123"/>
    </row>
    <row r="145" spans="1:22" ht="30.75" customHeight="1" thickBot="1" x14ac:dyDescent="0.3">
      <c r="A145" s="73" t="s">
        <v>184</v>
      </c>
      <c r="B145" s="140"/>
      <c r="C145" s="74">
        <f t="shared" ref="C145:L145" si="107">C133+C144</f>
        <v>2152110</v>
      </c>
      <c r="D145" s="74">
        <f t="shared" si="107"/>
        <v>2195600</v>
      </c>
      <c r="E145" s="74">
        <f t="shared" si="107"/>
        <v>2202545</v>
      </c>
      <c r="F145" s="74">
        <f t="shared" si="107"/>
        <v>2228290</v>
      </c>
      <c r="G145" s="74">
        <f t="shared" si="107"/>
        <v>2270001</v>
      </c>
      <c r="H145" s="74">
        <f t="shared" si="107"/>
        <v>2283754</v>
      </c>
      <c r="I145" s="74">
        <f t="shared" si="107"/>
        <v>2282330</v>
      </c>
      <c r="J145" s="74">
        <f t="shared" si="107"/>
        <v>2282640</v>
      </c>
      <c r="K145" s="74">
        <f t="shared" ref="K145" si="108">K133+K144</f>
        <v>2281049</v>
      </c>
      <c r="L145" s="74">
        <f t="shared" si="107"/>
        <v>1555600</v>
      </c>
      <c r="M145" s="466">
        <f t="shared" ref="M145" si="109">L145/K145</f>
        <v>0.6819669371416397</v>
      </c>
      <c r="N145" s="123">
        <f t="shared" si="104"/>
        <v>43490</v>
      </c>
      <c r="O145" s="123">
        <f t="shared" si="104"/>
        <v>6945</v>
      </c>
      <c r="P145" s="123">
        <f t="shared" si="104"/>
        <v>25745</v>
      </c>
      <c r="Q145" s="123">
        <f t="shared" si="104"/>
        <v>41711</v>
      </c>
      <c r="R145" s="123">
        <f t="shared" si="104"/>
        <v>13753</v>
      </c>
      <c r="S145" s="123">
        <f t="shared" si="104"/>
        <v>-1424</v>
      </c>
      <c r="T145" s="123">
        <f t="shared" si="104"/>
        <v>310</v>
      </c>
      <c r="U145" s="123">
        <f t="shared" si="104"/>
        <v>-1591</v>
      </c>
      <c r="V145" s="123"/>
    </row>
    <row r="147" spans="1:22" ht="53.25" customHeight="1" x14ac:dyDescent="0.25">
      <c r="Q147" s="123"/>
    </row>
    <row r="148" spans="1:22" ht="18.75" thickBot="1" x14ac:dyDescent="0.3">
      <c r="A148" s="660" t="s">
        <v>128</v>
      </c>
      <c r="B148" s="661"/>
      <c r="C148" s="661"/>
      <c r="D148" s="661"/>
      <c r="E148" s="661"/>
      <c r="F148" s="661"/>
      <c r="G148" s="661"/>
      <c r="H148" s="661"/>
      <c r="I148" s="661"/>
      <c r="J148" s="661"/>
      <c r="K148" s="661"/>
      <c r="L148" s="661"/>
      <c r="Q148" s="123"/>
      <c r="R148" s="123"/>
      <c r="S148" s="123"/>
    </row>
    <row r="149" spans="1:22" ht="15" customHeight="1" x14ac:dyDescent="0.25">
      <c r="A149" s="644" t="s">
        <v>1</v>
      </c>
      <c r="B149" s="645"/>
      <c r="C149" s="638" t="s">
        <v>323</v>
      </c>
      <c r="D149" s="638" t="s">
        <v>562</v>
      </c>
      <c r="E149" s="638" t="s">
        <v>563</v>
      </c>
      <c r="F149" s="638" t="s">
        <v>564</v>
      </c>
      <c r="G149" s="638" t="s">
        <v>565</v>
      </c>
      <c r="H149" s="638" t="s">
        <v>566</v>
      </c>
      <c r="I149" s="638" t="s">
        <v>567</v>
      </c>
      <c r="J149" s="638" t="s">
        <v>605</v>
      </c>
      <c r="K149" s="638" t="s">
        <v>640</v>
      </c>
      <c r="L149" s="638" t="s">
        <v>654</v>
      </c>
      <c r="M149" s="640" t="s">
        <v>352</v>
      </c>
      <c r="P149" s="123"/>
      <c r="T149" s="123"/>
      <c r="U149" s="123"/>
    </row>
    <row r="150" spans="1:22" ht="15.75" thickBot="1" x14ac:dyDescent="0.3">
      <c r="A150" s="646"/>
      <c r="B150" s="647"/>
      <c r="C150" s="639"/>
      <c r="D150" s="639"/>
      <c r="E150" s="639"/>
      <c r="F150" s="639"/>
      <c r="G150" s="639"/>
      <c r="H150" s="639"/>
      <c r="I150" s="639"/>
      <c r="J150" s="639"/>
      <c r="K150" s="639"/>
      <c r="L150" s="639"/>
      <c r="M150" s="641"/>
      <c r="N150" s="123"/>
      <c r="O150" s="123"/>
    </row>
    <row r="151" spans="1:22" ht="16.5" thickBot="1" x14ac:dyDescent="0.3">
      <c r="A151" s="648" t="s">
        <v>129</v>
      </c>
      <c r="B151" s="649"/>
      <c r="C151" s="328">
        <f t="shared" ref="C151:L151" si="110">SUM(C152:C157)</f>
        <v>620702</v>
      </c>
      <c r="D151" s="328">
        <f t="shared" si="110"/>
        <v>635220</v>
      </c>
      <c r="E151" s="328">
        <f t="shared" si="110"/>
        <v>635220</v>
      </c>
      <c r="F151" s="328">
        <f t="shared" si="110"/>
        <v>561520</v>
      </c>
      <c r="G151" s="328">
        <f t="shared" si="110"/>
        <v>519520</v>
      </c>
      <c r="H151" s="328">
        <f t="shared" si="110"/>
        <v>519520</v>
      </c>
      <c r="I151" s="328">
        <f t="shared" si="110"/>
        <v>519520</v>
      </c>
      <c r="J151" s="328">
        <f t="shared" si="110"/>
        <v>519520</v>
      </c>
      <c r="K151" s="328">
        <f t="shared" ref="K151" si="111">SUM(K152:K157)</f>
        <v>519720</v>
      </c>
      <c r="L151" s="75">
        <f t="shared" si="110"/>
        <v>119598</v>
      </c>
      <c r="M151" s="466">
        <f>L151/K151</f>
        <v>0.23012006465019627</v>
      </c>
      <c r="N151" s="123">
        <f t="shared" ref="N151:U151" si="112">D151-C151</f>
        <v>14518</v>
      </c>
      <c r="O151" s="123">
        <f t="shared" si="112"/>
        <v>0</v>
      </c>
      <c r="P151" s="123">
        <f t="shared" si="112"/>
        <v>-73700</v>
      </c>
      <c r="Q151" s="123">
        <f t="shared" si="112"/>
        <v>-42000</v>
      </c>
      <c r="R151" s="123">
        <f t="shared" si="112"/>
        <v>0</v>
      </c>
      <c r="S151" s="123">
        <f t="shared" si="112"/>
        <v>0</v>
      </c>
      <c r="T151" s="123">
        <f t="shared" si="112"/>
        <v>0</v>
      </c>
      <c r="U151" s="123">
        <f t="shared" si="112"/>
        <v>200</v>
      </c>
    </row>
    <row r="152" spans="1:22" ht="15.75" thickBot="1" x14ac:dyDescent="0.3">
      <c r="A152" s="176">
        <v>233</v>
      </c>
      <c r="B152" s="56" t="s">
        <v>130</v>
      </c>
      <c r="C152" s="329">
        <v>1000</v>
      </c>
      <c r="D152" s="329">
        <v>1000</v>
      </c>
      <c r="E152" s="329">
        <v>1000</v>
      </c>
      <c r="F152" s="539">
        <f t="shared" ref="F152:J152" si="113">1000+2000</f>
        <v>3000</v>
      </c>
      <c r="G152" s="334">
        <f t="shared" si="113"/>
        <v>3000</v>
      </c>
      <c r="H152" s="334">
        <f t="shared" si="113"/>
        <v>3000</v>
      </c>
      <c r="I152" s="334">
        <f t="shared" si="113"/>
        <v>3000</v>
      </c>
      <c r="J152" s="334">
        <f t="shared" si="113"/>
        <v>3000</v>
      </c>
      <c r="K152" s="539">
        <f>1000+2000+200</f>
        <v>3200</v>
      </c>
      <c r="L152" s="329">
        <v>2945</v>
      </c>
      <c r="M152" s="466">
        <f>L152/K152</f>
        <v>0.92031249999999998</v>
      </c>
    </row>
    <row r="153" spans="1:22" x14ac:dyDescent="0.25">
      <c r="A153" s="540">
        <v>322</v>
      </c>
      <c r="B153" s="541" t="s">
        <v>468</v>
      </c>
      <c r="C153" s="542">
        <v>0</v>
      </c>
      <c r="D153" s="542">
        <v>0</v>
      </c>
      <c r="E153" s="542">
        <v>0</v>
      </c>
      <c r="F153" s="543">
        <v>42000</v>
      </c>
      <c r="G153" s="543">
        <f>42000-42000</f>
        <v>0</v>
      </c>
      <c r="H153" s="569">
        <f>42000-42000</f>
        <v>0</v>
      </c>
      <c r="I153" s="569">
        <f>42000-42000</f>
        <v>0</v>
      </c>
      <c r="J153" s="569">
        <f>42000-42000</f>
        <v>0</v>
      </c>
      <c r="K153" s="569">
        <f>42000-42000</f>
        <v>0</v>
      </c>
      <c r="L153" s="542"/>
      <c r="M153" s="466">
        <v>0</v>
      </c>
    </row>
    <row r="154" spans="1:22" x14ac:dyDescent="0.25">
      <c r="A154" s="102">
        <v>322</v>
      </c>
      <c r="B154" s="25" t="s">
        <v>241</v>
      </c>
      <c r="C154" s="331">
        <v>183255</v>
      </c>
      <c r="D154" s="485">
        <f t="shared" ref="D154:H154" si="114">183255+18815</f>
        <v>202070</v>
      </c>
      <c r="E154" s="335">
        <f t="shared" si="114"/>
        <v>202070</v>
      </c>
      <c r="F154" s="335">
        <f t="shared" si="114"/>
        <v>202070</v>
      </c>
      <c r="G154" s="335">
        <f t="shared" si="114"/>
        <v>202070</v>
      </c>
      <c r="H154" s="335">
        <f t="shared" si="114"/>
        <v>202070</v>
      </c>
      <c r="I154" s="485">
        <f>183255+18815-93750</f>
        <v>108320</v>
      </c>
      <c r="J154" s="335">
        <f>183255+18815-93750</f>
        <v>108320</v>
      </c>
      <c r="K154" s="335">
        <f>183255+18815-93750</f>
        <v>108320</v>
      </c>
      <c r="L154" s="331">
        <v>0</v>
      </c>
      <c r="M154" s="466">
        <f t="shared" ref="M154:M162" si="115">L154/K154</f>
        <v>0</v>
      </c>
      <c r="R154" s="123"/>
      <c r="S154" s="123"/>
      <c r="T154" s="123"/>
      <c r="U154" s="123"/>
    </row>
    <row r="155" spans="1:22" x14ac:dyDescent="0.25">
      <c r="A155" s="175">
        <v>322</v>
      </c>
      <c r="B155" s="39" t="s">
        <v>240</v>
      </c>
      <c r="C155" s="330">
        <v>120047</v>
      </c>
      <c r="D155" s="487">
        <f>120047+2253</f>
        <v>122300</v>
      </c>
      <c r="E155" s="333">
        <f>120047+2253</f>
        <v>122300</v>
      </c>
      <c r="F155" s="487">
        <f>120047+2253-55000</f>
        <v>67300</v>
      </c>
      <c r="G155" s="333">
        <f>120047+2253-55000</f>
        <v>67300</v>
      </c>
      <c r="H155" s="333">
        <f>120047+2253-55000</f>
        <v>67300</v>
      </c>
      <c r="I155" s="487">
        <f>120047+2253-55000+30700</f>
        <v>98000</v>
      </c>
      <c r="J155" s="333">
        <f>120047+2253-55000+30700</f>
        <v>98000</v>
      </c>
      <c r="K155" s="333">
        <f>120047+2253-55000+30700</f>
        <v>98000</v>
      </c>
      <c r="L155" s="333">
        <v>0</v>
      </c>
      <c r="M155" s="466">
        <f t="shared" si="115"/>
        <v>0</v>
      </c>
      <c r="P155" s="123"/>
      <c r="Q155" s="123"/>
    </row>
    <row r="156" spans="1:22" x14ac:dyDescent="0.25">
      <c r="A156" s="102">
        <v>322</v>
      </c>
      <c r="B156" s="25" t="s">
        <v>160</v>
      </c>
      <c r="C156" s="331">
        <v>121400</v>
      </c>
      <c r="D156" s="485">
        <f>121400-6550</f>
        <v>114850</v>
      </c>
      <c r="E156" s="335">
        <f>121400-6550</f>
        <v>114850</v>
      </c>
      <c r="F156" s="485">
        <f>121400-6550-61200</f>
        <v>53650</v>
      </c>
      <c r="G156" s="335">
        <f>121400-6550-61200</f>
        <v>53650</v>
      </c>
      <c r="H156" s="335">
        <f>121400-6550-61200</f>
        <v>53650</v>
      </c>
      <c r="I156" s="485">
        <f>121400-6550-61200+63050</f>
        <v>116700</v>
      </c>
      <c r="J156" s="335">
        <f>121400-6550-61200+63050</f>
        <v>116700</v>
      </c>
      <c r="K156" s="335">
        <f>121400-6550-61200+63050</f>
        <v>116700</v>
      </c>
      <c r="L156" s="331">
        <v>116653</v>
      </c>
      <c r="M156" s="466">
        <f t="shared" si="115"/>
        <v>0.99959725792630671</v>
      </c>
    </row>
    <row r="157" spans="1:22" ht="15.75" thickBot="1" x14ac:dyDescent="0.3">
      <c r="A157" s="102">
        <v>322</v>
      </c>
      <c r="B157" s="25" t="s">
        <v>162</v>
      </c>
      <c r="C157" s="331">
        <v>195000</v>
      </c>
      <c r="D157" s="331">
        <v>195000</v>
      </c>
      <c r="E157" s="331">
        <v>195000</v>
      </c>
      <c r="F157" s="485">
        <f t="shared" ref="F157:K157" si="116">195000-1500</f>
        <v>193500</v>
      </c>
      <c r="G157" s="335">
        <f t="shared" si="116"/>
        <v>193500</v>
      </c>
      <c r="H157" s="335">
        <f t="shared" si="116"/>
        <v>193500</v>
      </c>
      <c r="I157" s="335">
        <f t="shared" si="116"/>
        <v>193500</v>
      </c>
      <c r="J157" s="335">
        <f t="shared" si="116"/>
        <v>193500</v>
      </c>
      <c r="K157" s="335">
        <f t="shared" si="116"/>
        <v>193500</v>
      </c>
      <c r="L157" s="331">
        <v>0</v>
      </c>
      <c r="M157" s="466">
        <f t="shared" si="115"/>
        <v>0</v>
      </c>
      <c r="N157" s="123">
        <f t="shared" ref="N157:U157" si="117">SUM(C153:C157)</f>
        <v>619702</v>
      </c>
      <c r="O157" s="123">
        <f t="shared" si="117"/>
        <v>634220</v>
      </c>
      <c r="P157" s="123">
        <f t="shared" si="117"/>
        <v>634220</v>
      </c>
      <c r="Q157" s="123">
        <f t="shared" si="117"/>
        <v>558520</v>
      </c>
      <c r="R157" s="123">
        <f t="shared" si="117"/>
        <v>516520</v>
      </c>
      <c r="S157" s="123">
        <f t="shared" si="117"/>
        <v>516520</v>
      </c>
      <c r="T157" s="123">
        <f t="shared" si="117"/>
        <v>516520</v>
      </c>
      <c r="U157" s="123">
        <f t="shared" si="117"/>
        <v>516520</v>
      </c>
    </row>
    <row r="158" spans="1:22" ht="16.5" thickBot="1" x14ac:dyDescent="0.3">
      <c r="A158" s="648" t="s">
        <v>131</v>
      </c>
      <c r="B158" s="649"/>
      <c r="C158" s="328">
        <f t="shared" ref="C158:L158" si="118">SUM(C159:C182)</f>
        <v>1020702</v>
      </c>
      <c r="D158" s="328">
        <f t="shared" si="118"/>
        <v>1035220</v>
      </c>
      <c r="E158" s="328">
        <f t="shared" si="118"/>
        <v>1035220</v>
      </c>
      <c r="F158" s="328">
        <f t="shared" si="118"/>
        <v>1086320</v>
      </c>
      <c r="G158" s="328">
        <f t="shared" si="118"/>
        <v>1044320</v>
      </c>
      <c r="H158" s="328">
        <f t="shared" si="118"/>
        <v>1044320</v>
      </c>
      <c r="I158" s="328">
        <f t="shared" si="118"/>
        <v>1044320</v>
      </c>
      <c r="J158" s="328">
        <f t="shared" si="118"/>
        <v>1044320</v>
      </c>
      <c r="K158" s="328">
        <f t="shared" ref="K158" si="119">SUM(K159:K182)</f>
        <v>1044520</v>
      </c>
      <c r="L158" s="328">
        <f t="shared" si="118"/>
        <v>199243</v>
      </c>
      <c r="M158" s="466">
        <f t="shared" si="115"/>
        <v>0.19075077547581665</v>
      </c>
      <c r="N158" s="123">
        <f t="shared" ref="N158:U158" si="120">D158-C158</f>
        <v>14518</v>
      </c>
      <c r="O158" s="123">
        <f t="shared" si="120"/>
        <v>0</v>
      </c>
      <c r="P158" s="123">
        <f t="shared" si="120"/>
        <v>51100</v>
      </c>
      <c r="Q158" s="123">
        <f t="shared" si="120"/>
        <v>-42000</v>
      </c>
      <c r="R158" s="123">
        <f t="shared" si="120"/>
        <v>0</v>
      </c>
      <c r="S158" s="123">
        <f t="shared" si="120"/>
        <v>0</v>
      </c>
      <c r="T158" s="123">
        <f t="shared" si="120"/>
        <v>0</v>
      </c>
      <c r="U158" s="123">
        <f t="shared" si="120"/>
        <v>200</v>
      </c>
    </row>
    <row r="159" spans="1:22" x14ac:dyDescent="0.25">
      <c r="A159" s="210" t="s">
        <v>50</v>
      </c>
      <c r="B159" s="211" t="s">
        <v>158</v>
      </c>
      <c r="C159" s="303">
        <v>127047</v>
      </c>
      <c r="D159" s="486">
        <f t="shared" ref="D159:H159" si="121">127047+2403</f>
        <v>129450</v>
      </c>
      <c r="E159" s="303">
        <f t="shared" si="121"/>
        <v>129450</v>
      </c>
      <c r="F159" s="303">
        <f t="shared" si="121"/>
        <v>129450</v>
      </c>
      <c r="G159" s="303">
        <f t="shared" si="121"/>
        <v>129450</v>
      </c>
      <c r="H159" s="303">
        <f t="shared" si="121"/>
        <v>129450</v>
      </c>
      <c r="I159" s="486">
        <f>127047+2403+6000</f>
        <v>135450</v>
      </c>
      <c r="J159" s="303">
        <f>127047+2403+6000</f>
        <v>135450</v>
      </c>
      <c r="K159" s="303">
        <f>127047+2403+6000</f>
        <v>135450</v>
      </c>
      <c r="L159" s="303">
        <v>0</v>
      </c>
      <c r="M159" s="466">
        <f t="shared" si="115"/>
        <v>0</v>
      </c>
      <c r="P159" s="123"/>
      <c r="Q159" s="123"/>
      <c r="R159" s="123"/>
      <c r="S159" s="123"/>
      <c r="T159" s="123"/>
    </row>
    <row r="160" spans="1:22" x14ac:dyDescent="0.25">
      <c r="A160" s="174" t="s">
        <v>50</v>
      </c>
      <c r="B160" s="152" t="s">
        <v>404</v>
      </c>
      <c r="C160" s="230">
        <v>15000</v>
      </c>
      <c r="D160" s="230">
        <v>15000</v>
      </c>
      <c r="E160" s="488">
        <f>15000+29000</f>
        <v>44000</v>
      </c>
      <c r="F160" s="488">
        <f>15000+29000-6500</f>
        <v>37500</v>
      </c>
      <c r="G160" s="230">
        <f>15000+29000-6500</f>
        <v>37500</v>
      </c>
      <c r="H160" s="230">
        <f>15000+29000-6500</f>
        <v>37500</v>
      </c>
      <c r="I160" s="488">
        <f>15000+29000-6500-12500</f>
        <v>25000</v>
      </c>
      <c r="J160" s="230">
        <f>15000+29000-6500-12500</f>
        <v>25000</v>
      </c>
      <c r="K160" s="230">
        <f>15000+29000-6500-12500</f>
        <v>25000</v>
      </c>
      <c r="L160" s="230">
        <v>0</v>
      </c>
      <c r="M160" s="466">
        <f t="shared" si="115"/>
        <v>0</v>
      </c>
      <c r="Q160" s="123"/>
      <c r="R160" s="123"/>
      <c r="S160" s="123"/>
      <c r="T160" s="123"/>
      <c r="U160" s="123"/>
    </row>
    <row r="161" spans="1:25" ht="15.75" thickBot="1" x14ac:dyDescent="0.3">
      <c r="A161" s="358" t="s">
        <v>50</v>
      </c>
      <c r="B161" s="108" t="s">
        <v>253</v>
      </c>
      <c r="C161" s="228">
        <v>10000</v>
      </c>
      <c r="D161" s="484">
        <f>10000+27600</f>
        <v>37600</v>
      </c>
      <c r="E161" s="484">
        <f t="shared" ref="E161:K161" si="122">10000+27600-11160</f>
        <v>26440</v>
      </c>
      <c r="F161" s="228">
        <f t="shared" si="122"/>
        <v>26440</v>
      </c>
      <c r="G161" s="228">
        <f t="shared" si="122"/>
        <v>26440</v>
      </c>
      <c r="H161" s="228">
        <f t="shared" si="122"/>
        <v>26440</v>
      </c>
      <c r="I161" s="228">
        <f t="shared" si="122"/>
        <v>26440</v>
      </c>
      <c r="J161" s="228">
        <f t="shared" si="122"/>
        <v>26440</v>
      </c>
      <c r="K161" s="228">
        <f t="shared" si="122"/>
        <v>26440</v>
      </c>
      <c r="L161" s="228">
        <v>26434</v>
      </c>
      <c r="M161" s="466">
        <f t="shared" si="115"/>
        <v>0.99977307110438729</v>
      </c>
      <c r="N161" s="123">
        <f t="shared" ref="N161:U161" si="123">SUM(C159:C161)</f>
        <v>152047</v>
      </c>
      <c r="O161" s="123">
        <f t="shared" si="123"/>
        <v>182050</v>
      </c>
      <c r="P161" s="123">
        <f t="shared" si="123"/>
        <v>199890</v>
      </c>
      <c r="Q161" s="123">
        <f t="shared" si="123"/>
        <v>193390</v>
      </c>
      <c r="R161" s="123">
        <f t="shared" si="123"/>
        <v>193390</v>
      </c>
      <c r="S161" s="123">
        <f t="shared" si="123"/>
        <v>193390</v>
      </c>
      <c r="T161" s="123">
        <f t="shared" si="123"/>
        <v>186890</v>
      </c>
      <c r="U161" s="123">
        <f t="shared" si="123"/>
        <v>186890</v>
      </c>
    </row>
    <row r="162" spans="1:25" x14ac:dyDescent="0.25">
      <c r="A162" s="210" t="s">
        <v>62</v>
      </c>
      <c r="B162" s="211" t="s">
        <v>254</v>
      </c>
      <c r="C162" s="303">
        <v>10000</v>
      </c>
      <c r="D162" s="486">
        <f t="shared" ref="D162:K162" si="124">10000+20000</f>
        <v>30000</v>
      </c>
      <c r="E162" s="303">
        <f t="shared" si="124"/>
        <v>30000</v>
      </c>
      <c r="F162" s="303">
        <f t="shared" si="124"/>
        <v>30000</v>
      </c>
      <c r="G162" s="303">
        <f t="shared" si="124"/>
        <v>30000</v>
      </c>
      <c r="H162" s="303">
        <f t="shared" si="124"/>
        <v>30000</v>
      </c>
      <c r="I162" s="303">
        <f t="shared" si="124"/>
        <v>30000</v>
      </c>
      <c r="J162" s="303">
        <f t="shared" si="124"/>
        <v>30000</v>
      </c>
      <c r="K162" s="303">
        <f t="shared" si="124"/>
        <v>30000</v>
      </c>
      <c r="L162" s="303">
        <v>0</v>
      </c>
      <c r="M162" s="466">
        <f t="shared" si="115"/>
        <v>0</v>
      </c>
      <c r="Q162" s="123"/>
      <c r="T162" s="123"/>
      <c r="U162" s="123"/>
      <c r="V162" s="123"/>
    </row>
    <row r="163" spans="1:25" ht="15.75" thickBot="1" x14ac:dyDescent="0.3">
      <c r="A163" s="357" t="s">
        <v>64</v>
      </c>
      <c r="B163" s="130" t="s">
        <v>465</v>
      </c>
      <c r="C163" s="231">
        <v>0</v>
      </c>
      <c r="D163" s="231">
        <v>0</v>
      </c>
      <c r="E163" s="231">
        <v>0</v>
      </c>
      <c r="F163" s="489">
        <v>45000</v>
      </c>
      <c r="G163" s="489">
        <f>45000-45000</f>
        <v>0</v>
      </c>
      <c r="H163" s="231">
        <f>45000-45000</f>
        <v>0</v>
      </c>
      <c r="I163" s="231">
        <f>45000-45000</f>
        <v>0</v>
      </c>
      <c r="J163" s="231">
        <f>45000-45000</f>
        <v>0</v>
      </c>
      <c r="K163" s="231">
        <f>45000-45000</f>
        <v>0</v>
      </c>
      <c r="L163" s="231">
        <v>0</v>
      </c>
      <c r="M163" s="466">
        <v>0</v>
      </c>
      <c r="Q163" s="123"/>
    </row>
    <row r="164" spans="1:25" x14ac:dyDescent="0.25">
      <c r="A164" s="129" t="s">
        <v>69</v>
      </c>
      <c r="B164" s="76" t="s">
        <v>186</v>
      </c>
      <c r="C164" s="229">
        <v>6870</v>
      </c>
      <c r="D164" s="229">
        <v>6870</v>
      </c>
      <c r="E164" s="229">
        <v>6870</v>
      </c>
      <c r="F164" s="229">
        <v>6870</v>
      </c>
      <c r="G164" s="229">
        <v>6870</v>
      </c>
      <c r="H164" s="229">
        <v>6870</v>
      </c>
      <c r="I164" s="229">
        <v>6870</v>
      </c>
      <c r="J164" s="229">
        <v>6870</v>
      </c>
      <c r="K164" s="229">
        <v>6870</v>
      </c>
      <c r="L164" s="229">
        <v>0</v>
      </c>
      <c r="M164" s="466">
        <f t="shared" ref="M164:M182" si="125">L164/K164</f>
        <v>0</v>
      </c>
    </row>
    <row r="165" spans="1:25" ht="15.75" thickBot="1" x14ac:dyDescent="0.3">
      <c r="A165" s="358" t="s">
        <v>71</v>
      </c>
      <c r="B165" s="108" t="s">
        <v>255</v>
      </c>
      <c r="C165" s="228">
        <v>30000</v>
      </c>
      <c r="D165" s="484">
        <f t="shared" ref="D165:K165" si="126">30000-25000</f>
        <v>5000</v>
      </c>
      <c r="E165" s="228">
        <f t="shared" si="126"/>
        <v>5000</v>
      </c>
      <c r="F165" s="228">
        <f t="shared" si="126"/>
        <v>5000</v>
      </c>
      <c r="G165" s="228">
        <f t="shared" si="126"/>
        <v>5000</v>
      </c>
      <c r="H165" s="228">
        <f t="shared" si="126"/>
        <v>5000</v>
      </c>
      <c r="I165" s="228">
        <f t="shared" si="126"/>
        <v>5000</v>
      </c>
      <c r="J165" s="228">
        <f t="shared" si="126"/>
        <v>5000</v>
      </c>
      <c r="K165" s="228">
        <f t="shared" si="126"/>
        <v>5000</v>
      </c>
      <c r="L165" s="228">
        <v>0</v>
      </c>
      <c r="M165" s="466">
        <f t="shared" si="125"/>
        <v>0</v>
      </c>
      <c r="N165" s="123"/>
      <c r="O165" s="123"/>
      <c r="Q165" s="123"/>
    </row>
    <row r="166" spans="1:25" x14ac:dyDescent="0.25">
      <c r="A166" s="174" t="s">
        <v>77</v>
      </c>
      <c r="B166" s="133" t="s">
        <v>164</v>
      </c>
      <c r="C166" s="230">
        <v>206000</v>
      </c>
      <c r="D166" s="230">
        <v>206000</v>
      </c>
      <c r="E166" s="230">
        <v>206000</v>
      </c>
      <c r="F166" s="488">
        <f>206000-2300</f>
        <v>203700</v>
      </c>
      <c r="G166" s="230">
        <f>206000-2300</f>
        <v>203700</v>
      </c>
      <c r="H166" s="230">
        <f>206000-2300</f>
        <v>203700</v>
      </c>
      <c r="I166" s="488">
        <f>206000-2300+1500</f>
        <v>205200</v>
      </c>
      <c r="J166" s="488">
        <f>206000-2300+1500+10000</f>
        <v>215200</v>
      </c>
      <c r="K166" s="230">
        <f>206000-2300+1500+10000</f>
        <v>215200</v>
      </c>
      <c r="L166" s="230">
        <v>0</v>
      </c>
      <c r="M166" s="466">
        <f t="shared" si="125"/>
        <v>0</v>
      </c>
      <c r="N166" s="123"/>
      <c r="O166" s="123"/>
      <c r="Q166" s="123"/>
    </row>
    <row r="167" spans="1:25" ht="15.75" thickBot="1" x14ac:dyDescent="0.3">
      <c r="A167" s="173" t="s">
        <v>81</v>
      </c>
      <c r="B167" s="134" t="s">
        <v>195</v>
      </c>
      <c r="C167" s="231">
        <v>10000</v>
      </c>
      <c r="D167" s="231">
        <v>10000</v>
      </c>
      <c r="E167" s="231">
        <v>10000</v>
      </c>
      <c r="F167" s="231">
        <v>10000</v>
      </c>
      <c r="G167" s="231">
        <v>10000</v>
      </c>
      <c r="H167" s="231">
        <v>10000</v>
      </c>
      <c r="I167" s="231">
        <v>10000</v>
      </c>
      <c r="J167" s="231">
        <v>10000</v>
      </c>
      <c r="K167" s="231">
        <v>10000</v>
      </c>
      <c r="L167" s="231">
        <v>0</v>
      </c>
      <c r="M167" s="466">
        <f t="shared" si="125"/>
        <v>0</v>
      </c>
      <c r="Q167" s="123"/>
      <c r="S167" s="123"/>
      <c r="X167" s="123"/>
      <c r="Y167" s="123"/>
    </row>
    <row r="168" spans="1:25" x14ac:dyDescent="0.25">
      <c r="A168" s="146" t="s">
        <v>132</v>
      </c>
      <c r="B168" s="147" t="s">
        <v>159</v>
      </c>
      <c r="C168" s="232">
        <v>6000</v>
      </c>
      <c r="D168" s="232">
        <v>6000</v>
      </c>
      <c r="E168" s="232">
        <v>6000</v>
      </c>
      <c r="F168" s="232">
        <v>6000</v>
      </c>
      <c r="G168" s="232">
        <v>6000</v>
      </c>
      <c r="H168" s="232">
        <v>6000</v>
      </c>
      <c r="I168" s="232">
        <f>6000</f>
        <v>6000</v>
      </c>
      <c r="J168" s="232">
        <f>6000</f>
        <v>6000</v>
      </c>
      <c r="K168" s="232">
        <f>6000</f>
        <v>6000</v>
      </c>
      <c r="L168" s="232">
        <v>0</v>
      </c>
      <c r="M168" s="466">
        <f t="shared" si="125"/>
        <v>0</v>
      </c>
      <c r="Q168" s="123"/>
      <c r="R168" s="123"/>
      <c r="T168" s="123"/>
    </row>
    <row r="169" spans="1:25" ht="15.75" customHeight="1" x14ac:dyDescent="0.25">
      <c r="A169" s="188" t="s">
        <v>132</v>
      </c>
      <c r="B169" s="133" t="s">
        <v>215</v>
      </c>
      <c r="C169" s="230">
        <v>75730</v>
      </c>
      <c r="D169" s="488">
        <f>75730-9060</f>
        <v>66670</v>
      </c>
      <c r="E169" s="230">
        <f>75730-9060-17840</f>
        <v>48830</v>
      </c>
      <c r="F169" s="488">
        <f>75730-9060-17840+9800</f>
        <v>58630</v>
      </c>
      <c r="G169" s="488">
        <f>75730-9060-17840+9800+3000</f>
        <v>61630</v>
      </c>
      <c r="H169" s="230">
        <f>75730-9060-17840+9800+3000</f>
        <v>61630</v>
      </c>
      <c r="I169" s="488">
        <f>75730-9060-17840+9800+3000-2270</f>
        <v>59360</v>
      </c>
      <c r="J169" s="230">
        <f>75730-9060-17840+9800+3000-2270</f>
        <v>59360</v>
      </c>
      <c r="K169" s="488">
        <f>75730-9060-17840+9800+3000-2270+200</f>
        <v>59560</v>
      </c>
      <c r="L169" s="230">
        <v>5637</v>
      </c>
      <c r="M169" s="466">
        <f t="shared" si="125"/>
        <v>9.4644056413700467E-2</v>
      </c>
      <c r="N169" s="123"/>
      <c r="Q169" s="123"/>
    </row>
    <row r="170" spans="1:25" ht="15.75" customHeight="1" x14ac:dyDescent="0.25">
      <c r="A170" s="188" t="s">
        <v>83</v>
      </c>
      <c r="B170" s="133" t="s">
        <v>219</v>
      </c>
      <c r="C170" s="230">
        <v>2000</v>
      </c>
      <c r="D170" s="230">
        <v>2000</v>
      </c>
      <c r="E170" s="230">
        <v>2000</v>
      </c>
      <c r="F170" s="230">
        <v>2000</v>
      </c>
      <c r="G170" s="230">
        <v>2000</v>
      </c>
      <c r="H170" s="230">
        <v>2000</v>
      </c>
      <c r="I170" s="230">
        <v>2000</v>
      </c>
      <c r="J170" s="230">
        <v>2000</v>
      </c>
      <c r="K170" s="230">
        <v>2000</v>
      </c>
      <c r="L170" s="230">
        <v>0</v>
      </c>
      <c r="M170" s="466">
        <f t="shared" si="125"/>
        <v>0</v>
      </c>
      <c r="N170" s="123"/>
    </row>
    <row r="171" spans="1:25" x14ac:dyDescent="0.25">
      <c r="A171" s="188" t="s">
        <v>83</v>
      </c>
      <c r="B171" s="133" t="s">
        <v>256</v>
      </c>
      <c r="C171" s="230">
        <v>10000</v>
      </c>
      <c r="D171" s="230">
        <v>10000</v>
      </c>
      <c r="E171" s="230">
        <v>10000</v>
      </c>
      <c r="F171" s="230">
        <v>10000</v>
      </c>
      <c r="G171" s="230">
        <v>10000</v>
      </c>
      <c r="H171" s="230">
        <v>10000</v>
      </c>
      <c r="I171" s="230">
        <v>10000</v>
      </c>
      <c r="J171" s="230">
        <v>10000</v>
      </c>
      <c r="K171" s="230">
        <v>10000</v>
      </c>
      <c r="L171" s="230">
        <v>0</v>
      </c>
      <c r="M171" s="466">
        <f t="shared" si="125"/>
        <v>0</v>
      </c>
      <c r="N171" s="123"/>
    </row>
    <row r="172" spans="1:25" ht="15" customHeight="1" x14ac:dyDescent="0.25">
      <c r="A172" s="188" t="s">
        <v>83</v>
      </c>
      <c r="B172" s="133" t="s">
        <v>221</v>
      </c>
      <c r="C172" s="230">
        <v>47000</v>
      </c>
      <c r="D172" s="488">
        <f>47000-12270</f>
        <v>34730</v>
      </c>
      <c r="E172" s="230">
        <f>47000-12270</f>
        <v>34730</v>
      </c>
      <c r="F172" s="488">
        <f t="shared" ref="F172:K172" si="127">47000-12270+1800</f>
        <v>36530</v>
      </c>
      <c r="G172" s="230">
        <f t="shared" si="127"/>
        <v>36530</v>
      </c>
      <c r="H172" s="230">
        <f t="shared" si="127"/>
        <v>36530</v>
      </c>
      <c r="I172" s="230">
        <f t="shared" si="127"/>
        <v>36530</v>
      </c>
      <c r="J172" s="230">
        <f t="shared" si="127"/>
        <v>36530</v>
      </c>
      <c r="K172" s="230">
        <f t="shared" si="127"/>
        <v>36530</v>
      </c>
      <c r="L172" s="230">
        <v>36425</v>
      </c>
      <c r="M172" s="466">
        <f t="shared" si="125"/>
        <v>0.9971256501505612</v>
      </c>
      <c r="N172" s="123"/>
      <c r="O172" s="123"/>
    </row>
    <row r="173" spans="1:25" ht="16.5" customHeight="1" thickBot="1" x14ac:dyDescent="0.3">
      <c r="A173" s="145" t="s">
        <v>85</v>
      </c>
      <c r="B173" s="131" t="s">
        <v>194</v>
      </c>
      <c r="C173" s="228">
        <v>10000</v>
      </c>
      <c r="D173" s="228">
        <v>10000</v>
      </c>
      <c r="E173" s="228">
        <v>10000</v>
      </c>
      <c r="F173" s="228">
        <v>10000</v>
      </c>
      <c r="G173" s="228">
        <v>10000</v>
      </c>
      <c r="H173" s="228">
        <v>10000</v>
      </c>
      <c r="I173" s="484">
        <f>10000+2500</f>
        <v>12500</v>
      </c>
      <c r="J173" s="228">
        <f>10000+2500</f>
        <v>12500</v>
      </c>
      <c r="K173" s="228">
        <f>10000+2500</f>
        <v>12500</v>
      </c>
      <c r="L173" s="228">
        <v>0</v>
      </c>
      <c r="M173" s="466">
        <f t="shared" si="125"/>
        <v>0</v>
      </c>
      <c r="S173" s="123"/>
      <c r="X173" s="123"/>
      <c r="Y173" s="123"/>
    </row>
    <row r="174" spans="1:25" x14ac:dyDescent="0.25">
      <c r="A174" s="149" t="s">
        <v>97</v>
      </c>
      <c r="B174" s="106" t="s">
        <v>171</v>
      </c>
      <c r="C174" s="229">
        <v>31000</v>
      </c>
      <c r="D174" s="229">
        <v>31000</v>
      </c>
      <c r="E174" s="229">
        <v>31000</v>
      </c>
      <c r="F174" s="229">
        <v>31000</v>
      </c>
      <c r="G174" s="229">
        <v>31000</v>
      </c>
      <c r="H174" s="229">
        <v>31000</v>
      </c>
      <c r="I174" s="229">
        <v>31000</v>
      </c>
      <c r="J174" s="229">
        <v>31000</v>
      </c>
      <c r="K174" s="229">
        <v>31000</v>
      </c>
      <c r="L174" s="229">
        <v>0</v>
      </c>
      <c r="M174" s="466">
        <f t="shared" si="125"/>
        <v>0</v>
      </c>
      <c r="S174" s="123"/>
      <c r="T174" s="123"/>
      <c r="U174" s="123"/>
      <c r="V174" s="123"/>
      <c r="W174" s="123"/>
      <c r="X174" s="123"/>
      <c r="Y174" s="123"/>
    </row>
    <row r="175" spans="1:25" x14ac:dyDescent="0.25">
      <c r="A175" s="148" t="s">
        <v>97</v>
      </c>
      <c r="B175" s="105" t="s">
        <v>193</v>
      </c>
      <c r="C175" s="233">
        <v>20000</v>
      </c>
      <c r="D175" s="233">
        <v>20000</v>
      </c>
      <c r="E175" s="233">
        <v>20000</v>
      </c>
      <c r="F175" s="233">
        <v>20000</v>
      </c>
      <c r="G175" s="233">
        <v>20000</v>
      </c>
      <c r="H175" s="233">
        <v>20000</v>
      </c>
      <c r="I175" s="233">
        <v>20000</v>
      </c>
      <c r="J175" s="233">
        <v>20000</v>
      </c>
      <c r="K175" s="233">
        <v>20000</v>
      </c>
      <c r="L175" s="233">
        <v>0</v>
      </c>
      <c r="M175" s="466">
        <f t="shared" si="125"/>
        <v>0</v>
      </c>
      <c r="Q175" s="123"/>
      <c r="R175" s="123"/>
    </row>
    <row r="176" spans="1:25" x14ac:dyDescent="0.25">
      <c r="A176" s="148" t="s">
        <v>97</v>
      </c>
      <c r="B176" s="105" t="s">
        <v>507</v>
      </c>
      <c r="C176" s="233">
        <v>0</v>
      </c>
      <c r="D176" s="233">
        <v>0</v>
      </c>
      <c r="E176" s="233">
        <v>0</v>
      </c>
      <c r="F176" s="554">
        <v>3300</v>
      </c>
      <c r="G176" s="233">
        <v>3300</v>
      </c>
      <c r="H176" s="233">
        <v>3300</v>
      </c>
      <c r="I176" s="233">
        <v>3300</v>
      </c>
      <c r="J176" s="233">
        <v>3300</v>
      </c>
      <c r="K176" s="233">
        <v>3300</v>
      </c>
      <c r="L176" s="233">
        <v>3300</v>
      </c>
      <c r="M176" s="466">
        <f t="shared" si="125"/>
        <v>1</v>
      </c>
      <c r="Q176" s="123"/>
    </row>
    <row r="177" spans="1:25" x14ac:dyDescent="0.25">
      <c r="A177" s="151" t="s">
        <v>102</v>
      </c>
      <c r="B177" s="152" t="s">
        <v>373</v>
      </c>
      <c r="C177" s="230">
        <v>45000</v>
      </c>
      <c r="D177" s="230">
        <v>45000</v>
      </c>
      <c r="E177" s="230">
        <v>45000</v>
      </c>
      <c r="F177" s="230">
        <v>45000</v>
      </c>
      <c r="G177" s="230">
        <v>45000</v>
      </c>
      <c r="H177" s="230">
        <v>45000</v>
      </c>
      <c r="I177" s="230">
        <v>45000</v>
      </c>
      <c r="J177" s="230">
        <v>45000</v>
      </c>
      <c r="K177" s="230">
        <v>45000</v>
      </c>
      <c r="L177" s="230">
        <v>0</v>
      </c>
      <c r="M177" s="466">
        <f t="shared" si="125"/>
        <v>0</v>
      </c>
      <c r="N177" s="123"/>
      <c r="O177" s="123"/>
    </row>
    <row r="178" spans="1:25" ht="15.75" thickBot="1" x14ac:dyDescent="0.3">
      <c r="A178" s="153" t="s">
        <v>102</v>
      </c>
      <c r="B178" s="130" t="s">
        <v>342</v>
      </c>
      <c r="C178" s="231">
        <v>35000</v>
      </c>
      <c r="D178" s="231">
        <v>35000</v>
      </c>
      <c r="E178" s="231">
        <v>35000</v>
      </c>
      <c r="F178" s="231">
        <v>35000</v>
      </c>
      <c r="G178" s="231">
        <v>35000</v>
      </c>
      <c r="H178" s="231">
        <v>35000</v>
      </c>
      <c r="I178" s="231">
        <v>35000</v>
      </c>
      <c r="J178" s="231">
        <v>35000</v>
      </c>
      <c r="K178" s="231">
        <v>35000</v>
      </c>
      <c r="L178" s="231">
        <v>0</v>
      </c>
      <c r="M178" s="466">
        <f t="shared" si="125"/>
        <v>0</v>
      </c>
    </row>
    <row r="179" spans="1:25" ht="15.75" thickBot="1" x14ac:dyDescent="0.3">
      <c r="A179" s="213" t="s">
        <v>106</v>
      </c>
      <c r="B179" s="211" t="s">
        <v>165</v>
      </c>
      <c r="C179" s="303">
        <v>127800</v>
      </c>
      <c r="D179" s="486">
        <f t="shared" ref="D179:H179" si="128">127800-800</f>
        <v>127000</v>
      </c>
      <c r="E179" s="303">
        <f t="shared" si="128"/>
        <v>127000</v>
      </c>
      <c r="F179" s="303">
        <f t="shared" si="128"/>
        <v>127000</v>
      </c>
      <c r="G179" s="303">
        <f t="shared" si="128"/>
        <v>127000</v>
      </c>
      <c r="H179" s="303">
        <f t="shared" si="128"/>
        <v>127000</v>
      </c>
      <c r="I179" s="486">
        <f>127800-800-1800</f>
        <v>125200</v>
      </c>
      <c r="J179" s="303">
        <f>127800-800-1800</f>
        <v>125200</v>
      </c>
      <c r="K179" s="303">
        <f>127800-800-1800</f>
        <v>125200</v>
      </c>
      <c r="L179" s="303">
        <v>125059</v>
      </c>
      <c r="M179" s="466">
        <f t="shared" si="125"/>
        <v>0.99887380191693287</v>
      </c>
    </row>
    <row r="180" spans="1:25" x14ac:dyDescent="0.25">
      <c r="A180" s="213" t="s">
        <v>445</v>
      </c>
      <c r="B180" s="211" t="s">
        <v>590</v>
      </c>
      <c r="C180" s="303">
        <v>0</v>
      </c>
      <c r="D180" s="303">
        <v>0</v>
      </c>
      <c r="E180" s="303">
        <v>0</v>
      </c>
      <c r="F180" s="303">
        <v>0</v>
      </c>
      <c r="G180" s="303">
        <v>0</v>
      </c>
      <c r="H180" s="303">
        <v>0</v>
      </c>
      <c r="I180" s="486">
        <v>10000</v>
      </c>
      <c r="J180" s="303">
        <v>10000</v>
      </c>
      <c r="K180" s="303">
        <v>10000</v>
      </c>
      <c r="L180" s="303">
        <v>0</v>
      </c>
      <c r="M180" s="466">
        <f t="shared" si="125"/>
        <v>0</v>
      </c>
    </row>
    <row r="181" spans="1:25" ht="15" customHeight="1" thickBot="1" x14ac:dyDescent="0.3">
      <c r="A181" s="153" t="s">
        <v>115</v>
      </c>
      <c r="B181" s="130" t="s">
        <v>246</v>
      </c>
      <c r="C181" s="231">
        <v>3000</v>
      </c>
      <c r="D181" s="489">
        <f t="shared" ref="D181:H181" si="129">3000+600</f>
        <v>3600</v>
      </c>
      <c r="E181" s="231">
        <f t="shared" si="129"/>
        <v>3600</v>
      </c>
      <c r="F181" s="231">
        <f t="shared" si="129"/>
        <v>3600</v>
      </c>
      <c r="G181" s="231">
        <f t="shared" si="129"/>
        <v>3600</v>
      </c>
      <c r="H181" s="231">
        <f t="shared" si="129"/>
        <v>3600</v>
      </c>
      <c r="I181" s="489">
        <f>3000+600-1200</f>
        <v>2400</v>
      </c>
      <c r="J181" s="231">
        <f>3000+600-1200</f>
        <v>2400</v>
      </c>
      <c r="K181" s="231">
        <f>3000+600-1200</f>
        <v>2400</v>
      </c>
      <c r="L181" s="231">
        <v>2388</v>
      </c>
      <c r="M181" s="466">
        <f t="shared" si="125"/>
        <v>0.995</v>
      </c>
      <c r="N181" s="123"/>
      <c r="O181" s="123"/>
      <c r="S181" s="123"/>
      <c r="T181" s="123"/>
    </row>
    <row r="182" spans="1:25" ht="15.75" thickBot="1" x14ac:dyDescent="0.3">
      <c r="A182" s="356" t="s">
        <v>248</v>
      </c>
      <c r="B182" s="108" t="s">
        <v>247</v>
      </c>
      <c r="C182" s="228">
        <v>193255</v>
      </c>
      <c r="D182" s="484">
        <f t="shared" ref="D182:H182" si="130">193255+11045</f>
        <v>204300</v>
      </c>
      <c r="E182" s="228">
        <f t="shared" si="130"/>
        <v>204300</v>
      </c>
      <c r="F182" s="228">
        <f t="shared" si="130"/>
        <v>204300</v>
      </c>
      <c r="G182" s="228">
        <f t="shared" si="130"/>
        <v>204300</v>
      </c>
      <c r="H182" s="228">
        <f t="shared" si="130"/>
        <v>204300</v>
      </c>
      <c r="I182" s="484">
        <f>193255+11045-2230</f>
        <v>202070</v>
      </c>
      <c r="J182" s="484">
        <f>193255+11045-2230-10000</f>
        <v>192070</v>
      </c>
      <c r="K182" s="228">
        <f>193255+11045-2230-10000</f>
        <v>192070</v>
      </c>
      <c r="L182" s="228">
        <v>0</v>
      </c>
      <c r="M182" s="466">
        <f t="shared" si="125"/>
        <v>0</v>
      </c>
      <c r="R182" s="123"/>
      <c r="S182" s="123"/>
    </row>
    <row r="183" spans="1:25" ht="15" customHeight="1" x14ac:dyDescent="0.25">
      <c r="A183" s="155"/>
      <c r="B183" s="156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1"/>
      <c r="Q183" s="123"/>
      <c r="R183" s="123"/>
      <c r="S183" s="123"/>
      <c r="X183" s="123"/>
      <c r="Y183" s="123"/>
    </row>
    <row r="184" spans="1:25" x14ac:dyDescent="0.25">
      <c r="A184" s="154"/>
      <c r="B184" s="80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P184" s="123"/>
      <c r="Q184" s="123"/>
      <c r="T184" s="123"/>
      <c r="U184" s="123"/>
      <c r="V184" s="123"/>
      <c r="W184" s="123"/>
    </row>
    <row r="185" spans="1:25" ht="18.75" thickBot="1" x14ac:dyDescent="0.3">
      <c r="A185" s="650" t="s">
        <v>133</v>
      </c>
      <c r="B185" s="651"/>
      <c r="C185" s="651"/>
      <c r="D185" s="651"/>
      <c r="E185" s="651"/>
      <c r="F185" s="651"/>
      <c r="G185" s="651"/>
      <c r="H185" s="651"/>
      <c r="I185" s="651"/>
      <c r="J185" s="651"/>
      <c r="K185" s="651"/>
      <c r="L185" s="651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</row>
    <row r="186" spans="1:25" ht="15.75" customHeight="1" x14ac:dyDescent="0.25">
      <c r="A186" s="644" t="s">
        <v>1</v>
      </c>
      <c r="B186" s="645"/>
      <c r="C186" s="638" t="s">
        <v>323</v>
      </c>
      <c r="D186" s="638" t="s">
        <v>562</v>
      </c>
      <c r="E186" s="638" t="s">
        <v>563</v>
      </c>
      <c r="F186" s="638" t="s">
        <v>564</v>
      </c>
      <c r="G186" s="638" t="s">
        <v>565</v>
      </c>
      <c r="H186" s="638" t="s">
        <v>566</v>
      </c>
      <c r="I186" s="638" t="s">
        <v>567</v>
      </c>
      <c r="J186" s="638" t="s">
        <v>605</v>
      </c>
      <c r="K186" s="638" t="s">
        <v>640</v>
      </c>
      <c r="L186" s="638" t="s">
        <v>654</v>
      </c>
      <c r="M186" s="640" t="s">
        <v>352</v>
      </c>
      <c r="Q186" s="123"/>
      <c r="R186" s="123"/>
      <c r="S186" s="123"/>
    </row>
    <row r="187" spans="1:25" ht="15" customHeight="1" thickBot="1" x14ac:dyDescent="0.3">
      <c r="A187" s="646"/>
      <c r="B187" s="647"/>
      <c r="C187" s="639"/>
      <c r="D187" s="639"/>
      <c r="E187" s="639"/>
      <c r="F187" s="639"/>
      <c r="G187" s="639"/>
      <c r="H187" s="639"/>
      <c r="I187" s="639"/>
      <c r="J187" s="639"/>
      <c r="K187" s="639"/>
      <c r="L187" s="639"/>
      <c r="M187" s="641"/>
      <c r="N187" s="123"/>
      <c r="O187" s="123"/>
      <c r="P187" s="123"/>
      <c r="Q187" s="123"/>
      <c r="S187" s="123"/>
    </row>
    <row r="188" spans="1:25" ht="16.5" thickBot="1" x14ac:dyDescent="0.3">
      <c r="A188" s="82" t="s">
        <v>134</v>
      </c>
      <c r="B188" s="83"/>
      <c r="C188" s="84">
        <f t="shared" ref="C188:H188" si="131">SUM(C189:C193)</f>
        <v>402140</v>
      </c>
      <c r="D188" s="84">
        <f t="shared" si="131"/>
        <v>402140</v>
      </c>
      <c r="E188" s="84">
        <f t="shared" si="131"/>
        <v>402140</v>
      </c>
      <c r="F188" s="84">
        <f t="shared" si="131"/>
        <v>523640</v>
      </c>
      <c r="G188" s="84">
        <f t="shared" si="131"/>
        <v>523640</v>
      </c>
      <c r="H188" s="84">
        <f t="shared" si="131"/>
        <v>523640</v>
      </c>
      <c r="I188" s="84">
        <f t="shared" ref="I188:L188" si="132">SUM(I189:I193)</f>
        <v>523640</v>
      </c>
      <c r="J188" s="84">
        <f t="shared" si="132"/>
        <v>523640</v>
      </c>
      <c r="K188" s="84">
        <f t="shared" ref="K188" si="133">SUM(K189:K193)</f>
        <v>523640</v>
      </c>
      <c r="L188" s="84">
        <f t="shared" si="132"/>
        <v>80627</v>
      </c>
      <c r="M188" s="466">
        <f t="shared" ref="M188:M197" si="134">L188/K188</f>
        <v>0.15397410434649758</v>
      </c>
      <c r="N188" s="123">
        <f t="shared" ref="N188:U188" si="135">D188-C188</f>
        <v>0</v>
      </c>
      <c r="O188" s="123">
        <f t="shared" si="135"/>
        <v>0</v>
      </c>
      <c r="P188" s="123">
        <f t="shared" si="135"/>
        <v>121500</v>
      </c>
      <c r="Q188" s="123">
        <f t="shared" si="135"/>
        <v>0</v>
      </c>
      <c r="R188" s="123">
        <f t="shared" si="135"/>
        <v>0</v>
      </c>
      <c r="S188" s="123">
        <f t="shared" si="135"/>
        <v>0</v>
      </c>
      <c r="T188" s="123">
        <f t="shared" si="135"/>
        <v>0</v>
      </c>
      <c r="U188" s="123">
        <f t="shared" si="135"/>
        <v>0</v>
      </c>
      <c r="V188" s="123"/>
    </row>
    <row r="189" spans="1:25" ht="15" customHeight="1" x14ac:dyDescent="0.25">
      <c r="A189" s="158">
        <v>453</v>
      </c>
      <c r="B189" s="159" t="s">
        <v>355</v>
      </c>
      <c r="C189" s="172">
        <v>1000</v>
      </c>
      <c r="D189" s="172">
        <v>1000</v>
      </c>
      <c r="E189" s="172">
        <v>1000</v>
      </c>
      <c r="F189" s="172">
        <v>1000</v>
      </c>
      <c r="G189" s="172">
        <v>1000</v>
      </c>
      <c r="H189" s="172">
        <v>1000</v>
      </c>
      <c r="I189" s="172">
        <v>1000</v>
      </c>
      <c r="J189" s="172">
        <v>1000</v>
      </c>
      <c r="K189" s="172">
        <v>1000</v>
      </c>
      <c r="L189" s="172">
        <v>480</v>
      </c>
      <c r="M189" s="466">
        <f t="shared" si="134"/>
        <v>0.48</v>
      </c>
      <c r="P189" s="123"/>
      <c r="Q189" s="123"/>
    </row>
    <row r="190" spans="1:25" ht="15.75" customHeight="1" x14ac:dyDescent="0.25">
      <c r="A190" s="158">
        <v>453</v>
      </c>
      <c r="B190" s="159" t="s">
        <v>330</v>
      </c>
      <c r="C190" s="172">
        <v>1000</v>
      </c>
      <c r="D190" s="172">
        <v>1000</v>
      </c>
      <c r="E190" s="172">
        <v>1000</v>
      </c>
      <c r="F190" s="172">
        <v>1000</v>
      </c>
      <c r="G190" s="172">
        <v>1000</v>
      </c>
      <c r="H190" s="172">
        <v>1000</v>
      </c>
      <c r="I190" s="172">
        <v>1000</v>
      </c>
      <c r="J190" s="172">
        <v>1000</v>
      </c>
      <c r="K190" s="172">
        <v>1000</v>
      </c>
      <c r="L190" s="172">
        <f>444+390</f>
        <v>834</v>
      </c>
      <c r="M190" s="466">
        <f t="shared" si="134"/>
        <v>0.83399999999999996</v>
      </c>
      <c r="O190" s="123">
        <f t="shared" ref="O190:U190" si="136">SUM(C189:C190)</f>
        <v>2000</v>
      </c>
      <c r="P190" s="123">
        <f t="shared" si="136"/>
        <v>2000</v>
      </c>
      <c r="Q190" s="123">
        <f t="shared" si="136"/>
        <v>2000</v>
      </c>
      <c r="R190" s="123">
        <f t="shared" si="136"/>
        <v>2000</v>
      </c>
      <c r="S190" s="123">
        <f t="shared" si="136"/>
        <v>2000</v>
      </c>
      <c r="T190" s="123">
        <f t="shared" si="136"/>
        <v>2000</v>
      </c>
      <c r="U190" s="123">
        <f t="shared" si="136"/>
        <v>2000</v>
      </c>
      <c r="V190" s="123"/>
    </row>
    <row r="191" spans="1:25" x14ac:dyDescent="0.25">
      <c r="A191" s="157">
        <v>454</v>
      </c>
      <c r="B191" s="126" t="s">
        <v>135</v>
      </c>
      <c r="C191" s="171">
        <v>100000</v>
      </c>
      <c r="D191" s="171">
        <v>100000</v>
      </c>
      <c r="E191" s="171">
        <v>100000</v>
      </c>
      <c r="F191" s="460">
        <f t="shared" ref="F191:K191" si="137">100000+121500</f>
        <v>221500</v>
      </c>
      <c r="G191" s="171">
        <f t="shared" si="137"/>
        <v>221500</v>
      </c>
      <c r="H191" s="171">
        <f t="shared" si="137"/>
        <v>221500</v>
      </c>
      <c r="I191" s="171">
        <f t="shared" si="137"/>
        <v>221500</v>
      </c>
      <c r="J191" s="171">
        <f t="shared" si="137"/>
        <v>221500</v>
      </c>
      <c r="K191" s="171">
        <f t="shared" si="137"/>
        <v>221500</v>
      </c>
      <c r="L191" s="171">
        <v>79291</v>
      </c>
      <c r="M191" s="466">
        <f t="shared" si="134"/>
        <v>0.35797291196388265</v>
      </c>
      <c r="O191" s="123"/>
    </row>
    <row r="192" spans="1:25" ht="15.75" thickBot="1" x14ac:dyDescent="0.3">
      <c r="A192" s="225">
        <v>456</v>
      </c>
      <c r="B192" s="226" t="s">
        <v>204</v>
      </c>
      <c r="C192" s="227">
        <v>140</v>
      </c>
      <c r="D192" s="227">
        <v>140</v>
      </c>
      <c r="E192" s="227">
        <v>140</v>
      </c>
      <c r="F192" s="227">
        <v>140</v>
      </c>
      <c r="G192" s="227">
        <v>140</v>
      </c>
      <c r="H192" s="227">
        <v>140</v>
      </c>
      <c r="I192" s="227">
        <v>140</v>
      </c>
      <c r="J192" s="227">
        <v>140</v>
      </c>
      <c r="K192" s="227">
        <v>140</v>
      </c>
      <c r="L192" s="227">
        <v>22</v>
      </c>
      <c r="M192" s="466">
        <f t="shared" si="134"/>
        <v>0.15714285714285714</v>
      </c>
      <c r="N192" s="89"/>
      <c r="O192" s="123">
        <f t="shared" ref="O192:U192" si="138">SUM(C189:C192)</f>
        <v>102140</v>
      </c>
      <c r="P192" s="123">
        <f t="shared" si="138"/>
        <v>102140</v>
      </c>
      <c r="Q192" s="123">
        <f t="shared" si="138"/>
        <v>102140</v>
      </c>
      <c r="R192" s="123">
        <f t="shared" si="138"/>
        <v>223640</v>
      </c>
      <c r="S192" s="123">
        <f t="shared" si="138"/>
        <v>223640</v>
      </c>
      <c r="T192" s="123">
        <f t="shared" si="138"/>
        <v>223640</v>
      </c>
      <c r="U192" s="123">
        <f t="shared" si="138"/>
        <v>223640</v>
      </c>
      <c r="V192" s="123"/>
    </row>
    <row r="193" spans="1:22" ht="15.75" thickBot="1" x14ac:dyDescent="0.3">
      <c r="A193" s="222">
        <v>513</v>
      </c>
      <c r="B193" s="223" t="s">
        <v>137</v>
      </c>
      <c r="C193" s="224">
        <v>300000</v>
      </c>
      <c r="D193" s="224">
        <v>300000</v>
      </c>
      <c r="E193" s="224">
        <v>300000</v>
      </c>
      <c r="F193" s="224">
        <v>300000</v>
      </c>
      <c r="G193" s="224">
        <v>300000</v>
      </c>
      <c r="H193" s="224">
        <v>300000</v>
      </c>
      <c r="I193" s="224">
        <v>300000</v>
      </c>
      <c r="J193" s="224">
        <v>300000</v>
      </c>
      <c r="K193" s="224">
        <v>300000</v>
      </c>
      <c r="L193" s="224">
        <v>0</v>
      </c>
      <c r="M193" s="466">
        <f t="shared" si="134"/>
        <v>0</v>
      </c>
      <c r="N193" s="123"/>
    </row>
    <row r="194" spans="1:22" ht="16.5" thickBot="1" x14ac:dyDescent="0.3">
      <c r="A194" s="82" t="s">
        <v>138</v>
      </c>
      <c r="B194" s="83"/>
      <c r="C194" s="84">
        <f t="shared" ref="C194:L194" si="139">SUM(C195:C197)</f>
        <v>10940</v>
      </c>
      <c r="D194" s="84">
        <f t="shared" si="139"/>
        <v>11000</v>
      </c>
      <c r="E194" s="84">
        <f t="shared" si="139"/>
        <v>11000</v>
      </c>
      <c r="F194" s="84">
        <f t="shared" si="139"/>
        <v>11000</v>
      </c>
      <c r="G194" s="84">
        <f t="shared" si="139"/>
        <v>11000</v>
      </c>
      <c r="H194" s="84">
        <f t="shared" si="139"/>
        <v>11000</v>
      </c>
      <c r="I194" s="84">
        <f t="shared" si="139"/>
        <v>11000</v>
      </c>
      <c r="J194" s="84">
        <f t="shared" si="139"/>
        <v>11000</v>
      </c>
      <c r="K194" s="84">
        <f t="shared" ref="K194" si="140">SUM(K195:K197)</f>
        <v>11000</v>
      </c>
      <c r="L194" s="84">
        <f t="shared" si="139"/>
        <v>735</v>
      </c>
      <c r="M194" s="466">
        <f t="shared" si="134"/>
        <v>6.6818181818181818E-2</v>
      </c>
      <c r="N194" s="123">
        <f t="shared" ref="N194:U194" si="141">D194-C194</f>
        <v>60</v>
      </c>
      <c r="O194" s="123">
        <f t="shared" si="141"/>
        <v>0</v>
      </c>
      <c r="P194" s="123">
        <f t="shared" si="141"/>
        <v>0</v>
      </c>
      <c r="Q194" s="123">
        <f t="shared" si="141"/>
        <v>0</v>
      </c>
      <c r="R194" s="123">
        <f t="shared" si="141"/>
        <v>0</v>
      </c>
      <c r="S194" s="123">
        <f t="shared" si="141"/>
        <v>0</v>
      </c>
      <c r="T194" s="123">
        <f t="shared" si="141"/>
        <v>0</v>
      </c>
      <c r="U194" s="123">
        <f t="shared" si="141"/>
        <v>0</v>
      </c>
      <c r="V194" s="123"/>
    </row>
    <row r="195" spans="1:22" x14ac:dyDescent="0.25">
      <c r="A195" s="206">
        <v>819</v>
      </c>
      <c r="B195" s="85" t="s">
        <v>203</v>
      </c>
      <c r="C195" s="86">
        <v>140</v>
      </c>
      <c r="D195" s="86">
        <v>140</v>
      </c>
      <c r="E195" s="86">
        <v>140</v>
      </c>
      <c r="F195" s="86">
        <v>140</v>
      </c>
      <c r="G195" s="86">
        <v>140</v>
      </c>
      <c r="H195" s="86">
        <v>140</v>
      </c>
      <c r="I195" s="86">
        <v>140</v>
      </c>
      <c r="J195" s="86">
        <v>140</v>
      </c>
      <c r="K195" s="86">
        <v>140</v>
      </c>
      <c r="L195" s="86">
        <v>22</v>
      </c>
      <c r="M195" s="466">
        <f t="shared" si="134"/>
        <v>0.15714285714285714</v>
      </c>
    </row>
    <row r="196" spans="1:22" ht="15" customHeight="1" x14ac:dyDescent="0.25">
      <c r="A196" s="207">
        <v>821</v>
      </c>
      <c r="B196" s="208" t="s">
        <v>206</v>
      </c>
      <c r="C196" s="169">
        <v>10000</v>
      </c>
      <c r="D196" s="169">
        <v>10000</v>
      </c>
      <c r="E196" s="169">
        <v>10000</v>
      </c>
      <c r="F196" s="169">
        <v>10000</v>
      </c>
      <c r="G196" s="169">
        <v>10000</v>
      </c>
      <c r="H196" s="169">
        <v>10000</v>
      </c>
      <c r="I196" s="169">
        <v>10000</v>
      </c>
      <c r="J196" s="169">
        <v>10000</v>
      </c>
      <c r="K196" s="169">
        <v>10000</v>
      </c>
      <c r="L196" s="169">
        <v>0</v>
      </c>
      <c r="M196" s="466">
        <f t="shared" si="134"/>
        <v>0</v>
      </c>
    </row>
    <row r="197" spans="1:22" ht="15.75" thickBot="1" x14ac:dyDescent="0.3">
      <c r="A197" s="339">
        <v>821</v>
      </c>
      <c r="B197" s="87" t="s">
        <v>139</v>
      </c>
      <c r="C197" s="42">
        <v>800</v>
      </c>
      <c r="D197" s="454">
        <v>860</v>
      </c>
      <c r="E197" s="50">
        <v>860</v>
      </c>
      <c r="F197" s="50">
        <v>860</v>
      </c>
      <c r="G197" s="50">
        <v>860</v>
      </c>
      <c r="H197" s="50">
        <v>860</v>
      </c>
      <c r="I197" s="50">
        <v>860</v>
      </c>
      <c r="J197" s="50">
        <v>860</v>
      </c>
      <c r="K197" s="50">
        <v>860</v>
      </c>
      <c r="L197" s="42">
        <v>713</v>
      </c>
      <c r="M197" s="466">
        <f t="shared" si="134"/>
        <v>0.82906976744186045</v>
      </c>
    </row>
    <row r="198" spans="1:22" ht="15" customHeight="1" x14ac:dyDescent="0.25">
      <c r="A198" s="154"/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156"/>
    </row>
    <row r="199" spans="1:22" ht="63" customHeight="1" x14ac:dyDescent="0.25">
      <c r="A199" s="33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</row>
    <row r="200" spans="1:22" ht="18.75" thickBot="1" x14ac:dyDescent="0.3">
      <c r="A200" s="642" t="s">
        <v>140</v>
      </c>
      <c r="B200" s="643"/>
      <c r="C200" s="643"/>
      <c r="D200" s="643"/>
      <c r="E200" s="643"/>
      <c r="F200" s="643"/>
      <c r="G200" s="643"/>
      <c r="H200" s="643"/>
      <c r="I200" s="643"/>
      <c r="J200" s="643"/>
      <c r="K200" s="643"/>
      <c r="L200" s="643"/>
    </row>
    <row r="201" spans="1:22" ht="15" customHeight="1" x14ac:dyDescent="0.25">
      <c r="A201" s="644" t="s">
        <v>1</v>
      </c>
      <c r="B201" s="645"/>
      <c r="C201" s="638" t="s">
        <v>323</v>
      </c>
      <c r="D201" s="638" t="s">
        <v>562</v>
      </c>
      <c r="E201" s="638" t="s">
        <v>563</v>
      </c>
      <c r="F201" s="638" t="s">
        <v>564</v>
      </c>
      <c r="G201" s="638" t="s">
        <v>565</v>
      </c>
      <c r="H201" s="638" t="s">
        <v>566</v>
      </c>
      <c r="I201" s="638" t="s">
        <v>567</v>
      </c>
      <c r="J201" s="638" t="s">
        <v>605</v>
      </c>
      <c r="K201" s="638" t="s">
        <v>640</v>
      </c>
      <c r="L201" s="638" t="s">
        <v>654</v>
      </c>
    </row>
    <row r="202" spans="1:22" ht="15.75" thickBot="1" x14ac:dyDescent="0.3">
      <c r="A202" s="646"/>
      <c r="B202" s="647"/>
      <c r="C202" s="639"/>
      <c r="D202" s="639"/>
      <c r="E202" s="639"/>
      <c r="F202" s="639"/>
      <c r="G202" s="639"/>
      <c r="H202" s="639"/>
      <c r="I202" s="639"/>
      <c r="J202" s="639"/>
      <c r="K202" s="639"/>
      <c r="L202" s="639"/>
    </row>
    <row r="203" spans="1:22" ht="15.75" x14ac:dyDescent="0.25">
      <c r="A203" s="90" t="s">
        <v>141</v>
      </c>
      <c r="B203" s="120"/>
      <c r="C203" s="91">
        <f t="shared" ref="C203:L203" si="142">C75</f>
        <v>2160910</v>
      </c>
      <c r="D203" s="91">
        <f t="shared" si="142"/>
        <v>2204460</v>
      </c>
      <c r="E203" s="91">
        <f t="shared" si="142"/>
        <v>2211405</v>
      </c>
      <c r="F203" s="91">
        <f t="shared" si="142"/>
        <v>2240450</v>
      </c>
      <c r="G203" s="91">
        <f t="shared" si="142"/>
        <v>2282161</v>
      </c>
      <c r="H203" s="91">
        <f t="shared" si="142"/>
        <v>2295914</v>
      </c>
      <c r="I203" s="91">
        <f t="shared" si="142"/>
        <v>2294490</v>
      </c>
      <c r="J203" s="91">
        <f t="shared" si="142"/>
        <v>2294800</v>
      </c>
      <c r="K203" s="91">
        <f t="shared" ref="K203" si="143">K75</f>
        <v>2293209</v>
      </c>
      <c r="L203" s="91">
        <f t="shared" si="142"/>
        <v>1831758</v>
      </c>
    </row>
    <row r="204" spans="1:22" ht="15.75" x14ac:dyDescent="0.25">
      <c r="A204" s="92" t="s">
        <v>142</v>
      </c>
      <c r="B204" s="209"/>
      <c r="C204" s="93">
        <f t="shared" ref="C204:L204" si="144">C145</f>
        <v>2152110</v>
      </c>
      <c r="D204" s="93">
        <f t="shared" si="144"/>
        <v>2195600</v>
      </c>
      <c r="E204" s="93">
        <f t="shared" si="144"/>
        <v>2202545</v>
      </c>
      <c r="F204" s="93">
        <f t="shared" si="144"/>
        <v>2228290</v>
      </c>
      <c r="G204" s="93">
        <f t="shared" si="144"/>
        <v>2270001</v>
      </c>
      <c r="H204" s="93">
        <f t="shared" si="144"/>
        <v>2283754</v>
      </c>
      <c r="I204" s="93">
        <f t="shared" si="144"/>
        <v>2282330</v>
      </c>
      <c r="J204" s="93">
        <f t="shared" si="144"/>
        <v>2282640</v>
      </c>
      <c r="K204" s="93">
        <f t="shared" ref="K204" si="145">K145</f>
        <v>2281049</v>
      </c>
      <c r="L204" s="93">
        <f t="shared" si="144"/>
        <v>1555600</v>
      </c>
    </row>
    <row r="205" spans="1:22" ht="15.75" x14ac:dyDescent="0.25">
      <c r="A205" s="634" t="s">
        <v>143</v>
      </c>
      <c r="B205" s="635"/>
      <c r="C205" s="94">
        <f t="shared" ref="C205:L205" si="146">C203-C204</f>
        <v>8800</v>
      </c>
      <c r="D205" s="94">
        <f t="shared" si="146"/>
        <v>8860</v>
      </c>
      <c r="E205" s="94">
        <f t="shared" si="146"/>
        <v>8860</v>
      </c>
      <c r="F205" s="94">
        <f t="shared" si="146"/>
        <v>12160</v>
      </c>
      <c r="G205" s="94">
        <f t="shared" si="146"/>
        <v>12160</v>
      </c>
      <c r="H205" s="94">
        <f t="shared" si="146"/>
        <v>12160</v>
      </c>
      <c r="I205" s="94">
        <f t="shared" si="146"/>
        <v>12160</v>
      </c>
      <c r="J205" s="94">
        <f t="shared" si="146"/>
        <v>12160</v>
      </c>
      <c r="K205" s="94">
        <f t="shared" ref="K205" si="147">K203-K204</f>
        <v>12160</v>
      </c>
      <c r="L205" s="94">
        <f t="shared" si="146"/>
        <v>276158</v>
      </c>
      <c r="S205" s="123"/>
    </row>
    <row r="206" spans="1:22" ht="15.75" x14ac:dyDescent="0.25">
      <c r="A206" s="92" t="s">
        <v>144</v>
      </c>
      <c r="B206" s="116"/>
      <c r="C206" s="93">
        <f t="shared" ref="C206:L206" si="148">C151</f>
        <v>620702</v>
      </c>
      <c r="D206" s="93">
        <f t="shared" si="148"/>
        <v>635220</v>
      </c>
      <c r="E206" s="93">
        <f t="shared" si="148"/>
        <v>635220</v>
      </c>
      <c r="F206" s="93">
        <f t="shared" si="148"/>
        <v>561520</v>
      </c>
      <c r="G206" s="93">
        <f t="shared" si="148"/>
        <v>519520</v>
      </c>
      <c r="H206" s="93">
        <f t="shared" si="148"/>
        <v>519520</v>
      </c>
      <c r="I206" s="93">
        <f t="shared" si="148"/>
        <v>519520</v>
      </c>
      <c r="J206" s="93">
        <f t="shared" si="148"/>
        <v>519520</v>
      </c>
      <c r="K206" s="93">
        <f t="shared" ref="K206" si="149">K151</f>
        <v>519720</v>
      </c>
      <c r="L206" s="93">
        <f t="shared" si="148"/>
        <v>119598</v>
      </c>
      <c r="S206" s="123"/>
    </row>
    <row r="207" spans="1:22" ht="15.75" x14ac:dyDescent="0.25">
      <c r="A207" s="92" t="s">
        <v>145</v>
      </c>
      <c r="B207" s="116"/>
      <c r="C207" s="8">
        <f t="shared" ref="C207:L207" si="150">C158</f>
        <v>1020702</v>
      </c>
      <c r="D207" s="8">
        <f t="shared" si="150"/>
        <v>1035220</v>
      </c>
      <c r="E207" s="8">
        <f t="shared" si="150"/>
        <v>1035220</v>
      </c>
      <c r="F207" s="8">
        <f t="shared" si="150"/>
        <v>1086320</v>
      </c>
      <c r="G207" s="8">
        <f t="shared" si="150"/>
        <v>1044320</v>
      </c>
      <c r="H207" s="8">
        <f t="shared" si="150"/>
        <v>1044320</v>
      </c>
      <c r="I207" s="8">
        <f t="shared" si="150"/>
        <v>1044320</v>
      </c>
      <c r="J207" s="8">
        <f t="shared" si="150"/>
        <v>1044320</v>
      </c>
      <c r="K207" s="8">
        <f t="shared" ref="K207" si="151">K158</f>
        <v>1044520</v>
      </c>
      <c r="L207" s="8">
        <f t="shared" si="150"/>
        <v>199243</v>
      </c>
      <c r="R207" s="123"/>
      <c r="S207" s="123"/>
    </row>
    <row r="208" spans="1:22" ht="15.75" x14ac:dyDescent="0.25">
      <c r="A208" s="634" t="s">
        <v>146</v>
      </c>
      <c r="B208" s="635"/>
      <c r="C208" s="94">
        <f t="shared" ref="C208:L208" si="152">C206-C207</f>
        <v>-400000</v>
      </c>
      <c r="D208" s="94">
        <f t="shared" si="152"/>
        <v>-400000</v>
      </c>
      <c r="E208" s="94">
        <f t="shared" si="152"/>
        <v>-400000</v>
      </c>
      <c r="F208" s="94">
        <f t="shared" si="152"/>
        <v>-524800</v>
      </c>
      <c r="G208" s="94">
        <f t="shared" si="152"/>
        <v>-524800</v>
      </c>
      <c r="H208" s="94">
        <f t="shared" si="152"/>
        <v>-524800</v>
      </c>
      <c r="I208" s="94">
        <f t="shared" si="152"/>
        <v>-524800</v>
      </c>
      <c r="J208" s="94">
        <f t="shared" si="152"/>
        <v>-524800</v>
      </c>
      <c r="K208" s="94">
        <f t="shared" ref="K208" si="153">K206-K207</f>
        <v>-524800</v>
      </c>
      <c r="L208" s="94">
        <f t="shared" si="152"/>
        <v>-79645</v>
      </c>
      <c r="Q208" s="123"/>
      <c r="R208" s="123"/>
      <c r="S208" s="123"/>
    </row>
    <row r="209" spans="1:21" ht="15.75" x14ac:dyDescent="0.25">
      <c r="A209" s="95" t="s">
        <v>147</v>
      </c>
      <c r="B209" s="96"/>
      <c r="C209" s="97">
        <f t="shared" ref="C209:L209" si="154">C188</f>
        <v>402140</v>
      </c>
      <c r="D209" s="97">
        <f t="shared" si="154"/>
        <v>402140</v>
      </c>
      <c r="E209" s="97">
        <f t="shared" si="154"/>
        <v>402140</v>
      </c>
      <c r="F209" s="97">
        <f t="shared" si="154"/>
        <v>523640</v>
      </c>
      <c r="G209" s="97">
        <f t="shared" si="154"/>
        <v>523640</v>
      </c>
      <c r="H209" s="97">
        <f t="shared" si="154"/>
        <v>523640</v>
      </c>
      <c r="I209" s="97">
        <f t="shared" si="154"/>
        <v>523640</v>
      </c>
      <c r="J209" s="97">
        <f t="shared" si="154"/>
        <v>523640</v>
      </c>
      <c r="K209" s="97">
        <f t="shared" ref="K209" si="155">K188</f>
        <v>523640</v>
      </c>
      <c r="L209" s="97">
        <f t="shared" si="154"/>
        <v>80627</v>
      </c>
      <c r="P209" s="123"/>
      <c r="Q209" s="123"/>
      <c r="R209" s="123"/>
      <c r="S209" s="123"/>
    </row>
    <row r="210" spans="1:21" ht="15.75" x14ac:dyDescent="0.25">
      <c r="A210" s="95" t="s">
        <v>148</v>
      </c>
      <c r="B210" s="96"/>
      <c r="C210" s="97">
        <f t="shared" ref="C210:L210" si="156">C194</f>
        <v>10940</v>
      </c>
      <c r="D210" s="97">
        <f t="shared" si="156"/>
        <v>11000</v>
      </c>
      <c r="E210" s="97">
        <f t="shared" si="156"/>
        <v>11000</v>
      </c>
      <c r="F210" s="97">
        <f t="shared" si="156"/>
        <v>11000</v>
      </c>
      <c r="G210" s="97">
        <f t="shared" si="156"/>
        <v>11000</v>
      </c>
      <c r="H210" s="97">
        <f t="shared" si="156"/>
        <v>11000</v>
      </c>
      <c r="I210" s="97">
        <f t="shared" si="156"/>
        <v>11000</v>
      </c>
      <c r="J210" s="97">
        <f t="shared" si="156"/>
        <v>11000</v>
      </c>
      <c r="K210" s="97">
        <f t="shared" ref="K210" si="157">K194</f>
        <v>11000</v>
      </c>
      <c r="L210" s="97">
        <f t="shared" si="156"/>
        <v>735</v>
      </c>
      <c r="P210" s="123"/>
      <c r="Q210" s="123"/>
      <c r="R210" s="123"/>
    </row>
    <row r="211" spans="1:21" ht="16.5" thickBot="1" x14ac:dyDescent="0.3">
      <c r="A211" s="636" t="s">
        <v>149</v>
      </c>
      <c r="B211" s="637"/>
      <c r="C211" s="98">
        <f t="shared" ref="C211:L211" si="158">C209-C210</f>
        <v>391200</v>
      </c>
      <c r="D211" s="98">
        <f t="shared" si="158"/>
        <v>391140</v>
      </c>
      <c r="E211" s="98">
        <f t="shared" si="158"/>
        <v>391140</v>
      </c>
      <c r="F211" s="98">
        <f t="shared" si="158"/>
        <v>512640</v>
      </c>
      <c r="G211" s="98">
        <f t="shared" si="158"/>
        <v>512640</v>
      </c>
      <c r="H211" s="98">
        <f t="shared" si="158"/>
        <v>512640</v>
      </c>
      <c r="I211" s="98">
        <f t="shared" si="158"/>
        <v>512640</v>
      </c>
      <c r="J211" s="98">
        <f t="shared" si="158"/>
        <v>512640</v>
      </c>
      <c r="K211" s="98">
        <f t="shared" ref="K211" si="159">K209-K210</f>
        <v>512640</v>
      </c>
      <c r="L211" s="98">
        <f t="shared" si="158"/>
        <v>79892</v>
      </c>
      <c r="P211" s="123"/>
      <c r="Q211" s="123"/>
      <c r="R211" s="123"/>
    </row>
    <row r="212" spans="1:21" ht="16.5" thickBot="1" x14ac:dyDescent="0.3">
      <c r="A212" s="160" t="s">
        <v>150</v>
      </c>
      <c r="B212" s="99"/>
      <c r="C212" s="161">
        <f t="shared" ref="C212:L212" si="160">C205+C208+C211</f>
        <v>0</v>
      </c>
      <c r="D212" s="161">
        <f t="shared" si="160"/>
        <v>0</v>
      </c>
      <c r="E212" s="161">
        <f t="shared" si="160"/>
        <v>0</v>
      </c>
      <c r="F212" s="161">
        <f t="shared" si="160"/>
        <v>0</v>
      </c>
      <c r="G212" s="161">
        <f t="shared" si="160"/>
        <v>0</v>
      </c>
      <c r="H212" s="161">
        <f t="shared" si="160"/>
        <v>0</v>
      </c>
      <c r="I212" s="161">
        <f t="shared" si="160"/>
        <v>0</v>
      </c>
      <c r="J212" s="161">
        <f t="shared" si="160"/>
        <v>0</v>
      </c>
      <c r="K212" s="161">
        <f t="shared" ref="K212" si="161">K205+K208+K211</f>
        <v>0</v>
      </c>
      <c r="L212" s="161">
        <f t="shared" si="160"/>
        <v>276405</v>
      </c>
      <c r="O212" s="123"/>
      <c r="P212" s="123"/>
      <c r="Q212" s="123"/>
    </row>
    <row r="213" spans="1:21" x14ac:dyDescent="0.25">
      <c r="M213" s="123"/>
      <c r="N213" s="123"/>
      <c r="O213" s="123"/>
      <c r="P213" s="123"/>
    </row>
    <row r="214" spans="1:21" x14ac:dyDescent="0.25">
      <c r="B214" s="162" t="s">
        <v>151</v>
      </c>
      <c r="C214" s="123">
        <f t="shared" ref="C214:L215" si="162">C203+C206+C209</f>
        <v>3183752</v>
      </c>
      <c r="D214" s="123">
        <f t="shared" si="162"/>
        <v>3241820</v>
      </c>
      <c r="E214" s="123">
        <f t="shared" si="162"/>
        <v>3248765</v>
      </c>
      <c r="F214" s="123">
        <f t="shared" si="162"/>
        <v>3325610</v>
      </c>
      <c r="G214" s="123">
        <f t="shared" si="162"/>
        <v>3325321</v>
      </c>
      <c r="H214" s="123">
        <f t="shared" si="162"/>
        <v>3339074</v>
      </c>
      <c r="I214" s="123">
        <f t="shared" si="162"/>
        <v>3337650</v>
      </c>
      <c r="J214" s="123">
        <f t="shared" si="162"/>
        <v>3337960</v>
      </c>
      <c r="K214" s="123">
        <f t="shared" ref="K214" si="163">K203+K206+K209</f>
        <v>3336569</v>
      </c>
      <c r="L214" s="123">
        <f t="shared" si="162"/>
        <v>2031983</v>
      </c>
      <c r="M214" s="123"/>
      <c r="N214" s="123">
        <f t="shared" ref="N214:U215" si="164">D214-C214</f>
        <v>58068</v>
      </c>
      <c r="O214" s="123">
        <f t="shared" si="164"/>
        <v>6945</v>
      </c>
      <c r="P214" s="123">
        <f t="shared" si="164"/>
        <v>76845</v>
      </c>
      <c r="Q214" s="123">
        <f t="shared" si="164"/>
        <v>-289</v>
      </c>
      <c r="R214" s="123">
        <f t="shared" si="164"/>
        <v>13753</v>
      </c>
      <c r="S214" s="123">
        <f t="shared" si="164"/>
        <v>-1424</v>
      </c>
      <c r="T214" s="123">
        <f t="shared" si="164"/>
        <v>310</v>
      </c>
      <c r="U214" s="123">
        <f t="shared" si="164"/>
        <v>-1391</v>
      </c>
    </row>
    <row r="215" spans="1:21" x14ac:dyDescent="0.25">
      <c r="B215" s="162" t="s">
        <v>152</v>
      </c>
      <c r="C215" s="123">
        <f t="shared" si="162"/>
        <v>3183752</v>
      </c>
      <c r="D215" s="123">
        <f t="shared" si="162"/>
        <v>3241820</v>
      </c>
      <c r="E215" s="123">
        <f t="shared" si="162"/>
        <v>3248765</v>
      </c>
      <c r="F215" s="123">
        <f t="shared" si="162"/>
        <v>3325610</v>
      </c>
      <c r="G215" s="123">
        <f t="shared" si="162"/>
        <v>3325321</v>
      </c>
      <c r="H215" s="123">
        <f t="shared" si="162"/>
        <v>3339074</v>
      </c>
      <c r="I215" s="123">
        <f t="shared" si="162"/>
        <v>3337650</v>
      </c>
      <c r="J215" s="123">
        <f t="shared" si="162"/>
        <v>3337960</v>
      </c>
      <c r="K215" s="123">
        <f t="shared" ref="K215" si="165">K204+K207+K210</f>
        <v>3336569</v>
      </c>
      <c r="L215" s="123">
        <f t="shared" si="162"/>
        <v>1755578</v>
      </c>
      <c r="M215" s="123"/>
      <c r="N215" s="123">
        <f t="shared" si="164"/>
        <v>58068</v>
      </c>
      <c r="O215" s="123">
        <f t="shared" si="164"/>
        <v>6945</v>
      </c>
      <c r="P215" s="123">
        <f t="shared" si="164"/>
        <v>76845</v>
      </c>
      <c r="Q215" s="123">
        <f t="shared" si="164"/>
        <v>-289</v>
      </c>
      <c r="R215" s="123">
        <f t="shared" si="164"/>
        <v>13753</v>
      </c>
      <c r="S215" s="123">
        <f t="shared" si="164"/>
        <v>-1424</v>
      </c>
      <c r="T215" s="123">
        <f t="shared" si="164"/>
        <v>310</v>
      </c>
      <c r="U215" s="123">
        <f t="shared" si="164"/>
        <v>-1391</v>
      </c>
    </row>
    <row r="216" spans="1:21" x14ac:dyDescent="0.25">
      <c r="B216" s="16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</row>
    <row r="217" spans="1:21" x14ac:dyDescent="0.25">
      <c r="B217" s="162" t="s">
        <v>153</v>
      </c>
      <c r="C217" s="123">
        <f t="shared" ref="C217:L217" si="166">C214-C74</f>
        <v>3115422</v>
      </c>
      <c r="D217" s="123">
        <f t="shared" si="166"/>
        <v>3173490</v>
      </c>
      <c r="E217" s="123">
        <f t="shared" si="166"/>
        <v>3180435</v>
      </c>
      <c r="F217" s="123">
        <f t="shared" si="166"/>
        <v>3257280</v>
      </c>
      <c r="G217" s="123">
        <f t="shared" si="166"/>
        <v>3256991</v>
      </c>
      <c r="H217" s="123">
        <f t="shared" si="166"/>
        <v>3265154</v>
      </c>
      <c r="I217" s="123">
        <f t="shared" si="166"/>
        <v>3263730</v>
      </c>
      <c r="J217" s="123">
        <f t="shared" si="166"/>
        <v>3264040</v>
      </c>
      <c r="K217" s="123">
        <f t="shared" ref="K217" si="167">K214-K74</f>
        <v>3261970</v>
      </c>
      <c r="L217" s="123">
        <f t="shared" si="166"/>
        <v>1978226</v>
      </c>
      <c r="M217" s="123"/>
      <c r="N217" s="123">
        <f t="shared" ref="N217:U218" si="168">D217-C217</f>
        <v>58068</v>
      </c>
      <c r="O217" s="123">
        <f t="shared" si="168"/>
        <v>6945</v>
      </c>
      <c r="P217" s="123">
        <f t="shared" si="168"/>
        <v>76845</v>
      </c>
      <c r="Q217" s="123">
        <f t="shared" si="168"/>
        <v>-289</v>
      </c>
      <c r="R217" s="123">
        <f t="shared" si="168"/>
        <v>8163</v>
      </c>
      <c r="S217" s="123">
        <f t="shared" si="168"/>
        <v>-1424</v>
      </c>
      <c r="T217" s="123">
        <f t="shared" si="168"/>
        <v>310</v>
      </c>
      <c r="U217" s="123">
        <f t="shared" si="168"/>
        <v>-2070</v>
      </c>
    </row>
    <row r="218" spans="1:21" x14ac:dyDescent="0.25">
      <c r="B218" s="162" t="s">
        <v>154</v>
      </c>
      <c r="C218" s="123">
        <f t="shared" ref="C218:L218" si="169">C215-C144</f>
        <v>2413787</v>
      </c>
      <c r="D218" s="123">
        <f t="shared" si="169"/>
        <v>2458036</v>
      </c>
      <c r="E218" s="123">
        <f t="shared" si="169"/>
        <v>2464981</v>
      </c>
      <c r="F218" s="123">
        <f t="shared" si="169"/>
        <v>2541826</v>
      </c>
      <c r="G218" s="123">
        <f t="shared" si="169"/>
        <v>2540826</v>
      </c>
      <c r="H218" s="123">
        <f t="shared" si="169"/>
        <v>2548883</v>
      </c>
      <c r="I218" s="123">
        <f t="shared" si="169"/>
        <v>2545283</v>
      </c>
      <c r="J218" s="123">
        <f t="shared" si="169"/>
        <v>2545593</v>
      </c>
      <c r="K218" s="123">
        <f t="shared" ref="K218" si="170">K215-K144</f>
        <v>2546793</v>
      </c>
      <c r="L218" s="123">
        <f t="shared" si="169"/>
        <v>1103118</v>
      </c>
      <c r="M218" s="123"/>
      <c r="N218" s="123">
        <f t="shared" si="168"/>
        <v>44249</v>
      </c>
      <c r="O218" s="123">
        <f t="shared" si="168"/>
        <v>6945</v>
      </c>
      <c r="P218" s="123">
        <f t="shared" si="168"/>
        <v>76845</v>
      </c>
      <c r="Q218" s="123">
        <f t="shared" si="168"/>
        <v>-1000</v>
      </c>
      <c r="R218" s="123">
        <f t="shared" si="168"/>
        <v>8057</v>
      </c>
      <c r="S218" s="123">
        <f t="shared" si="168"/>
        <v>-3600</v>
      </c>
      <c r="T218" s="123">
        <f t="shared" si="168"/>
        <v>310</v>
      </c>
      <c r="U218" s="123">
        <f t="shared" si="168"/>
        <v>1200</v>
      </c>
    </row>
    <row r="219" spans="1:21" x14ac:dyDescent="0.25">
      <c r="B219" s="16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1:21" x14ac:dyDescent="0.25">
      <c r="A220" s="236"/>
      <c r="B220" s="237" t="s">
        <v>214</v>
      </c>
    </row>
    <row r="222" spans="1:21" x14ac:dyDescent="0.25">
      <c r="B222" s="110" t="s">
        <v>155</v>
      </c>
    </row>
    <row r="223" spans="1:21" x14ac:dyDescent="0.25">
      <c r="B223" s="110" t="s">
        <v>606</v>
      </c>
    </row>
    <row r="225" spans="2:2" x14ac:dyDescent="0.25">
      <c r="B225" s="100" t="s">
        <v>271</v>
      </c>
    </row>
    <row r="226" spans="2:2" x14ac:dyDescent="0.25">
      <c r="B226" s="215" t="s">
        <v>377</v>
      </c>
    </row>
    <row r="227" spans="2:2" x14ac:dyDescent="0.25">
      <c r="B227" s="215" t="s">
        <v>419</v>
      </c>
    </row>
    <row r="228" spans="2:2" x14ac:dyDescent="0.25">
      <c r="B228" s="215" t="s">
        <v>501</v>
      </c>
    </row>
    <row r="229" spans="2:2" x14ac:dyDescent="0.25">
      <c r="B229" s="215" t="s">
        <v>535</v>
      </c>
    </row>
    <row r="230" spans="2:2" x14ac:dyDescent="0.25">
      <c r="B230" s="215" t="s">
        <v>552</v>
      </c>
    </row>
    <row r="231" spans="2:2" x14ac:dyDescent="0.25">
      <c r="B231" s="215" t="s">
        <v>621</v>
      </c>
    </row>
    <row r="232" spans="2:2" x14ac:dyDescent="0.25">
      <c r="B232" s="215" t="s">
        <v>620</v>
      </c>
    </row>
    <row r="233" spans="2:2" x14ac:dyDescent="0.25">
      <c r="B233" s="215" t="s">
        <v>655</v>
      </c>
    </row>
    <row r="234" spans="2:2" x14ac:dyDescent="0.25">
      <c r="B234" s="215"/>
    </row>
    <row r="235" spans="2:2" x14ac:dyDescent="0.25">
      <c r="B235" s="215"/>
    </row>
    <row r="236" spans="2:2" x14ac:dyDescent="0.25">
      <c r="B236" s="110" t="s">
        <v>674</v>
      </c>
    </row>
    <row r="237" spans="2:2" x14ac:dyDescent="0.25">
      <c r="B237" s="110" t="s">
        <v>675</v>
      </c>
    </row>
    <row r="239" spans="2:2" x14ac:dyDescent="0.25">
      <c r="B239" s="110" t="s">
        <v>676</v>
      </c>
    </row>
  </sheetData>
  <mergeCells count="77">
    <mergeCell ref="L201:L202"/>
    <mergeCell ref="A205:B205"/>
    <mergeCell ref="A208:B208"/>
    <mergeCell ref="A211:B211"/>
    <mergeCell ref="K2:K3"/>
    <mergeCell ref="K79:K80"/>
    <mergeCell ref="K149:K150"/>
    <mergeCell ref="K186:K187"/>
    <mergeCell ref="K201:K202"/>
    <mergeCell ref="A200:L200"/>
    <mergeCell ref="A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G186:G187"/>
    <mergeCell ref="H186:H187"/>
    <mergeCell ref="I186:I187"/>
    <mergeCell ref="J186:J187"/>
    <mergeCell ref="M186:M187"/>
    <mergeCell ref="L149:L150"/>
    <mergeCell ref="M149:M150"/>
    <mergeCell ref="A151:B151"/>
    <mergeCell ref="A158:B158"/>
    <mergeCell ref="A185:L185"/>
    <mergeCell ref="A186:B187"/>
    <mergeCell ref="C186:C187"/>
    <mergeCell ref="D186:D187"/>
    <mergeCell ref="E186:E187"/>
    <mergeCell ref="F186:F187"/>
    <mergeCell ref="G149:G150"/>
    <mergeCell ref="H149:H150"/>
    <mergeCell ref="I149:I150"/>
    <mergeCell ref="J149:J150"/>
    <mergeCell ref="L186:L187"/>
    <mergeCell ref="A149:B150"/>
    <mergeCell ref="C149:C150"/>
    <mergeCell ref="D149:D150"/>
    <mergeCell ref="E149:E150"/>
    <mergeCell ref="F149:F150"/>
    <mergeCell ref="M79:M80"/>
    <mergeCell ref="A97:B97"/>
    <mergeCell ref="A140:B140"/>
    <mergeCell ref="A143:B143"/>
    <mergeCell ref="A148:L148"/>
    <mergeCell ref="M2:M3"/>
    <mergeCell ref="A4:B4"/>
    <mergeCell ref="A12:B12"/>
    <mergeCell ref="A72:B72"/>
    <mergeCell ref="A144:B144"/>
    <mergeCell ref="A78:L78"/>
    <mergeCell ref="A79:B80"/>
    <mergeCell ref="C79:C80"/>
    <mergeCell ref="D79:D80"/>
    <mergeCell ref="E79:E80"/>
    <mergeCell ref="F79:F80"/>
    <mergeCell ref="G79:G80"/>
    <mergeCell ref="H79:H80"/>
    <mergeCell ref="I79:I80"/>
    <mergeCell ref="J79:J80"/>
    <mergeCell ref="L79:L80"/>
    <mergeCell ref="A74:B74"/>
    <mergeCell ref="A1:L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L2:L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 xml:space="preserve">&amp;C&amp;"Arial,Tučné"&amp;14Rozpočet na rok 2019
8. zmena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37"/>
  <sheetViews>
    <sheetView zoomScale="95" zoomScaleNormal="95" workbookViewId="0">
      <selection sqref="A1:K1"/>
    </sheetView>
  </sheetViews>
  <sheetFormatPr defaultRowHeight="15" x14ac:dyDescent="0.25"/>
  <cols>
    <col min="1" max="1" width="6" style="110" customWidth="1"/>
    <col min="2" max="2" width="68.42578125" style="110" customWidth="1"/>
    <col min="3" max="11" width="12.5703125" style="110" customWidth="1"/>
    <col min="12" max="12" width="7.85546875" style="110" customWidth="1"/>
    <col min="13" max="13" width="9.140625" style="110"/>
    <col min="14" max="14" width="11.7109375" style="110" customWidth="1"/>
    <col min="15" max="15" width="11.28515625" style="110" customWidth="1"/>
    <col min="16" max="16" width="9.140625" style="110"/>
    <col min="17" max="17" width="11" style="110" customWidth="1"/>
    <col min="18" max="16384" width="9.140625" style="110"/>
  </cols>
  <sheetData>
    <row r="1" spans="1:12" ht="18.75" thickBot="1" x14ac:dyDescent="0.3">
      <c r="A1" s="674" t="s">
        <v>0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12" ht="18.75" customHeight="1" x14ac:dyDescent="0.25">
      <c r="A2" s="644" t="s">
        <v>1</v>
      </c>
      <c r="B2" s="645"/>
      <c r="C2" s="638" t="s">
        <v>323</v>
      </c>
      <c r="D2" s="638" t="s">
        <v>562</v>
      </c>
      <c r="E2" s="638" t="s">
        <v>563</v>
      </c>
      <c r="F2" s="638" t="s">
        <v>564</v>
      </c>
      <c r="G2" s="638" t="s">
        <v>565</v>
      </c>
      <c r="H2" s="638" t="s">
        <v>566</v>
      </c>
      <c r="I2" s="638" t="s">
        <v>567</v>
      </c>
      <c r="J2" s="638" t="s">
        <v>605</v>
      </c>
      <c r="K2" s="676" t="s">
        <v>599</v>
      </c>
      <c r="L2" s="662" t="s">
        <v>352</v>
      </c>
    </row>
    <row r="3" spans="1:12" ht="15.75" thickBot="1" x14ac:dyDescent="0.3">
      <c r="A3" s="646"/>
      <c r="B3" s="647"/>
      <c r="C3" s="639"/>
      <c r="D3" s="639"/>
      <c r="E3" s="639"/>
      <c r="F3" s="639"/>
      <c r="G3" s="639"/>
      <c r="H3" s="639"/>
      <c r="I3" s="639"/>
      <c r="J3" s="639"/>
      <c r="K3" s="677"/>
      <c r="L3" s="663"/>
    </row>
    <row r="4" spans="1:12" ht="15.75" thickBot="1" x14ac:dyDescent="0.3">
      <c r="A4" s="664" t="s">
        <v>2</v>
      </c>
      <c r="B4" s="665"/>
      <c r="C4" s="1">
        <f t="shared" ref="C4:K4" si="0">SUM(C5:C11)</f>
        <v>1151580</v>
      </c>
      <c r="D4" s="1">
        <f t="shared" si="0"/>
        <v>1173580</v>
      </c>
      <c r="E4" s="1">
        <f t="shared" si="0"/>
        <v>1174080</v>
      </c>
      <c r="F4" s="1">
        <f t="shared" si="0"/>
        <v>1175080</v>
      </c>
      <c r="G4" s="1">
        <f t="shared" si="0"/>
        <v>1215080</v>
      </c>
      <c r="H4" s="1">
        <f t="shared" si="0"/>
        <v>1205480</v>
      </c>
      <c r="I4" s="1">
        <f t="shared" si="0"/>
        <v>1201580</v>
      </c>
      <c r="J4" s="1">
        <f t="shared" ref="J4" si="1">SUM(J5:J11)</f>
        <v>1201580</v>
      </c>
      <c r="K4" s="1">
        <f t="shared" si="0"/>
        <v>899286</v>
      </c>
      <c r="L4" s="466">
        <f>K4/J4</f>
        <v>0.74841958088516791</v>
      </c>
    </row>
    <row r="5" spans="1:12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52">
        <f>1109000+40000</f>
        <v>1149000</v>
      </c>
      <c r="H5" s="452">
        <f>1109000+40000-9600</f>
        <v>1139400</v>
      </c>
      <c r="I5" s="452">
        <f>1109000+40000-9600-5400</f>
        <v>1134000</v>
      </c>
      <c r="J5" s="4">
        <f>1109000+40000-9600-5400</f>
        <v>1134000</v>
      </c>
      <c r="K5" s="4">
        <v>848431</v>
      </c>
      <c r="L5" s="466">
        <f t="shared" ref="L5:L68" si="2">K5/J5</f>
        <v>0.74817548500881836</v>
      </c>
    </row>
    <row r="6" spans="1:12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34680</v>
      </c>
      <c r="H6" s="101">
        <v>34680</v>
      </c>
      <c r="I6" s="101">
        <v>34680</v>
      </c>
      <c r="J6" s="101">
        <v>34680</v>
      </c>
      <c r="K6" s="101">
        <v>27540</v>
      </c>
      <c r="L6" s="466">
        <f t="shared" si="2"/>
        <v>0.79411764705882348</v>
      </c>
    </row>
    <row r="7" spans="1:12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  <c r="H7" s="7">
        <v>1000</v>
      </c>
      <c r="I7" s="7">
        <v>1000</v>
      </c>
      <c r="J7" s="7">
        <v>1000</v>
      </c>
      <c r="K7" s="7">
        <v>825</v>
      </c>
      <c r="L7" s="466">
        <f t="shared" si="2"/>
        <v>0.82499999999999996</v>
      </c>
    </row>
    <row r="8" spans="1:12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 t="shared" ref="E8:J8" si="3">400+500</f>
        <v>900</v>
      </c>
      <c r="F8" s="9">
        <f t="shared" si="3"/>
        <v>900</v>
      </c>
      <c r="G8" s="9">
        <f t="shared" si="3"/>
        <v>900</v>
      </c>
      <c r="H8" s="9">
        <f t="shared" si="3"/>
        <v>900</v>
      </c>
      <c r="I8" s="9">
        <f t="shared" si="3"/>
        <v>900</v>
      </c>
      <c r="J8" s="9">
        <f t="shared" si="3"/>
        <v>900</v>
      </c>
      <c r="K8" s="8">
        <v>520</v>
      </c>
      <c r="L8" s="466">
        <f t="shared" si="2"/>
        <v>0.57777777777777772</v>
      </c>
    </row>
    <row r="9" spans="1:12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1500</v>
      </c>
      <c r="H9" s="8">
        <v>1500</v>
      </c>
      <c r="I9" s="459">
        <f>1500+1500</f>
        <v>3000</v>
      </c>
      <c r="J9" s="8">
        <f>1500+1500</f>
        <v>3000</v>
      </c>
      <c r="K9" s="8">
        <v>1421</v>
      </c>
      <c r="L9" s="466">
        <f t="shared" si="2"/>
        <v>0.47366666666666668</v>
      </c>
    </row>
    <row r="10" spans="1:12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>4000+1000</f>
        <v>5000</v>
      </c>
      <c r="G10" s="9">
        <f>4000+1000</f>
        <v>5000</v>
      </c>
      <c r="H10" s="9">
        <f>4000+1000</f>
        <v>5000</v>
      </c>
      <c r="I10" s="9">
        <f>4000+1000</f>
        <v>5000</v>
      </c>
      <c r="J10" s="9">
        <f>4000+1000</f>
        <v>5000</v>
      </c>
      <c r="K10" s="8">
        <v>4777</v>
      </c>
      <c r="L10" s="466">
        <f t="shared" si="2"/>
        <v>0.95540000000000003</v>
      </c>
    </row>
    <row r="11" spans="1:12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23000</v>
      </c>
      <c r="H11" s="337">
        <v>23000</v>
      </c>
      <c r="I11" s="337">
        <v>23000</v>
      </c>
      <c r="J11" s="337">
        <v>23000</v>
      </c>
      <c r="K11" s="337">
        <v>15772</v>
      </c>
      <c r="L11" s="466">
        <f t="shared" si="2"/>
        <v>0.68573913043478263</v>
      </c>
    </row>
    <row r="12" spans="1:12" ht="15.75" thickBot="1" x14ac:dyDescent="0.3">
      <c r="A12" s="664" t="s">
        <v>10</v>
      </c>
      <c r="B12" s="665"/>
      <c r="C12" s="1">
        <f t="shared" ref="C12:K12" si="4">SUM(C13:C32)</f>
        <v>218240</v>
      </c>
      <c r="D12" s="1">
        <f t="shared" si="4"/>
        <v>217115</v>
      </c>
      <c r="E12" s="1">
        <f t="shared" si="4"/>
        <v>217115</v>
      </c>
      <c r="F12" s="1">
        <f t="shared" si="4"/>
        <v>219115</v>
      </c>
      <c r="G12" s="1">
        <f t="shared" si="4"/>
        <v>219115</v>
      </c>
      <c r="H12" s="1">
        <f t="shared" si="4"/>
        <v>215315</v>
      </c>
      <c r="I12" s="1">
        <f t="shared" si="4"/>
        <v>215315</v>
      </c>
      <c r="J12" s="1">
        <f t="shared" ref="J12" si="5">SUM(J13:J32)</f>
        <v>215315</v>
      </c>
      <c r="K12" s="1">
        <f t="shared" si="4"/>
        <v>158846</v>
      </c>
      <c r="L12" s="466">
        <f t="shared" si="2"/>
        <v>0.73773773308873047</v>
      </c>
    </row>
    <row r="13" spans="1:12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 t="shared" ref="E13:H13" si="6">1967+140</f>
        <v>2107</v>
      </c>
      <c r="F13" s="270">
        <f t="shared" si="6"/>
        <v>2107</v>
      </c>
      <c r="G13" s="270">
        <f t="shared" si="6"/>
        <v>2107</v>
      </c>
      <c r="H13" s="270">
        <f t="shared" si="6"/>
        <v>2107</v>
      </c>
      <c r="I13" s="504">
        <f>1967+140+40</f>
        <v>2147</v>
      </c>
      <c r="J13" s="270">
        <f>1967+140+40</f>
        <v>2147</v>
      </c>
      <c r="K13" s="270">
        <v>1347</v>
      </c>
      <c r="L13" s="466">
        <f t="shared" si="2"/>
        <v>0.62738705170004661</v>
      </c>
    </row>
    <row r="14" spans="1:12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7300</v>
      </c>
      <c r="H14" s="216">
        <v>7300</v>
      </c>
      <c r="I14" s="216">
        <v>7300</v>
      </c>
      <c r="J14" s="216">
        <v>7300</v>
      </c>
      <c r="K14" s="216">
        <v>4270</v>
      </c>
      <c r="L14" s="466">
        <f t="shared" si="2"/>
        <v>0.58493150684931505</v>
      </c>
    </row>
    <row r="15" spans="1:12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 t="shared" ref="E15:J15" si="7">3910-140</f>
        <v>3770</v>
      </c>
      <c r="F15" s="170">
        <f t="shared" si="7"/>
        <v>3770</v>
      </c>
      <c r="G15" s="170">
        <f t="shared" si="7"/>
        <v>3770</v>
      </c>
      <c r="H15" s="170">
        <f t="shared" si="7"/>
        <v>3770</v>
      </c>
      <c r="I15" s="170">
        <f t="shared" si="7"/>
        <v>3770</v>
      </c>
      <c r="J15" s="170">
        <f t="shared" si="7"/>
        <v>3770</v>
      </c>
      <c r="K15" s="170">
        <v>3021</v>
      </c>
      <c r="L15" s="466">
        <f t="shared" si="2"/>
        <v>0.80132625994694962</v>
      </c>
    </row>
    <row r="16" spans="1:12" x14ac:dyDescent="0.25">
      <c r="A16" s="115">
        <v>212</v>
      </c>
      <c r="B16" s="116" t="s">
        <v>14</v>
      </c>
      <c r="C16" s="9">
        <v>18763</v>
      </c>
      <c r="D16" s="459">
        <f t="shared" ref="D16:H16" si="8">18763+500+375</f>
        <v>19638</v>
      </c>
      <c r="E16" s="9">
        <f t="shared" si="8"/>
        <v>19638</v>
      </c>
      <c r="F16" s="9">
        <f t="shared" si="8"/>
        <v>19638</v>
      </c>
      <c r="G16" s="9">
        <f t="shared" si="8"/>
        <v>19638</v>
      </c>
      <c r="H16" s="9">
        <f t="shared" si="8"/>
        <v>19638</v>
      </c>
      <c r="I16" s="459">
        <f>18763+500+375-40</f>
        <v>19598</v>
      </c>
      <c r="J16" s="9">
        <f>18763+500+375-40</f>
        <v>19598</v>
      </c>
      <c r="K16" s="9">
        <v>12618</v>
      </c>
      <c r="L16" s="466">
        <f t="shared" si="2"/>
        <v>0.64384120828655989</v>
      </c>
    </row>
    <row r="17" spans="1:23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>400+1000</f>
        <v>1400</v>
      </c>
      <c r="G17" s="219">
        <f>400+1000</f>
        <v>1400</v>
      </c>
      <c r="H17" s="219">
        <f>400+1000</f>
        <v>1400</v>
      </c>
      <c r="I17" s="219">
        <f>400+1000</f>
        <v>1400</v>
      </c>
      <c r="J17" s="219">
        <f>400+1000</f>
        <v>1400</v>
      </c>
      <c r="K17" s="219">
        <v>1280</v>
      </c>
      <c r="L17" s="466">
        <f t="shared" si="2"/>
        <v>0.91428571428571426</v>
      </c>
      <c r="M17" s="123">
        <f t="shared" ref="M17:S17" si="9">SUM(C13:C17)</f>
        <v>32340</v>
      </c>
      <c r="N17" s="123">
        <f t="shared" si="9"/>
        <v>33215</v>
      </c>
      <c r="O17" s="123">
        <f t="shared" si="9"/>
        <v>33215</v>
      </c>
      <c r="P17" s="123">
        <f t="shared" si="9"/>
        <v>34215</v>
      </c>
      <c r="Q17" s="123">
        <f t="shared" si="9"/>
        <v>34215</v>
      </c>
      <c r="R17" s="123">
        <f t="shared" si="9"/>
        <v>34215</v>
      </c>
      <c r="S17" s="123">
        <f t="shared" si="9"/>
        <v>34215</v>
      </c>
      <c r="T17" s="123">
        <f t="shared" ref="T17" si="10">SUM(K13:K17)</f>
        <v>22536</v>
      </c>
    </row>
    <row r="18" spans="1:23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5000</v>
      </c>
      <c r="H18" s="220">
        <v>5000</v>
      </c>
      <c r="I18" s="220">
        <v>5000</v>
      </c>
      <c r="J18" s="220">
        <v>5000</v>
      </c>
      <c r="K18" s="220">
        <v>4076</v>
      </c>
      <c r="L18" s="466">
        <f t="shared" si="2"/>
        <v>0.81520000000000004</v>
      </c>
    </row>
    <row r="19" spans="1:23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555">
        <v>400</v>
      </c>
      <c r="I19" s="219">
        <v>400</v>
      </c>
      <c r="J19" s="219">
        <v>400</v>
      </c>
      <c r="K19" s="219">
        <v>400</v>
      </c>
      <c r="L19" s="466">
        <f t="shared" si="2"/>
        <v>1</v>
      </c>
    </row>
    <row r="20" spans="1:23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900</v>
      </c>
      <c r="H20" s="216">
        <v>900</v>
      </c>
      <c r="I20" s="216">
        <v>900</v>
      </c>
      <c r="J20" s="216">
        <v>900</v>
      </c>
      <c r="K20" s="216">
        <v>446</v>
      </c>
      <c r="L20" s="466">
        <f t="shared" si="2"/>
        <v>0.49555555555555558</v>
      </c>
    </row>
    <row r="21" spans="1:23" x14ac:dyDescent="0.25">
      <c r="A21" s="115">
        <v>223</v>
      </c>
      <c r="B21" s="116" t="s">
        <v>19</v>
      </c>
      <c r="C21" s="9">
        <v>20000</v>
      </c>
      <c r="D21" s="459">
        <f t="shared" ref="D21:J21" si="11">20000-2000</f>
        <v>18000</v>
      </c>
      <c r="E21" s="9">
        <f t="shared" si="11"/>
        <v>18000</v>
      </c>
      <c r="F21" s="9">
        <f t="shared" si="11"/>
        <v>18000</v>
      </c>
      <c r="G21" s="9">
        <f t="shared" si="11"/>
        <v>18000</v>
      </c>
      <c r="H21" s="9">
        <f t="shared" si="11"/>
        <v>18000</v>
      </c>
      <c r="I21" s="9">
        <f t="shared" si="11"/>
        <v>18000</v>
      </c>
      <c r="J21" s="9">
        <f t="shared" si="11"/>
        <v>18000</v>
      </c>
      <c r="K21" s="9">
        <v>11747</v>
      </c>
      <c r="L21" s="466">
        <f t="shared" si="2"/>
        <v>0.65261111111111114</v>
      </c>
    </row>
    <row r="22" spans="1:23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500</v>
      </c>
      <c r="H22" s="9">
        <v>500</v>
      </c>
      <c r="I22" s="9">
        <v>500</v>
      </c>
      <c r="J22" s="9">
        <v>500</v>
      </c>
      <c r="K22" s="9">
        <v>0</v>
      </c>
      <c r="L22" s="466">
        <f t="shared" si="2"/>
        <v>0</v>
      </c>
    </row>
    <row r="23" spans="1:23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f>33000+1000</f>
        <v>34000</v>
      </c>
      <c r="H23" s="9">
        <f>33000+1000</f>
        <v>34000</v>
      </c>
      <c r="I23" s="9">
        <f>33000+1000</f>
        <v>34000</v>
      </c>
      <c r="J23" s="9">
        <f>33000+1000</f>
        <v>34000</v>
      </c>
      <c r="K23" s="9">
        <v>31610</v>
      </c>
      <c r="L23" s="466">
        <f t="shared" si="2"/>
        <v>0.92970588235294116</v>
      </c>
    </row>
    <row r="24" spans="1:23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1000</v>
      </c>
      <c r="H24" s="9">
        <v>1000</v>
      </c>
      <c r="I24" s="9">
        <v>1000</v>
      </c>
      <c r="J24" s="9">
        <v>1000</v>
      </c>
      <c r="K24" s="9">
        <v>124</v>
      </c>
      <c r="L24" s="466">
        <f t="shared" si="2"/>
        <v>0.124</v>
      </c>
    </row>
    <row r="25" spans="1:23" x14ac:dyDescent="0.25">
      <c r="A25" s="115">
        <v>223</v>
      </c>
      <c r="B25" s="116" t="s">
        <v>21</v>
      </c>
      <c r="C25" s="9">
        <v>700</v>
      </c>
      <c r="D25" s="9">
        <v>700</v>
      </c>
      <c r="E25" s="9">
        <v>700</v>
      </c>
      <c r="F25" s="9">
        <v>700</v>
      </c>
      <c r="G25" s="9">
        <v>700</v>
      </c>
      <c r="H25" s="9">
        <v>700</v>
      </c>
      <c r="I25" s="9">
        <v>700</v>
      </c>
      <c r="J25" s="9">
        <v>700</v>
      </c>
      <c r="K25" s="9">
        <v>557</v>
      </c>
      <c r="L25" s="466">
        <f t="shared" si="2"/>
        <v>0.79571428571428571</v>
      </c>
    </row>
    <row r="26" spans="1:23" x14ac:dyDescent="0.25">
      <c r="A26" s="115">
        <v>223</v>
      </c>
      <c r="B26" s="116" t="s">
        <v>22</v>
      </c>
      <c r="C26" s="9">
        <f t="shared" ref="C26:J26" si="12">31000+2000</f>
        <v>33000</v>
      </c>
      <c r="D26" s="9">
        <f t="shared" si="12"/>
        <v>33000</v>
      </c>
      <c r="E26" s="9">
        <f t="shared" si="12"/>
        <v>33000</v>
      </c>
      <c r="F26" s="9">
        <f t="shared" si="12"/>
        <v>33000</v>
      </c>
      <c r="G26" s="9">
        <f t="shared" si="12"/>
        <v>33000</v>
      </c>
      <c r="H26" s="9">
        <f t="shared" si="12"/>
        <v>33000</v>
      </c>
      <c r="I26" s="9">
        <f t="shared" si="12"/>
        <v>33000</v>
      </c>
      <c r="J26" s="9">
        <f t="shared" si="12"/>
        <v>33000</v>
      </c>
      <c r="K26" s="9">
        <v>25627</v>
      </c>
      <c r="L26" s="466">
        <f t="shared" si="2"/>
        <v>0.77657575757575759</v>
      </c>
    </row>
    <row r="27" spans="1:23" x14ac:dyDescent="0.25">
      <c r="A27" s="115">
        <v>223</v>
      </c>
      <c r="B27" s="116" t="s">
        <v>23</v>
      </c>
      <c r="C27" s="9">
        <v>21460</v>
      </c>
      <c r="D27" s="9">
        <v>21460</v>
      </c>
      <c r="E27" s="9">
        <v>21460</v>
      </c>
      <c r="F27" s="9">
        <v>21460</v>
      </c>
      <c r="G27" s="9">
        <v>21460</v>
      </c>
      <c r="H27" s="9">
        <v>21460</v>
      </c>
      <c r="I27" s="9">
        <v>21460</v>
      </c>
      <c r="J27" s="9">
        <v>21460</v>
      </c>
      <c r="K27" s="9">
        <v>13250</v>
      </c>
      <c r="L27" s="466">
        <f t="shared" si="2"/>
        <v>0.61742777260018644</v>
      </c>
    </row>
    <row r="28" spans="1:23" x14ac:dyDescent="0.25">
      <c r="A28" s="115">
        <v>223</v>
      </c>
      <c r="B28" s="116" t="s">
        <v>24</v>
      </c>
      <c r="C28" s="9">
        <v>18000</v>
      </c>
      <c r="D28" s="9">
        <v>18000</v>
      </c>
      <c r="E28" s="9">
        <v>18000</v>
      </c>
      <c r="F28" s="9">
        <v>18000</v>
      </c>
      <c r="G28" s="9">
        <v>18000</v>
      </c>
      <c r="H28" s="459">
        <f>18000+9600</f>
        <v>27600</v>
      </c>
      <c r="I28" s="459">
        <f>18000+9600-1000</f>
        <v>26600</v>
      </c>
      <c r="J28" s="9">
        <f>18000+9600-1000</f>
        <v>26600</v>
      </c>
      <c r="K28" s="9">
        <v>15227</v>
      </c>
      <c r="L28" s="466">
        <f t="shared" si="2"/>
        <v>0.57244360902255642</v>
      </c>
    </row>
    <row r="29" spans="1:23" x14ac:dyDescent="0.25">
      <c r="A29" s="115">
        <v>223</v>
      </c>
      <c r="B29" s="116" t="s">
        <v>222</v>
      </c>
      <c r="C29" s="9">
        <v>240</v>
      </c>
      <c r="D29" s="9">
        <v>240</v>
      </c>
      <c r="E29" s="9">
        <v>240</v>
      </c>
      <c r="F29" s="9">
        <v>240</v>
      </c>
      <c r="G29" s="9">
        <v>240</v>
      </c>
      <c r="H29" s="9">
        <v>240</v>
      </c>
      <c r="I29" s="9">
        <v>240</v>
      </c>
      <c r="J29" s="9">
        <v>240</v>
      </c>
      <c r="K29" s="9">
        <v>39</v>
      </c>
      <c r="L29" s="466">
        <f t="shared" si="2"/>
        <v>0.16250000000000001</v>
      </c>
    </row>
    <row r="30" spans="1:23" x14ac:dyDescent="0.25">
      <c r="A30" s="115">
        <v>223</v>
      </c>
      <c r="B30" s="116" t="s">
        <v>25</v>
      </c>
      <c r="C30" s="9">
        <v>2000</v>
      </c>
      <c r="D30" s="9">
        <v>2000</v>
      </c>
      <c r="E30" s="9">
        <v>2000</v>
      </c>
      <c r="F30" s="9">
        <v>2000</v>
      </c>
      <c r="G30" s="9">
        <v>2000</v>
      </c>
      <c r="H30" s="459">
        <f>2000+200</f>
        <v>2200</v>
      </c>
      <c r="I30" s="9">
        <f>2000+200</f>
        <v>2200</v>
      </c>
      <c r="J30" s="9">
        <f>2000+200</f>
        <v>2200</v>
      </c>
      <c r="K30" s="9">
        <v>1427</v>
      </c>
      <c r="L30" s="466">
        <f t="shared" si="2"/>
        <v>0.64863636363636368</v>
      </c>
    </row>
    <row r="31" spans="1:23" x14ac:dyDescent="0.25">
      <c r="A31" s="164">
        <v>223</v>
      </c>
      <c r="B31" s="165" t="s">
        <v>187</v>
      </c>
      <c r="C31" s="271">
        <v>50000</v>
      </c>
      <c r="D31" s="271">
        <v>50000</v>
      </c>
      <c r="E31" s="271">
        <v>50000</v>
      </c>
      <c r="F31" s="271">
        <v>50000</v>
      </c>
      <c r="G31" s="271">
        <v>50000</v>
      </c>
      <c r="H31" s="567">
        <f>50000-14000</f>
        <v>36000</v>
      </c>
      <c r="I31" s="567">
        <f>50000-14000+1000</f>
        <v>37000</v>
      </c>
      <c r="J31" s="271">
        <f>50000-14000+1000</f>
        <v>37000</v>
      </c>
      <c r="K31" s="271">
        <v>31780</v>
      </c>
      <c r="L31" s="466">
        <f t="shared" si="2"/>
        <v>0.85891891891891892</v>
      </c>
      <c r="M31" s="123">
        <f t="shared" ref="M31:S31" si="13">SUM(C20:C32)</f>
        <v>180900</v>
      </c>
      <c r="N31" s="123">
        <f t="shared" si="13"/>
        <v>178900</v>
      </c>
      <c r="O31" s="123">
        <f t="shared" si="13"/>
        <v>178900</v>
      </c>
      <c r="P31" s="123">
        <f t="shared" si="13"/>
        <v>179900</v>
      </c>
      <c r="Q31" s="123">
        <f t="shared" si="13"/>
        <v>179900</v>
      </c>
      <c r="R31" s="123">
        <f t="shared" si="13"/>
        <v>175700</v>
      </c>
      <c r="S31" s="123">
        <f t="shared" si="13"/>
        <v>175700</v>
      </c>
      <c r="T31" s="123">
        <f t="shared" ref="T31" si="14">SUM(K20:K32)</f>
        <v>131834</v>
      </c>
      <c r="U31" s="123"/>
      <c r="V31" s="123"/>
      <c r="W31" s="123"/>
    </row>
    <row r="32" spans="1:23" ht="15.75" thickBot="1" x14ac:dyDescent="0.3">
      <c r="A32" s="117">
        <v>223</v>
      </c>
      <c r="B32" s="118" t="s">
        <v>26</v>
      </c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0</v>
      </c>
      <c r="L32" s="466">
        <f t="shared" si="2"/>
        <v>0</v>
      </c>
      <c r="M32" s="123">
        <f t="shared" ref="M32:S32" si="15">SUM(C18:C32)</f>
        <v>185900</v>
      </c>
      <c r="N32" s="123">
        <f t="shared" si="15"/>
        <v>183900</v>
      </c>
      <c r="O32" s="123">
        <f t="shared" si="15"/>
        <v>183900</v>
      </c>
      <c r="P32" s="123">
        <f t="shared" si="15"/>
        <v>184900</v>
      </c>
      <c r="Q32" s="123">
        <f t="shared" si="15"/>
        <v>184900</v>
      </c>
      <c r="R32" s="123">
        <f t="shared" si="15"/>
        <v>181100</v>
      </c>
      <c r="S32" s="123">
        <f t="shared" si="15"/>
        <v>181100</v>
      </c>
      <c r="T32" s="123">
        <f t="shared" ref="T32" si="16">SUM(K18:K32)</f>
        <v>136310</v>
      </c>
    </row>
    <row r="33" spans="1:20" ht="15.75" thickBot="1" x14ac:dyDescent="0.3">
      <c r="A33" s="585" t="s">
        <v>27</v>
      </c>
      <c r="B33" s="586"/>
      <c r="C33" s="1">
        <f t="shared" ref="C33:K33" si="17">SUM(C34)</f>
        <v>400</v>
      </c>
      <c r="D33" s="1">
        <f t="shared" si="17"/>
        <v>400</v>
      </c>
      <c r="E33" s="1">
        <f t="shared" si="17"/>
        <v>400</v>
      </c>
      <c r="F33" s="1">
        <f t="shared" si="17"/>
        <v>400</v>
      </c>
      <c r="G33" s="1">
        <f t="shared" si="17"/>
        <v>400</v>
      </c>
      <c r="H33" s="1">
        <f t="shared" si="17"/>
        <v>400</v>
      </c>
      <c r="I33" s="1">
        <f t="shared" si="17"/>
        <v>400</v>
      </c>
      <c r="J33" s="1">
        <f t="shared" si="17"/>
        <v>400</v>
      </c>
      <c r="K33" s="1">
        <f t="shared" si="17"/>
        <v>312</v>
      </c>
      <c r="L33" s="466">
        <f t="shared" si="2"/>
        <v>0.78</v>
      </c>
      <c r="M33" s="123"/>
      <c r="N33" s="123"/>
      <c r="O33" s="123"/>
      <c r="P33" s="123"/>
      <c r="Q33" s="123"/>
      <c r="R33" s="123"/>
      <c r="S33" s="123"/>
      <c r="T33" s="123"/>
    </row>
    <row r="34" spans="1:20" ht="15.75" thickBot="1" x14ac:dyDescent="0.3">
      <c r="A34" s="124">
        <v>240</v>
      </c>
      <c r="B34" s="125" t="s">
        <v>28</v>
      </c>
      <c r="C34" s="10">
        <v>400</v>
      </c>
      <c r="D34" s="10">
        <v>400</v>
      </c>
      <c r="E34" s="10">
        <v>400</v>
      </c>
      <c r="F34" s="10">
        <v>400</v>
      </c>
      <c r="G34" s="10">
        <v>400</v>
      </c>
      <c r="H34" s="10">
        <v>400</v>
      </c>
      <c r="I34" s="10">
        <v>400</v>
      </c>
      <c r="J34" s="10">
        <v>400</v>
      </c>
      <c r="K34" s="10">
        <v>312</v>
      </c>
      <c r="L34" s="466">
        <f t="shared" si="2"/>
        <v>0.78</v>
      </c>
    </row>
    <row r="35" spans="1:20" ht="15.75" thickBot="1" x14ac:dyDescent="0.3">
      <c r="A35" s="585" t="s">
        <v>29</v>
      </c>
      <c r="B35" s="586"/>
      <c r="C35" s="1">
        <f t="shared" ref="C35:K35" si="18">SUM(C36:C42)</f>
        <v>28250</v>
      </c>
      <c r="D35" s="1">
        <f t="shared" si="18"/>
        <v>31212</v>
      </c>
      <c r="E35" s="1">
        <f t="shared" si="18"/>
        <v>31212</v>
      </c>
      <c r="F35" s="1">
        <f t="shared" si="18"/>
        <v>34212</v>
      </c>
      <c r="G35" s="1">
        <f t="shared" si="18"/>
        <v>35212</v>
      </c>
      <c r="H35" s="1">
        <f t="shared" si="18"/>
        <v>35212</v>
      </c>
      <c r="I35" s="1">
        <f t="shared" si="18"/>
        <v>39912</v>
      </c>
      <c r="J35" s="1">
        <f t="shared" ref="J35" si="19">SUM(J36:J42)</f>
        <v>39912</v>
      </c>
      <c r="K35" s="1">
        <f t="shared" si="18"/>
        <v>14534</v>
      </c>
      <c r="L35" s="466">
        <f t="shared" si="2"/>
        <v>0.36415113249148123</v>
      </c>
    </row>
    <row r="36" spans="1:20" x14ac:dyDescent="0.25">
      <c r="A36" s="13">
        <v>292</v>
      </c>
      <c r="B36" s="14" t="s">
        <v>30</v>
      </c>
      <c r="C36" s="15">
        <v>0</v>
      </c>
      <c r="D36" s="15">
        <v>0</v>
      </c>
      <c r="E36" s="15">
        <v>0</v>
      </c>
      <c r="F36" s="15">
        <v>0</v>
      </c>
      <c r="G36" s="482">
        <v>1000</v>
      </c>
      <c r="H36" s="15">
        <v>1000</v>
      </c>
      <c r="I36" s="15">
        <v>1000</v>
      </c>
      <c r="J36" s="15">
        <v>1000</v>
      </c>
      <c r="K36" s="15">
        <v>0</v>
      </c>
      <c r="L36" s="466">
        <f t="shared" si="2"/>
        <v>0</v>
      </c>
    </row>
    <row r="37" spans="1:20" x14ac:dyDescent="0.25">
      <c r="A37" s="13">
        <v>292</v>
      </c>
      <c r="B37" s="14" t="s">
        <v>31</v>
      </c>
      <c r="C37" s="15">
        <v>400</v>
      </c>
      <c r="D37" s="15">
        <v>400</v>
      </c>
      <c r="E37" s="15">
        <v>400</v>
      </c>
      <c r="F37" s="15">
        <v>400</v>
      </c>
      <c r="G37" s="15">
        <v>400</v>
      </c>
      <c r="H37" s="15">
        <v>400</v>
      </c>
      <c r="I37" s="15">
        <v>400</v>
      </c>
      <c r="J37" s="15">
        <v>400</v>
      </c>
      <c r="K37" s="15">
        <v>165</v>
      </c>
      <c r="L37" s="466">
        <f t="shared" si="2"/>
        <v>0.41249999999999998</v>
      </c>
    </row>
    <row r="38" spans="1:20" x14ac:dyDescent="0.25">
      <c r="A38" s="16">
        <v>292</v>
      </c>
      <c r="B38" s="17" t="s">
        <v>176</v>
      </c>
      <c r="C38" s="168">
        <v>0</v>
      </c>
      <c r="D38" s="465">
        <v>2950</v>
      </c>
      <c r="E38" s="168">
        <v>2950</v>
      </c>
      <c r="F38" s="168">
        <v>2950</v>
      </c>
      <c r="G38" s="168">
        <v>2950</v>
      </c>
      <c r="H38" s="168">
        <v>2950</v>
      </c>
      <c r="I38" s="168">
        <v>2950</v>
      </c>
      <c r="J38" s="168">
        <v>2950</v>
      </c>
      <c r="K38" s="168">
        <v>2949</v>
      </c>
      <c r="L38" s="466">
        <f t="shared" si="2"/>
        <v>0.99966101694915255</v>
      </c>
    </row>
    <row r="39" spans="1:20" x14ac:dyDescent="0.25">
      <c r="A39" s="16">
        <v>292</v>
      </c>
      <c r="B39" s="17" t="s">
        <v>177</v>
      </c>
      <c r="C39" s="18">
        <v>10000</v>
      </c>
      <c r="D39" s="18">
        <v>10000</v>
      </c>
      <c r="E39" s="18">
        <v>10000</v>
      </c>
      <c r="F39" s="18">
        <v>10000</v>
      </c>
      <c r="G39" s="18">
        <v>10000</v>
      </c>
      <c r="H39" s="18">
        <v>10000</v>
      </c>
      <c r="I39" s="18">
        <v>10000</v>
      </c>
      <c r="J39" s="18">
        <v>10000</v>
      </c>
      <c r="K39" s="18">
        <v>255</v>
      </c>
      <c r="L39" s="466">
        <f t="shared" si="2"/>
        <v>2.5499999999999998E-2</v>
      </c>
    </row>
    <row r="40" spans="1:20" x14ac:dyDescent="0.25">
      <c r="A40" s="16">
        <v>292</v>
      </c>
      <c r="B40" s="116" t="s">
        <v>32</v>
      </c>
      <c r="C40" s="171">
        <v>240</v>
      </c>
      <c r="D40" s="460">
        <f t="shared" ref="D40:J40" si="20">240+12</f>
        <v>252</v>
      </c>
      <c r="E40" s="171">
        <f t="shared" si="20"/>
        <v>252</v>
      </c>
      <c r="F40" s="171">
        <f t="shared" si="20"/>
        <v>252</v>
      </c>
      <c r="G40" s="171">
        <f t="shared" si="20"/>
        <v>252</v>
      </c>
      <c r="H40" s="171">
        <f t="shared" si="20"/>
        <v>252</v>
      </c>
      <c r="I40" s="171">
        <f t="shared" si="20"/>
        <v>252</v>
      </c>
      <c r="J40" s="171">
        <f t="shared" si="20"/>
        <v>252</v>
      </c>
      <c r="K40" s="171">
        <v>126</v>
      </c>
      <c r="L40" s="466">
        <f t="shared" si="2"/>
        <v>0.5</v>
      </c>
    </row>
    <row r="41" spans="1:20" x14ac:dyDescent="0.25">
      <c r="A41" s="16">
        <v>292</v>
      </c>
      <c r="B41" s="17" t="s">
        <v>33</v>
      </c>
      <c r="C41" s="18">
        <f>17710-240</f>
        <v>17470</v>
      </c>
      <c r="D41" s="18">
        <f>17710+12-D40</f>
        <v>17470</v>
      </c>
      <c r="E41" s="18">
        <f>17710+12-E40</f>
        <v>17470</v>
      </c>
      <c r="F41" s="477">
        <f>17710+12-F40+3000</f>
        <v>20470</v>
      </c>
      <c r="G41" s="18">
        <f>17710+12-G40+3000</f>
        <v>20470</v>
      </c>
      <c r="H41" s="18">
        <f>17710+12-H40+3000</f>
        <v>20470</v>
      </c>
      <c r="I41" s="477">
        <f>17710+12-I40+3000+2500+2200</f>
        <v>25170</v>
      </c>
      <c r="J41" s="18">
        <f>17710+12-J40+3000+2500+2200</f>
        <v>25170</v>
      </c>
      <c r="K41" s="18">
        <f>11025-K40</f>
        <v>10899</v>
      </c>
      <c r="L41" s="466">
        <f t="shared" si="2"/>
        <v>0.43301549463647199</v>
      </c>
    </row>
    <row r="42" spans="1:20" ht="15.75" thickBot="1" x14ac:dyDescent="0.3">
      <c r="A42" s="16">
        <v>292</v>
      </c>
      <c r="B42" s="17" t="s">
        <v>235</v>
      </c>
      <c r="C42" s="18">
        <v>140</v>
      </c>
      <c r="D42" s="18">
        <v>140</v>
      </c>
      <c r="E42" s="18">
        <v>140</v>
      </c>
      <c r="F42" s="18">
        <v>140</v>
      </c>
      <c r="G42" s="18">
        <v>140</v>
      </c>
      <c r="H42" s="18">
        <v>140</v>
      </c>
      <c r="I42" s="18">
        <v>140</v>
      </c>
      <c r="J42" s="18">
        <v>140</v>
      </c>
      <c r="K42" s="18">
        <v>140</v>
      </c>
      <c r="L42" s="466">
        <f t="shared" si="2"/>
        <v>1</v>
      </c>
    </row>
    <row r="43" spans="1:20" ht="15.75" thickBot="1" x14ac:dyDescent="0.3">
      <c r="A43" s="19" t="s">
        <v>34</v>
      </c>
      <c r="B43" s="20"/>
      <c r="C43" s="1">
        <f t="shared" ref="C43:K43" si="21">SUM(C44:C67)</f>
        <v>694110</v>
      </c>
      <c r="D43" s="1">
        <f t="shared" si="21"/>
        <v>713823</v>
      </c>
      <c r="E43" s="1">
        <f t="shared" si="21"/>
        <v>720268</v>
      </c>
      <c r="F43" s="1">
        <f t="shared" si="21"/>
        <v>743313</v>
      </c>
      <c r="G43" s="1">
        <f t="shared" si="21"/>
        <v>744024</v>
      </c>
      <c r="H43" s="1">
        <f t="shared" si="21"/>
        <v>765587</v>
      </c>
      <c r="I43" s="1">
        <f t="shared" si="21"/>
        <v>763363</v>
      </c>
      <c r="J43" s="1">
        <f t="shared" ref="J43" si="22">SUM(J44:J67)</f>
        <v>763673</v>
      </c>
      <c r="K43" s="1">
        <f t="shared" si="21"/>
        <v>524955</v>
      </c>
      <c r="L43" s="466">
        <f t="shared" si="2"/>
        <v>0.68740809220700483</v>
      </c>
    </row>
    <row r="44" spans="1:20" x14ac:dyDescent="0.25">
      <c r="A44" s="21">
        <v>311</v>
      </c>
      <c r="B44" s="22" t="s">
        <v>178</v>
      </c>
      <c r="C44" s="23">
        <v>0</v>
      </c>
      <c r="D44" s="23">
        <v>0</v>
      </c>
      <c r="E44" s="23">
        <v>0</v>
      </c>
      <c r="F44" s="461">
        <v>3000</v>
      </c>
      <c r="G44" s="23">
        <v>3000</v>
      </c>
      <c r="H44" s="23">
        <v>3000</v>
      </c>
      <c r="I44" s="23">
        <v>3000</v>
      </c>
      <c r="J44" s="23">
        <v>3000</v>
      </c>
      <c r="K44" s="23">
        <v>3000</v>
      </c>
      <c r="L44" s="466">
        <f t="shared" si="2"/>
        <v>1</v>
      </c>
    </row>
    <row r="45" spans="1:20" x14ac:dyDescent="0.25">
      <c r="A45" s="21">
        <v>311</v>
      </c>
      <c r="B45" s="22" t="s">
        <v>212</v>
      </c>
      <c r="C45" s="23">
        <v>0</v>
      </c>
      <c r="D45" s="461">
        <v>460</v>
      </c>
      <c r="E45" s="23">
        <v>460</v>
      </c>
      <c r="F45" s="23">
        <v>460</v>
      </c>
      <c r="G45" s="23">
        <v>460</v>
      </c>
      <c r="H45" s="23">
        <v>460</v>
      </c>
      <c r="I45" s="23">
        <v>460</v>
      </c>
      <c r="J45" s="23">
        <v>460</v>
      </c>
      <c r="K45" s="23">
        <v>460</v>
      </c>
      <c r="L45" s="466">
        <f t="shared" si="2"/>
        <v>1</v>
      </c>
    </row>
    <row r="46" spans="1:20" x14ac:dyDescent="0.25">
      <c r="A46" s="27">
        <v>312</v>
      </c>
      <c r="B46" s="22" t="s">
        <v>443</v>
      </c>
      <c r="C46" s="28">
        <v>0</v>
      </c>
      <c r="D46" s="28">
        <v>0</v>
      </c>
      <c r="E46" s="462">
        <v>6000</v>
      </c>
      <c r="F46" s="28">
        <v>6000</v>
      </c>
      <c r="G46" s="28">
        <v>6000</v>
      </c>
      <c r="H46" s="28">
        <v>6000</v>
      </c>
      <c r="I46" s="28">
        <v>6000</v>
      </c>
      <c r="J46" s="28">
        <v>6000</v>
      </c>
      <c r="K46" s="28">
        <v>6000</v>
      </c>
      <c r="L46" s="466">
        <f t="shared" si="2"/>
        <v>1</v>
      </c>
    </row>
    <row r="47" spans="1:20" x14ac:dyDescent="0.25">
      <c r="A47" s="21">
        <v>312</v>
      </c>
      <c r="B47" s="22" t="s">
        <v>236</v>
      </c>
      <c r="C47" s="23">
        <v>8220</v>
      </c>
      <c r="D47" s="23">
        <v>8220</v>
      </c>
      <c r="E47" s="23">
        <v>8220</v>
      </c>
      <c r="F47" s="23">
        <v>8220</v>
      </c>
      <c r="G47" s="23">
        <v>8220</v>
      </c>
      <c r="H47" s="23">
        <v>8220</v>
      </c>
      <c r="I47" s="23">
        <v>8220</v>
      </c>
      <c r="J47" s="23">
        <v>8220</v>
      </c>
      <c r="K47" s="23">
        <v>5392</v>
      </c>
      <c r="L47" s="466">
        <f t="shared" si="2"/>
        <v>0.65596107055961073</v>
      </c>
    </row>
    <row r="48" spans="1:20" x14ac:dyDescent="0.25">
      <c r="A48" s="21">
        <v>312</v>
      </c>
      <c r="B48" s="22" t="s">
        <v>35</v>
      </c>
      <c r="C48" s="23">
        <v>4000</v>
      </c>
      <c r="D48" s="461">
        <f>4000+2100</f>
        <v>6100</v>
      </c>
      <c r="E48" s="461">
        <f>4000+2100+145</f>
        <v>6245</v>
      </c>
      <c r="F48" s="461">
        <f>4000+2100+145+5</f>
        <v>6250</v>
      </c>
      <c r="G48" s="23">
        <f>4000+2100+145+5</f>
        <v>6250</v>
      </c>
      <c r="H48" s="23">
        <f>4000+2100+145+5</f>
        <v>6250</v>
      </c>
      <c r="I48" s="23">
        <f>4000+2100+145+5</f>
        <v>6250</v>
      </c>
      <c r="J48" s="23">
        <f>4000+2100+145+5</f>
        <v>6250</v>
      </c>
      <c r="K48" s="23">
        <v>6211</v>
      </c>
      <c r="L48" s="466">
        <f t="shared" si="2"/>
        <v>0.99375999999999998</v>
      </c>
    </row>
    <row r="49" spans="1:12" x14ac:dyDescent="0.25">
      <c r="A49" s="24">
        <v>312</v>
      </c>
      <c r="B49" s="116" t="s">
        <v>568</v>
      </c>
      <c r="C49" s="7">
        <v>7200</v>
      </c>
      <c r="D49" s="7">
        <v>7200</v>
      </c>
      <c r="E49" s="7">
        <v>7200</v>
      </c>
      <c r="F49" s="216">
        <v>7200</v>
      </c>
      <c r="G49" s="216">
        <v>7200</v>
      </c>
      <c r="H49" s="463">
        <f>7200+20000+1457</f>
        <v>28657</v>
      </c>
      <c r="I49" s="216">
        <f>7200+20000+1457</f>
        <v>28657</v>
      </c>
      <c r="J49" s="216">
        <f>7200+20000+1457</f>
        <v>28657</v>
      </c>
      <c r="K49" s="7">
        <v>25644</v>
      </c>
      <c r="L49" s="466">
        <f t="shared" si="2"/>
        <v>0.89485989461562621</v>
      </c>
    </row>
    <row r="50" spans="1:12" x14ac:dyDescent="0.25">
      <c r="A50" s="24">
        <v>312</v>
      </c>
      <c r="B50" s="116" t="s">
        <v>37</v>
      </c>
      <c r="C50" s="7">
        <v>1000</v>
      </c>
      <c r="D50" s="7">
        <v>1000</v>
      </c>
      <c r="E50" s="7">
        <v>1000</v>
      </c>
      <c r="F50" s="216">
        <v>1000</v>
      </c>
      <c r="G50" s="216">
        <v>1000</v>
      </c>
      <c r="H50" s="216">
        <v>1000</v>
      </c>
      <c r="I50" s="216">
        <v>1000</v>
      </c>
      <c r="J50" s="216">
        <v>1000</v>
      </c>
      <c r="K50" s="7">
        <f>8+219</f>
        <v>227</v>
      </c>
      <c r="L50" s="466">
        <f t="shared" si="2"/>
        <v>0.22700000000000001</v>
      </c>
    </row>
    <row r="51" spans="1:12" x14ac:dyDescent="0.25">
      <c r="A51" s="21">
        <v>312</v>
      </c>
      <c r="B51" s="22" t="s">
        <v>402</v>
      </c>
      <c r="C51" s="23">
        <v>0</v>
      </c>
      <c r="D51" s="23">
        <v>0</v>
      </c>
      <c r="E51" s="461">
        <v>300</v>
      </c>
      <c r="F51" s="23">
        <v>300</v>
      </c>
      <c r="G51" s="23">
        <v>300</v>
      </c>
      <c r="H51" s="23">
        <v>300</v>
      </c>
      <c r="I51" s="23">
        <v>300</v>
      </c>
      <c r="J51" s="23">
        <v>300</v>
      </c>
      <c r="K51" s="23">
        <v>300</v>
      </c>
      <c r="L51" s="466">
        <f t="shared" si="2"/>
        <v>1</v>
      </c>
    </row>
    <row r="52" spans="1:12" x14ac:dyDescent="0.25">
      <c r="A52" s="24">
        <v>312</v>
      </c>
      <c r="B52" s="25" t="s">
        <v>166</v>
      </c>
      <c r="C52" s="26">
        <v>14440</v>
      </c>
      <c r="D52" s="26">
        <v>14440</v>
      </c>
      <c r="E52" s="26">
        <v>14440</v>
      </c>
      <c r="F52" s="262">
        <v>14440</v>
      </c>
      <c r="G52" s="262">
        <v>14440</v>
      </c>
      <c r="H52" s="262">
        <v>14440</v>
      </c>
      <c r="I52" s="262">
        <v>14440</v>
      </c>
      <c r="J52" s="262">
        <v>14440</v>
      </c>
      <c r="K52" s="26">
        <v>2208</v>
      </c>
      <c r="L52" s="466">
        <f t="shared" si="2"/>
        <v>0.15290858725761772</v>
      </c>
    </row>
    <row r="53" spans="1:12" x14ac:dyDescent="0.25">
      <c r="A53" s="24">
        <v>312</v>
      </c>
      <c r="B53" s="25" t="s">
        <v>238</v>
      </c>
      <c r="C53" s="26">
        <v>3800</v>
      </c>
      <c r="D53" s="26">
        <v>3800</v>
      </c>
      <c r="E53" s="26">
        <v>3800</v>
      </c>
      <c r="F53" s="262">
        <v>3800</v>
      </c>
      <c r="G53" s="262">
        <v>3800</v>
      </c>
      <c r="H53" s="262">
        <v>3800</v>
      </c>
      <c r="I53" s="262">
        <v>3800</v>
      </c>
      <c r="J53" s="262">
        <v>3800</v>
      </c>
      <c r="K53" s="26">
        <v>0</v>
      </c>
      <c r="L53" s="466">
        <f t="shared" si="2"/>
        <v>0</v>
      </c>
    </row>
    <row r="54" spans="1:12" x14ac:dyDescent="0.25">
      <c r="A54" s="24">
        <v>312</v>
      </c>
      <c r="B54" s="25" t="s">
        <v>237</v>
      </c>
      <c r="C54" s="26">
        <v>950</v>
      </c>
      <c r="D54" s="26">
        <v>950</v>
      </c>
      <c r="E54" s="26">
        <v>950</v>
      </c>
      <c r="F54" s="262">
        <v>950</v>
      </c>
      <c r="G54" s="262">
        <v>950</v>
      </c>
      <c r="H54" s="262">
        <v>950</v>
      </c>
      <c r="I54" s="262">
        <v>950</v>
      </c>
      <c r="J54" s="262">
        <v>950</v>
      </c>
      <c r="K54" s="26">
        <v>0</v>
      </c>
      <c r="L54" s="466">
        <f t="shared" si="2"/>
        <v>0</v>
      </c>
    </row>
    <row r="55" spans="1:12" x14ac:dyDescent="0.25">
      <c r="A55" s="21">
        <v>312</v>
      </c>
      <c r="B55" s="22" t="s">
        <v>349</v>
      </c>
      <c r="C55" s="23">
        <v>0</v>
      </c>
      <c r="D55" s="461">
        <v>30</v>
      </c>
      <c r="E55" s="23">
        <v>30</v>
      </c>
      <c r="F55" s="23">
        <v>30</v>
      </c>
      <c r="G55" s="23">
        <v>30</v>
      </c>
      <c r="H55" s="23">
        <v>30</v>
      </c>
      <c r="I55" s="23">
        <v>30</v>
      </c>
      <c r="J55" s="23">
        <v>30</v>
      </c>
      <c r="K55" s="23">
        <v>30</v>
      </c>
      <c r="L55" s="466">
        <f t="shared" si="2"/>
        <v>1</v>
      </c>
    </row>
    <row r="56" spans="1:12" x14ac:dyDescent="0.25">
      <c r="A56" s="24">
        <v>312</v>
      </c>
      <c r="B56" s="25" t="s">
        <v>38</v>
      </c>
      <c r="C56" s="7">
        <v>18300</v>
      </c>
      <c r="D56" s="7">
        <v>18300</v>
      </c>
      <c r="E56" s="7">
        <v>18300</v>
      </c>
      <c r="F56" s="216">
        <v>18300</v>
      </c>
      <c r="G56" s="216">
        <v>18300</v>
      </c>
      <c r="H56" s="216">
        <v>18300</v>
      </c>
      <c r="I56" s="463">
        <f>18300+1700</f>
        <v>20000</v>
      </c>
      <c r="J56" s="216">
        <f>18300+1700</f>
        <v>20000</v>
      </c>
      <c r="K56" s="7">
        <v>14275</v>
      </c>
      <c r="L56" s="466">
        <f t="shared" si="2"/>
        <v>0.71375</v>
      </c>
    </row>
    <row r="57" spans="1:12" x14ac:dyDescent="0.25">
      <c r="A57" s="24">
        <v>312</v>
      </c>
      <c r="B57" s="25" t="s">
        <v>39</v>
      </c>
      <c r="C57" s="7">
        <v>8700</v>
      </c>
      <c r="D57" s="7">
        <v>8700</v>
      </c>
      <c r="E57" s="7">
        <v>8700</v>
      </c>
      <c r="F57" s="7">
        <v>8700</v>
      </c>
      <c r="G57" s="7">
        <v>8700</v>
      </c>
      <c r="H57" s="7">
        <v>8700</v>
      </c>
      <c r="I57" s="7">
        <v>8700</v>
      </c>
      <c r="J57" s="7">
        <v>8700</v>
      </c>
      <c r="K57" s="7">
        <v>6525</v>
      </c>
      <c r="L57" s="466">
        <f t="shared" si="2"/>
        <v>0.75</v>
      </c>
    </row>
    <row r="58" spans="1:12" x14ac:dyDescent="0.25">
      <c r="A58" s="24">
        <v>312</v>
      </c>
      <c r="B58" s="25" t="s">
        <v>40</v>
      </c>
      <c r="C58" s="7">
        <v>7900</v>
      </c>
      <c r="D58" s="7">
        <v>7900</v>
      </c>
      <c r="E58" s="7">
        <v>7900</v>
      </c>
      <c r="F58" s="463">
        <f>7900+200</f>
        <v>8100</v>
      </c>
      <c r="G58" s="216">
        <f>7900+200</f>
        <v>8100</v>
      </c>
      <c r="H58" s="216">
        <f>7900+200</f>
        <v>8100</v>
      </c>
      <c r="I58" s="216">
        <f>7900+200</f>
        <v>8100</v>
      </c>
      <c r="J58" s="216">
        <f>7900+200</f>
        <v>8100</v>
      </c>
      <c r="K58" s="7">
        <v>4020</v>
      </c>
      <c r="L58" s="466">
        <f t="shared" si="2"/>
        <v>0.49629629629629629</v>
      </c>
    </row>
    <row r="59" spans="1:12" x14ac:dyDescent="0.25">
      <c r="A59" s="24">
        <v>312</v>
      </c>
      <c r="B59" s="25" t="s">
        <v>499</v>
      </c>
      <c r="C59" s="7">
        <v>0</v>
      </c>
      <c r="D59" s="7">
        <v>0</v>
      </c>
      <c r="E59" s="7">
        <v>0</v>
      </c>
      <c r="F59" s="463">
        <f>2000+1500</f>
        <v>3500</v>
      </c>
      <c r="G59" s="216">
        <f>2000+1500</f>
        <v>3500</v>
      </c>
      <c r="H59" s="216">
        <f>2000+1500</f>
        <v>3500</v>
      </c>
      <c r="I59" s="216">
        <f>2000+1500</f>
        <v>3500</v>
      </c>
      <c r="J59" s="216">
        <f>2000+1500</f>
        <v>3500</v>
      </c>
      <c r="K59" s="7">
        <v>3500</v>
      </c>
      <c r="L59" s="466">
        <f t="shared" si="2"/>
        <v>1</v>
      </c>
    </row>
    <row r="60" spans="1:12" x14ac:dyDescent="0.25">
      <c r="A60" s="24">
        <v>312</v>
      </c>
      <c r="B60" s="25" t="s">
        <v>41</v>
      </c>
      <c r="C60" s="7">
        <v>3000</v>
      </c>
      <c r="D60" s="7">
        <v>3000</v>
      </c>
      <c r="E60" s="7">
        <v>3000</v>
      </c>
      <c r="F60" s="7">
        <v>3000</v>
      </c>
      <c r="G60" s="216">
        <v>3000</v>
      </c>
      <c r="H60" s="216">
        <v>3000</v>
      </c>
      <c r="I60" s="216">
        <v>3000</v>
      </c>
      <c r="J60" s="216">
        <v>3000</v>
      </c>
      <c r="K60" s="7">
        <v>3000</v>
      </c>
      <c r="L60" s="466">
        <f t="shared" si="2"/>
        <v>1</v>
      </c>
    </row>
    <row r="61" spans="1:12" x14ac:dyDescent="0.25">
      <c r="A61" s="27">
        <v>312</v>
      </c>
      <c r="B61" s="22" t="s">
        <v>180</v>
      </c>
      <c r="C61" s="28">
        <v>0</v>
      </c>
      <c r="D61" s="462">
        <f>2000+2000</f>
        <v>4000</v>
      </c>
      <c r="E61" s="28">
        <f>2000+2000</f>
        <v>4000</v>
      </c>
      <c r="F61" s="462">
        <f>2000+2000+1900+2000+2200+2000+8000</f>
        <v>20100</v>
      </c>
      <c r="G61" s="28">
        <f>2000+2000+1900+2000+2200+2000+8000</f>
        <v>20100</v>
      </c>
      <c r="H61" s="28">
        <f>2000+2000+1900+2000+2200+2000+8000</f>
        <v>20100</v>
      </c>
      <c r="I61" s="462">
        <f>2000+2000+1900+2000+2200+2000+8000-6100</f>
        <v>14000</v>
      </c>
      <c r="J61" s="28">
        <f>2000+2000+1900+2000+2200+2000+8000-6100</f>
        <v>14000</v>
      </c>
      <c r="K61" s="28">
        <v>14000</v>
      </c>
      <c r="L61" s="466">
        <f t="shared" si="2"/>
        <v>1</v>
      </c>
    </row>
    <row r="62" spans="1:12" x14ac:dyDescent="0.25">
      <c r="A62" s="29">
        <v>312</v>
      </c>
      <c r="B62" s="116" t="s">
        <v>42</v>
      </c>
      <c r="C62" s="170">
        <v>4430</v>
      </c>
      <c r="D62" s="464">
        <f>4430-130</f>
        <v>4300</v>
      </c>
      <c r="E62" s="170">
        <f>4430-130</f>
        <v>4300</v>
      </c>
      <c r="F62" s="464">
        <f>4430-130+440</f>
        <v>4740</v>
      </c>
      <c r="G62" s="170">
        <f>4430-130+440</f>
        <v>4740</v>
      </c>
      <c r="H62" s="170">
        <f>4430-130+440</f>
        <v>4740</v>
      </c>
      <c r="I62" s="170">
        <f>4430-130+440</f>
        <v>4740</v>
      </c>
      <c r="J62" s="170">
        <f>4430-130+440</f>
        <v>4740</v>
      </c>
      <c r="K62" s="170">
        <v>4569</v>
      </c>
      <c r="L62" s="466">
        <f t="shared" si="2"/>
        <v>0.96392405063291142</v>
      </c>
    </row>
    <row r="63" spans="1:12" x14ac:dyDescent="0.25">
      <c r="A63" s="29">
        <v>312</v>
      </c>
      <c r="B63" s="126" t="s">
        <v>43</v>
      </c>
      <c r="C63" s="9">
        <v>3700</v>
      </c>
      <c r="D63" s="459">
        <f>3700-200</f>
        <v>3500</v>
      </c>
      <c r="E63" s="9">
        <f>3700-200</f>
        <v>3500</v>
      </c>
      <c r="F63" s="459">
        <f>3700-200-200</f>
        <v>3300</v>
      </c>
      <c r="G63" s="9">
        <f>3700-200-200</f>
        <v>3300</v>
      </c>
      <c r="H63" s="9">
        <f>3700-200-200</f>
        <v>3300</v>
      </c>
      <c r="I63" s="9">
        <f>3700-200-200</f>
        <v>3300</v>
      </c>
      <c r="J63" s="9">
        <f>3700-200-200</f>
        <v>3300</v>
      </c>
      <c r="K63" s="9">
        <v>3259</v>
      </c>
      <c r="L63" s="466">
        <f t="shared" si="2"/>
        <v>0.98757575757575755</v>
      </c>
    </row>
    <row r="64" spans="1:12" x14ac:dyDescent="0.25">
      <c r="A64" s="29">
        <v>312</v>
      </c>
      <c r="B64" s="30" t="s">
        <v>44</v>
      </c>
      <c r="C64" s="170">
        <v>3000</v>
      </c>
      <c r="D64" s="464">
        <f t="shared" ref="D64:I64" si="23">3000-470</f>
        <v>2530</v>
      </c>
      <c r="E64" s="170">
        <f t="shared" si="23"/>
        <v>2530</v>
      </c>
      <c r="F64" s="170">
        <f t="shared" si="23"/>
        <v>2530</v>
      </c>
      <c r="G64" s="170">
        <f t="shared" si="23"/>
        <v>2530</v>
      </c>
      <c r="H64" s="170">
        <f t="shared" si="23"/>
        <v>2530</v>
      </c>
      <c r="I64" s="170">
        <f t="shared" si="23"/>
        <v>2530</v>
      </c>
      <c r="J64" s="464">
        <f>3000-470+310</f>
        <v>2840</v>
      </c>
      <c r="K64" s="170">
        <v>1685</v>
      </c>
      <c r="L64" s="466">
        <f t="shared" si="2"/>
        <v>0.59330985915492962</v>
      </c>
    </row>
    <row r="65" spans="1:20" ht="15.75" customHeight="1" x14ac:dyDescent="0.25">
      <c r="A65" s="24">
        <v>312</v>
      </c>
      <c r="B65" s="25" t="s">
        <v>181</v>
      </c>
      <c r="C65" s="216">
        <v>102200</v>
      </c>
      <c r="D65" s="216">
        <v>102200</v>
      </c>
      <c r="E65" s="216">
        <v>102200</v>
      </c>
      <c r="F65" s="216">
        <v>102200</v>
      </c>
      <c r="G65" s="216">
        <v>102200</v>
      </c>
      <c r="H65" s="216">
        <v>102200</v>
      </c>
      <c r="I65" s="216">
        <v>102200</v>
      </c>
      <c r="J65" s="216">
        <v>102200</v>
      </c>
      <c r="K65" s="216">
        <v>28189</v>
      </c>
      <c r="L65" s="466">
        <f t="shared" si="2"/>
        <v>0.27582191780821919</v>
      </c>
    </row>
    <row r="66" spans="1:20" x14ac:dyDescent="0.25">
      <c r="A66" s="24">
        <v>312</v>
      </c>
      <c r="B66" s="25" t="s">
        <v>239</v>
      </c>
      <c r="C66" s="216">
        <v>31000</v>
      </c>
      <c r="D66" s="463">
        <f t="shared" ref="D66:J66" si="24">31000+104</f>
        <v>31104</v>
      </c>
      <c r="E66" s="216">
        <f t="shared" si="24"/>
        <v>31104</v>
      </c>
      <c r="F66" s="216">
        <f t="shared" si="24"/>
        <v>31104</v>
      </c>
      <c r="G66" s="216">
        <f t="shared" si="24"/>
        <v>31104</v>
      </c>
      <c r="H66" s="216">
        <f t="shared" si="24"/>
        <v>31104</v>
      </c>
      <c r="I66" s="216">
        <f t="shared" si="24"/>
        <v>31104</v>
      </c>
      <c r="J66" s="216">
        <f t="shared" si="24"/>
        <v>31104</v>
      </c>
      <c r="K66" s="216">
        <v>23328</v>
      </c>
      <c r="L66" s="466">
        <f t="shared" si="2"/>
        <v>0.75</v>
      </c>
    </row>
    <row r="67" spans="1:20" ht="16.5" thickBot="1" x14ac:dyDescent="0.3">
      <c r="A67" s="241">
        <v>312</v>
      </c>
      <c r="B67" s="242" t="s">
        <v>270</v>
      </c>
      <c r="C67" s="218">
        <f>440000+32270</f>
        <v>472270</v>
      </c>
      <c r="D67" s="218">
        <f>440000+32270+13819</f>
        <v>486089</v>
      </c>
      <c r="E67" s="218">
        <f>440000+32270+13819</f>
        <v>486089</v>
      </c>
      <c r="F67" s="218">
        <f>440000+32270+13819</f>
        <v>486089</v>
      </c>
      <c r="G67" s="218">
        <f>440000+32270+13819+711</f>
        <v>486800</v>
      </c>
      <c r="H67" s="571">
        <f>440000+32270+13819+711+106</f>
        <v>486906</v>
      </c>
      <c r="I67" s="571">
        <f>440000+32270+13819+711+106+2176</f>
        <v>489082</v>
      </c>
      <c r="J67" s="218">
        <f>440000+32270+13819+711+106+2176</f>
        <v>489082</v>
      </c>
      <c r="K67" s="218">
        <v>369133</v>
      </c>
      <c r="L67" s="466">
        <f t="shared" si="2"/>
        <v>0.75474664780139122</v>
      </c>
      <c r="M67" s="123"/>
    </row>
    <row r="68" spans="1:20" ht="16.5" thickBot="1" x14ac:dyDescent="0.3">
      <c r="A68" s="31" t="s">
        <v>45</v>
      </c>
      <c r="B68" s="127"/>
      <c r="C68" s="32">
        <f t="shared" ref="C68:K68" si="25">SUM(C4+C12+C33+C35+C43)</f>
        <v>2092580</v>
      </c>
      <c r="D68" s="32">
        <f t="shared" si="25"/>
        <v>2136130</v>
      </c>
      <c r="E68" s="32">
        <f t="shared" si="25"/>
        <v>2143075</v>
      </c>
      <c r="F68" s="32">
        <f t="shared" si="25"/>
        <v>2172120</v>
      </c>
      <c r="G68" s="32">
        <f t="shared" si="25"/>
        <v>2213831</v>
      </c>
      <c r="H68" s="32">
        <f t="shared" si="25"/>
        <v>2221994</v>
      </c>
      <c r="I68" s="32">
        <f t="shared" si="25"/>
        <v>2220570</v>
      </c>
      <c r="J68" s="32">
        <f t="shared" ref="J68" si="26">SUM(J4+J12+J33+J35+J43)</f>
        <v>2220880</v>
      </c>
      <c r="K68" s="32">
        <f t="shared" si="25"/>
        <v>1597933</v>
      </c>
      <c r="L68" s="466">
        <f t="shared" si="2"/>
        <v>0.71950443067612835</v>
      </c>
      <c r="M68" s="123">
        <f t="shared" ref="M68:S68" si="27">D68-C68</f>
        <v>43550</v>
      </c>
      <c r="N68" s="123">
        <f t="shared" si="27"/>
        <v>6945</v>
      </c>
      <c r="O68" s="123">
        <f t="shared" si="27"/>
        <v>29045</v>
      </c>
      <c r="P68" s="123">
        <f t="shared" si="27"/>
        <v>41711</v>
      </c>
      <c r="Q68" s="123">
        <f t="shared" si="27"/>
        <v>8163</v>
      </c>
      <c r="R68" s="123">
        <f t="shared" si="27"/>
        <v>-1424</v>
      </c>
      <c r="S68" s="123">
        <f t="shared" si="27"/>
        <v>310</v>
      </c>
      <c r="T68" s="123"/>
    </row>
    <row r="69" spans="1:20" x14ac:dyDescent="0.25">
      <c r="A69" s="243" t="s">
        <v>46</v>
      </c>
      <c r="B69" s="244" t="s">
        <v>269</v>
      </c>
      <c r="C69" s="217">
        <v>3000</v>
      </c>
      <c r="D69" s="217">
        <v>3000</v>
      </c>
      <c r="E69" s="217">
        <v>3000</v>
      </c>
      <c r="F69" s="217">
        <v>3000</v>
      </c>
      <c r="G69" s="217">
        <v>3000</v>
      </c>
      <c r="H69" s="492">
        <f>3000+4330</f>
        <v>7330</v>
      </c>
      <c r="I69" s="217">
        <f>3000+4330</f>
        <v>7330</v>
      </c>
      <c r="J69" s="217">
        <f>3000+4330</f>
        <v>7330</v>
      </c>
      <c r="K69" s="217">
        <f>1275+121+171+12+275+310+3634</f>
        <v>5798</v>
      </c>
      <c r="L69" s="466">
        <f t="shared" ref="L69:L75" si="28">K69/J69</f>
        <v>0.79099590723055935</v>
      </c>
      <c r="M69" s="123">
        <f>K69+K70+K73</f>
        <v>13765</v>
      </c>
      <c r="N69" s="123"/>
      <c r="O69" s="123"/>
    </row>
    <row r="70" spans="1:20" ht="15.75" customHeight="1" x14ac:dyDescent="0.25">
      <c r="A70" s="359" t="s">
        <v>46</v>
      </c>
      <c r="B70" s="244" t="s">
        <v>263</v>
      </c>
      <c r="C70" s="360">
        <v>1320</v>
      </c>
      <c r="D70" s="360">
        <v>1320</v>
      </c>
      <c r="E70" s="360">
        <v>1320</v>
      </c>
      <c r="F70" s="360">
        <v>1320</v>
      </c>
      <c r="G70" s="360">
        <v>1320</v>
      </c>
      <c r="H70" s="360">
        <v>1320</v>
      </c>
      <c r="I70" s="360">
        <v>1320</v>
      </c>
      <c r="J70" s="360">
        <v>1320</v>
      </c>
      <c r="K70" s="360">
        <f>369+357</f>
        <v>726</v>
      </c>
      <c r="L70" s="466">
        <f t="shared" si="28"/>
        <v>0.55000000000000004</v>
      </c>
      <c r="M70" s="123"/>
      <c r="N70" s="123"/>
      <c r="O70" s="123"/>
    </row>
    <row r="71" spans="1:20" ht="15.75" customHeight="1" thickBot="1" x14ac:dyDescent="0.3">
      <c r="A71" s="245" t="s">
        <v>46</v>
      </c>
      <c r="B71" s="246" t="s">
        <v>229</v>
      </c>
      <c r="C71" s="234">
        <v>54240</v>
      </c>
      <c r="D71" s="234">
        <v>54240</v>
      </c>
      <c r="E71" s="234">
        <v>54240</v>
      </c>
      <c r="F71" s="234">
        <v>54240</v>
      </c>
      <c r="G71" s="234">
        <v>54240</v>
      </c>
      <c r="H71" s="234">
        <v>54240</v>
      </c>
      <c r="I71" s="234">
        <v>54240</v>
      </c>
      <c r="J71" s="234">
        <v>54240</v>
      </c>
      <c r="K71" s="234">
        <v>32683</v>
      </c>
      <c r="L71" s="466">
        <f t="shared" si="28"/>
        <v>0.60256268436578175</v>
      </c>
      <c r="M71" s="123"/>
      <c r="N71" s="123"/>
      <c r="O71" s="123"/>
    </row>
    <row r="72" spans="1:20" ht="15.75" thickBot="1" x14ac:dyDescent="0.3">
      <c r="A72" s="668" t="s">
        <v>277</v>
      </c>
      <c r="B72" s="669"/>
      <c r="C72" s="369">
        <f t="shared" ref="C72:F72" si="29">SUM(C69:C71)</f>
        <v>58560</v>
      </c>
      <c r="D72" s="369">
        <f t="shared" si="29"/>
        <v>58560</v>
      </c>
      <c r="E72" s="369">
        <f t="shared" si="29"/>
        <v>58560</v>
      </c>
      <c r="F72" s="369">
        <f t="shared" si="29"/>
        <v>58560</v>
      </c>
      <c r="G72" s="369">
        <f t="shared" ref="G72:K72" si="30">SUM(G69:G71)</f>
        <v>58560</v>
      </c>
      <c r="H72" s="369">
        <f t="shared" si="30"/>
        <v>62890</v>
      </c>
      <c r="I72" s="369">
        <f t="shared" si="30"/>
        <v>62890</v>
      </c>
      <c r="J72" s="369">
        <f t="shared" ref="J72" si="31">SUM(J69:J71)</f>
        <v>62890</v>
      </c>
      <c r="K72" s="369">
        <f t="shared" si="30"/>
        <v>39207</v>
      </c>
      <c r="L72" s="466">
        <f t="shared" si="28"/>
        <v>0.62342184767053588</v>
      </c>
      <c r="M72" s="123">
        <f t="shared" ref="M72:S75" si="32">D72-C72</f>
        <v>0</v>
      </c>
      <c r="N72" s="123">
        <f t="shared" si="32"/>
        <v>0</v>
      </c>
      <c r="O72" s="123">
        <f t="shared" si="32"/>
        <v>0</v>
      </c>
      <c r="P72" s="123">
        <f t="shared" si="32"/>
        <v>0</v>
      </c>
      <c r="Q72" s="123">
        <f t="shared" si="32"/>
        <v>4330</v>
      </c>
      <c r="R72" s="123">
        <f t="shared" si="32"/>
        <v>0</v>
      </c>
      <c r="S72" s="123">
        <f t="shared" si="32"/>
        <v>0</v>
      </c>
    </row>
    <row r="73" spans="1:20" ht="14.25" customHeight="1" thickBot="1" x14ac:dyDescent="0.3">
      <c r="A73" s="267" t="s">
        <v>46</v>
      </c>
      <c r="B73" s="268" t="s">
        <v>278</v>
      </c>
      <c r="C73" s="269">
        <v>9770</v>
      </c>
      <c r="D73" s="269">
        <v>9770</v>
      </c>
      <c r="E73" s="269">
        <v>9770</v>
      </c>
      <c r="F73" s="269">
        <v>9770</v>
      </c>
      <c r="G73" s="269">
        <v>9770</v>
      </c>
      <c r="H73" s="568">
        <f>9770+1260</f>
        <v>11030</v>
      </c>
      <c r="I73" s="269">
        <f>9770+1260</f>
        <v>11030</v>
      </c>
      <c r="J73" s="269">
        <f>9770+1260</f>
        <v>11030</v>
      </c>
      <c r="K73" s="269">
        <v>7241</v>
      </c>
      <c r="L73" s="466">
        <f t="shared" si="28"/>
        <v>0.65648232094288306</v>
      </c>
      <c r="M73" s="123">
        <f t="shared" si="32"/>
        <v>0</v>
      </c>
      <c r="N73" s="123">
        <f t="shared" si="32"/>
        <v>0</v>
      </c>
      <c r="O73" s="123">
        <f t="shared" si="32"/>
        <v>0</v>
      </c>
      <c r="P73" s="123">
        <f t="shared" si="32"/>
        <v>0</v>
      </c>
      <c r="Q73" s="123">
        <f t="shared" si="32"/>
        <v>1260</v>
      </c>
      <c r="R73" s="123">
        <f t="shared" si="32"/>
        <v>0</v>
      </c>
      <c r="S73" s="123">
        <f t="shared" si="32"/>
        <v>0</v>
      </c>
    </row>
    <row r="74" spans="1:20" ht="17.25" customHeight="1" thickBot="1" x14ac:dyDescent="0.3">
      <c r="A74" s="670" t="s">
        <v>182</v>
      </c>
      <c r="B74" s="671"/>
      <c r="C74" s="235">
        <f t="shared" ref="C74:K74" si="33">C72+C73</f>
        <v>68330</v>
      </c>
      <c r="D74" s="235">
        <f t="shared" si="33"/>
        <v>68330</v>
      </c>
      <c r="E74" s="235">
        <f t="shared" si="33"/>
        <v>68330</v>
      </c>
      <c r="F74" s="235">
        <f t="shared" si="33"/>
        <v>68330</v>
      </c>
      <c r="G74" s="235">
        <f t="shared" si="33"/>
        <v>68330</v>
      </c>
      <c r="H74" s="235">
        <f t="shared" si="33"/>
        <v>73920</v>
      </c>
      <c r="I74" s="235">
        <f t="shared" si="33"/>
        <v>73920</v>
      </c>
      <c r="J74" s="235">
        <f t="shared" ref="J74" si="34">J72+J73</f>
        <v>73920</v>
      </c>
      <c r="K74" s="235">
        <f t="shared" si="33"/>
        <v>46448</v>
      </c>
      <c r="L74" s="466">
        <f t="shared" si="28"/>
        <v>0.62835497835497833</v>
      </c>
      <c r="M74" s="123">
        <f t="shared" si="32"/>
        <v>0</v>
      </c>
      <c r="N74" s="123">
        <f t="shared" si="32"/>
        <v>0</v>
      </c>
      <c r="O74" s="123">
        <f t="shared" si="32"/>
        <v>0</v>
      </c>
      <c r="P74" s="123">
        <f t="shared" si="32"/>
        <v>0</v>
      </c>
      <c r="Q74" s="123">
        <f t="shared" si="32"/>
        <v>5590</v>
      </c>
      <c r="R74" s="123">
        <f t="shared" si="32"/>
        <v>0</v>
      </c>
      <c r="S74" s="123">
        <f t="shared" si="32"/>
        <v>0</v>
      </c>
    </row>
    <row r="75" spans="1:20" ht="27" customHeight="1" thickBot="1" x14ac:dyDescent="0.3">
      <c r="A75" s="31" t="s">
        <v>47</v>
      </c>
      <c r="B75" s="20"/>
      <c r="C75" s="32">
        <f t="shared" ref="C75:K75" si="35">C68+C74</f>
        <v>2160910</v>
      </c>
      <c r="D75" s="32">
        <f t="shared" si="35"/>
        <v>2204460</v>
      </c>
      <c r="E75" s="32">
        <f t="shared" si="35"/>
        <v>2211405</v>
      </c>
      <c r="F75" s="32">
        <f t="shared" si="35"/>
        <v>2240450</v>
      </c>
      <c r="G75" s="32">
        <f t="shared" si="35"/>
        <v>2282161</v>
      </c>
      <c r="H75" s="32">
        <f t="shared" si="35"/>
        <v>2295914</v>
      </c>
      <c r="I75" s="32">
        <f t="shared" si="35"/>
        <v>2294490</v>
      </c>
      <c r="J75" s="32">
        <f t="shared" ref="J75" si="36">J68+J74</f>
        <v>2294800</v>
      </c>
      <c r="K75" s="32">
        <f t="shared" si="35"/>
        <v>1644381</v>
      </c>
      <c r="L75" s="466">
        <f t="shared" si="28"/>
        <v>0.71656832839463136</v>
      </c>
      <c r="M75" s="123">
        <f t="shared" si="32"/>
        <v>43550</v>
      </c>
      <c r="N75" s="123">
        <f t="shared" si="32"/>
        <v>6945</v>
      </c>
      <c r="O75" s="123">
        <f t="shared" si="32"/>
        <v>29045</v>
      </c>
      <c r="P75" s="123">
        <f t="shared" si="32"/>
        <v>41711</v>
      </c>
      <c r="Q75" s="123">
        <f t="shared" si="32"/>
        <v>13753</v>
      </c>
      <c r="R75" s="123">
        <f t="shared" si="32"/>
        <v>-1424</v>
      </c>
      <c r="S75" s="123">
        <f t="shared" si="32"/>
        <v>310</v>
      </c>
    </row>
    <row r="76" spans="1:20" ht="45.75" customHeight="1" x14ac:dyDescent="0.25">
      <c r="C76" s="214"/>
      <c r="D76" s="214"/>
      <c r="E76" s="214"/>
      <c r="F76" s="214"/>
      <c r="G76" s="214"/>
      <c r="H76" s="214"/>
      <c r="I76" s="214"/>
      <c r="J76" s="214"/>
      <c r="K76" s="214"/>
      <c r="L76" s="35"/>
    </row>
    <row r="77" spans="1:20" ht="46.5" customHeight="1" x14ac:dyDescent="0.2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</row>
    <row r="78" spans="1:20" ht="15" customHeight="1" thickBot="1" x14ac:dyDescent="0.3">
      <c r="A78" s="672" t="s">
        <v>48</v>
      </c>
      <c r="B78" s="673"/>
      <c r="C78" s="673"/>
      <c r="D78" s="673"/>
      <c r="E78" s="673"/>
      <c r="F78" s="673"/>
      <c r="G78" s="673"/>
      <c r="H78" s="673"/>
      <c r="I78" s="673"/>
      <c r="J78" s="673"/>
      <c r="K78" s="673"/>
    </row>
    <row r="79" spans="1:20" ht="15" customHeight="1" x14ac:dyDescent="0.25">
      <c r="A79" s="644" t="s">
        <v>1</v>
      </c>
      <c r="B79" s="645"/>
      <c r="C79" s="638" t="s">
        <v>323</v>
      </c>
      <c r="D79" s="638" t="s">
        <v>562</v>
      </c>
      <c r="E79" s="638" t="s">
        <v>563</v>
      </c>
      <c r="F79" s="638" t="s">
        <v>564</v>
      </c>
      <c r="G79" s="638" t="s">
        <v>565</v>
      </c>
      <c r="H79" s="638" t="s">
        <v>566</v>
      </c>
      <c r="I79" s="638" t="s">
        <v>567</v>
      </c>
      <c r="J79" s="638" t="s">
        <v>605</v>
      </c>
      <c r="K79" s="638" t="s">
        <v>599</v>
      </c>
      <c r="L79" s="666" t="s">
        <v>354</v>
      </c>
    </row>
    <row r="80" spans="1:20" ht="15.75" thickBot="1" x14ac:dyDescent="0.3">
      <c r="A80" s="646"/>
      <c r="B80" s="647"/>
      <c r="C80" s="639"/>
      <c r="D80" s="639"/>
      <c r="E80" s="639"/>
      <c r="F80" s="639"/>
      <c r="G80" s="639"/>
      <c r="H80" s="639"/>
      <c r="I80" s="639"/>
      <c r="J80" s="639"/>
      <c r="K80" s="639"/>
      <c r="L80" s="667"/>
    </row>
    <row r="81" spans="1:12" ht="15.75" thickBot="1" x14ac:dyDescent="0.3">
      <c r="A81" s="36" t="s">
        <v>49</v>
      </c>
      <c r="B81" s="37"/>
      <c r="C81" s="38">
        <f t="shared" ref="C81:K81" si="37">SUM(C82:C86)</f>
        <v>269300</v>
      </c>
      <c r="D81" s="38">
        <f t="shared" si="37"/>
        <v>272000</v>
      </c>
      <c r="E81" s="38">
        <f t="shared" si="37"/>
        <v>270845</v>
      </c>
      <c r="F81" s="38">
        <f t="shared" si="37"/>
        <v>273290</v>
      </c>
      <c r="G81" s="38">
        <f t="shared" si="37"/>
        <v>279290</v>
      </c>
      <c r="H81" s="38">
        <f t="shared" si="37"/>
        <v>279290</v>
      </c>
      <c r="I81" s="38">
        <f t="shared" si="37"/>
        <v>279290</v>
      </c>
      <c r="J81" s="38">
        <f t="shared" ref="J81" si="38">SUM(J82:J86)</f>
        <v>279810</v>
      </c>
      <c r="K81" s="38">
        <f t="shared" si="37"/>
        <v>145612</v>
      </c>
      <c r="L81" s="466">
        <f>K81/J81</f>
        <v>0.52039598298845646</v>
      </c>
    </row>
    <row r="82" spans="1:12" x14ac:dyDescent="0.25">
      <c r="A82" s="135" t="s">
        <v>50</v>
      </c>
      <c r="B82" s="39" t="s">
        <v>51</v>
      </c>
      <c r="C82" s="169">
        <v>121700</v>
      </c>
      <c r="D82" s="492">
        <f>121700+300</f>
        <v>122000</v>
      </c>
      <c r="E82" s="169">
        <f>121700+300</f>
        <v>122000</v>
      </c>
      <c r="F82" s="169">
        <f>121700+300</f>
        <v>122000</v>
      </c>
      <c r="G82" s="492">
        <f>121700+300+6000</f>
        <v>128000</v>
      </c>
      <c r="H82" s="169">
        <f>121700+300+6000</f>
        <v>128000</v>
      </c>
      <c r="I82" s="169">
        <f>121700+300+6000</f>
        <v>128000</v>
      </c>
      <c r="J82" s="492">
        <f>121700+300+6000+520</f>
        <v>128520</v>
      </c>
      <c r="K82" s="169">
        <v>59806</v>
      </c>
      <c r="L82" s="466">
        <f t="shared" ref="L82:L145" si="39">K82/J82</f>
        <v>0.46534391534391534</v>
      </c>
    </row>
    <row r="83" spans="1:12" x14ac:dyDescent="0.25">
      <c r="A83" s="136" t="s">
        <v>52</v>
      </c>
      <c r="B83" s="25" t="s">
        <v>173</v>
      </c>
      <c r="C83" s="168">
        <v>86600</v>
      </c>
      <c r="D83" s="465">
        <f>86600+300</f>
        <v>86900</v>
      </c>
      <c r="E83" s="465">
        <f t="shared" ref="E83:J83" si="40">86600+300-1300</f>
        <v>85600</v>
      </c>
      <c r="F83" s="168">
        <f t="shared" si="40"/>
        <v>85600</v>
      </c>
      <c r="G83" s="168">
        <f t="shared" si="40"/>
        <v>85600</v>
      </c>
      <c r="H83" s="168">
        <f t="shared" si="40"/>
        <v>85600</v>
      </c>
      <c r="I83" s="168">
        <f t="shared" si="40"/>
        <v>85600</v>
      </c>
      <c r="J83" s="168">
        <f t="shared" si="40"/>
        <v>85600</v>
      </c>
      <c r="K83" s="168">
        <v>48574</v>
      </c>
      <c r="L83" s="466">
        <f t="shared" si="39"/>
        <v>0.56745327102803733</v>
      </c>
    </row>
    <row r="84" spans="1:12" x14ac:dyDescent="0.25">
      <c r="A84" s="136" t="s">
        <v>53</v>
      </c>
      <c r="B84" s="25" t="s">
        <v>172</v>
      </c>
      <c r="C84" s="168">
        <v>4000</v>
      </c>
      <c r="D84" s="168">
        <v>4000</v>
      </c>
      <c r="E84" s="168">
        <f>4000</f>
        <v>4000</v>
      </c>
      <c r="F84" s="465">
        <f>4000+2000</f>
        <v>6000</v>
      </c>
      <c r="G84" s="168">
        <f>4000+2000</f>
        <v>6000</v>
      </c>
      <c r="H84" s="168">
        <f>4000+2000</f>
        <v>6000</v>
      </c>
      <c r="I84" s="168">
        <f>4000+2000</f>
        <v>6000</v>
      </c>
      <c r="J84" s="168">
        <f>4000+2000</f>
        <v>6000</v>
      </c>
      <c r="K84" s="168">
        <v>4027</v>
      </c>
      <c r="L84" s="466">
        <f t="shared" si="39"/>
        <v>0.67116666666666669</v>
      </c>
    </row>
    <row r="85" spans="1:12" x14ac:dyDescent="0.25">
      <c r="A85" s="137" t="s">
        <v>54</v>
      </c>
      <c r="B85" s="25" t="s">
        <v>356</v>
      </c>
      <c r="C85" s="168">
        <v>53000</v>
      </c>
      <c r="D85" s="168">
        <f>53000</f>
        <v>53000</v>
      </c>
      <c r="E85" s="168">
        <f>53000</f>
        <v>53000</v>
      </c>
      <c r="F85" s="465">
        <f>53000+440</f>
        <v>53440</v>
      </c>
      <c r="G85" s="168">
        <f>53000+440</f>
        <v>53440</v>
      </c>
      <c r="H85" s="168">
        <f>53000+440</f>
        <v>53440</v>
      </c>
      <c r="I85" s="168">
        <f>53000+440</f>
        <v>53440</v>
      </c>
      <c r="J85" s="168">
        <f>53000+440</f>
        <v>53440</v>
      </c>
      <c r="K85" s="168">
        <v>26994</v>
      </c>
      <c r="L85" s="466">
        <f t="shared" si="39"/>
        <v>0.50512724550898203</v>
      </c>
    </row>
    <row r="86" spans="1:12" ht="15.75" thickBot="1" x14ac:dyDescent="0.3">
      <c r="A86" s="138" t="s">
        <v>56</v>
      </c>
      <c r="B86" s="3" t="s">
        <v>57</v>
      </c>
      <c r="C86" s="42">
        <v>4000</v>
      </c>
      <c r="D86" s="454">
        <f>4000+2100</f>
        <v>6100</v>
      </c>
      <c r="E86" s="454">
        <f>4000+2100+145</f>
        <v>6245</v>
      </c>
      <c r="F86" s="454">
        <f>4000+2100+145+5</f>
        <v>6250</v>
      </c>
      <c r="G86" s="50">
        <f>4000+2100+145+5</f>
        <v>6250</v>
      </c>
      <c r="H86" s="50">
        <f>4000+2100+145+5</f>
        <v>6250</v>
      </c>
      <c r="I86" s="50">
        <f>4000+2100+145+5</f>
        <v>6250</v>
      </c>
      <c r="J86" s="50">
        <f>4000+2100+145+5</f>
        <v>6250</v>
      </c>
      <c r="K86" s="42">
        <v>6211</v>
      </c>
      <c r="L86" s="466">
        <f t="shared" si="39"/>
        <v>0.99375999999999998</v>
      </c>
    </row>
    <row r="87" spans="1:12" ht="15.75" thickBot="1" x14ac:dyDescent="0.3">
      <c r="A87" s="43" t="s">
        <v>58</v>
      </c>
      <c r="B87" s="44"/>
      <c r="C87" s="38">
        <f t="shared" ref="C87:J87" si="41">SUM(C88)</f>
        <v>1660</v>
      </c>
      <c r="D87" s="38">
        <f t="shared" si="41"/>
        <v>1672</v>
      </c>
      <c r="E87" s="38">
        <f t="shared" si="41"/>
        <v>1672</v>
      </c>
      <c r="F87" s="38">
        <f t="shared" si="41"/>
        <v>1672</v>
      </c>
      <c r="G87" s="38">
        <f t="shared" si="41"/>
        <v>1672</v>
      </c>
      <c r="H87" s="38">
        <f t="shared" si="41"/>
        <v>1672</v>
      </c>
      <c r="I87" s="38">
        <f t="shared" si="41"/>
        <v>1672</v>
      </c>
      <c r="J87" s="38">
        <f t="shared" si="41"/>
        <v>1672</v>
      </c>
      <c r="K87" s="38">
        <f t="shared" ref="K87" si="42">SUM(K88)</f>
        <v>1466</v>
      </c>
      <c r="L87" s="466">
        <f t="shared" si="39"/>
        <v>0.87679425837320579</v>
      </c>
    </row>
    <row r="88" spans="1:12" ht="15.75" thickBot="1" x14ac:dyDescent="0.3">
      <c r="A88" s="139" t="s">
        <v>59</v>
      </c>
      <c r="B88" s="34" t="s">
        <v>60</v>
      </c>
      <c r="C88" s="180">
        <v>1660</v>
      </c>
      <c r="D88" s="476">
        <f t="shared" ref="D88:J88" si="43">1660+12</f>
        <v>1672</v>
      </c>
      <c r="E88" s="180">
        <f t="shared" si="43"/>
        <v>1672</v>
      </c>
      <c r="F88" s="180">
        <f t="shared" si="43"/>
        <v>1672</v>
      </c>
      <c r="G88" s="180">
        <f t="shared" si="43"/>
        <v>1672</v>
      </c>
      <c r="H88" s="180">
        <f t="shared" si="43"/>
        <v>1672</v>
      </c>
      <c r="I88" s="180">
        <f t="shared" si="43"/>
        <v>1672</v>
      </c>
      <c r="J88" s="180">
        <f t="shared" si="43"/>
        <v>1672</v>
      </c>
      <c r="K88" s="180">
        <v>1466</v>
      </c>
      <c r="L88" s="466">
        <f t="shared" si="39"/>
        <v>0.87679425837320579</v>
      </c>
    </row>
    <row r="89" spans="1:12" ht="15.75" thickBot="1" x14ac:dyDescent="0.3">
      <c r="A89" s="43" t="s">
        <v>61</v>
      </c>
      <c r="B89" s="44"/>
      <c r="C89" s="38">
        <f t="shared" ref="C89:H89" si="44">SUM(C90:C91)</f>
        <v>14900</v>
      </c>
      <c r="D89" s="38">
        <f t="shared" si="44"/>
        <v>14900</v>
      </c>
      <c r="E89" s="38">
        <f t="shared" si="44"/>
        <v>16200</v>
      </c>
      <c r="F89" s="38">
        <f t="shared" si="44"/>
        <v>14900</v>
      </c>
      <c r="G89" s="38">
        <f t="shared" si="44"/>
        <v>14900</v>
      </c>
      <c r="H89" s="38">
        <f t="shared" si="44"/>
        <v>14900</v>
      </c>
      <c r="I89" s="38">
        <f t="shared" ref="I89:K89" si="45">SUM(I90:I91)</f>
        <v>14900</v>
      </c>
      <c r="J89" s="38">
        <f t="shared" ref="J89" si="46">SUM(J90:J91)</f>
        <v>15100</v>
      </c>
      <c r="K89" s="38">
        <f t="shared" si="45"/>
        <v>6373</v>
      </c>
      <c r="L89" s="466">
        <f t="shared" si="39"/>
        <v>0.42205298013245035</v>
      </c>
    </row>
    <row r="90" spans="1:12" x14ac:dyDescent="0.25">
      <c r="A90" s="45" t="s">
        <v>62</v>
      </c>
      <c r="B90" s="46" t="s">
        <v>63</v>
      </c>
      <c r="C90" s="47">
        <v>13600</v>
      </c>
      <c r="D90" s="47">
        <v>13600</v>
      </c>
      <c r="E90" s="478">
        <f>13600+1300</f>
        <v>14900</v>
      </c>
      <c r="F90" s="478">
        <f>13600+1300-1300</f>
        <v>13600</v>
      </c>
      <c r="G90" s="47">
        <f>13600+1300-1300</f>
        <v>13600</v>
      </c>
      <c r="H90" s="47">
        <f>13600+1300-1300</f>
        <v>13600</v>
      </c>
      <c r="I90" s="47">
        <f>13600+1300-1300</f>
        <v>13600</v>
      </c>
      <c r="J90" s="47">
        <f>13600+1300-1300</f>
        <v>13600</v>
      </c>
      <c r="K90" s="47">
        <v>5425</v>
      </c>
      <c r="L90" s="466">
        <f t="shared" si="39"/>
        <v>0.39889705882352944</v>
      </c>
    </row>
    <row r="91" spans="1:12" ht="15.75" thickBot="1" x14ac:dyDescent="0.3">
      <c r="A91" s="48" t="s">
        <v>64</v>
      </c>
      <c r="B91" s="49" t="s">
        <v>619</v>
      </c>
      <c r="C91" s="50">
        <v>1300</v>
      </c>
      <c r="D91" s="50">
        <v>1300</v>
      </c>
      <c r="E91" s="50">
        <v>1300</v>
      </c>
      <c r="F91" s="50">
        <v>1300</v>
      </c>
      <c r="G91" s="50">
        <v>1300</v>
      </c>
      <c r="H91" s="50">
        <v>1300</v>
      </c>
      <c r="I91" s="50">
        <v>1300</v>
      </c>
      <c r="J91" s="454">
        <f>1300+200</f>
        <v>1500</v>
      </c>
      <c r="K91" s="50">
        <v>948</v>
      </c>
      <c r="L91" s="466">
        <f t="shared" si="39"/>
        <v>0.63200000000000001</v>
      </c>
    </row>
    <row r="92" spans="1:12" ht="15.75" thickBot="1" x14ac:dyDescent="0.3">
      <c r="A92" s="36" t="s">
        <v>66</v>
      </c>
      <c r="B92" s="140"/>
      <c r="C92" s="38">
        <f t="shared" ref="C92:K92" si="47">SUM(C93:C96)</f>
        <v>66150</v>
      </c>
      <c r="D92" s="38">
        <f t="shared" si="47"/>
        <v>81870</v>
      </c>
      <c r="E92" s="38">
        <f t="shared" si="47"/>
        <v>79870</v>
      </c>
      <c r="F92" s="38">
        <f t="shared" si="47"/>
        <v>79170</v>
      </c>
      <c r="G92" s="38">
        <f t="shared" si="47"/>
        <v>73170</v>
      </c>
      <c r="H92" s="38">
        <f t="shared" si="47"/>
        <v>72670</v>
      </c>
      <c r="I92" s="38">
        <f t="shared" si="47"/>
        <v>75170</v>
      </c>
      <c r="J92" s="38">
        <f t="shared" ref="J92" si="48">SUM(J93:J96)</f>
        <v>79120</v>
      </c>
      <c r="K92" s="38">
        <f t="shared" si="47"/>
        <v>37236</v>
      </c>
      <c r="L92" s="466">
        <f t="shared" si="39"/>
        <v>0.47062689585439837</v>
      </c>
    </row>
    <row r="93" spans="1:12" x14ac:dyDescent="0.25">
      <c r="A93" s="51" t="s">
        <v>67</v>
      </c>
      <c r="B93" s="14" t="s">
        <v>68</v>
      </c>
      <c r="C93" s="15">
        <v>20200</v>
      </c>
      <c r="D93" s="15">
        <v>20200</v>
      </c>
      <c r="E93" s="15">
        <v>20200</v>
      </c>
      <c r="F93" s="15">
        <v>20200</v>
      </c>
      <c r="G93" s="15">
        <v>20200</v>
      </c>
      <c r="H93" s="15">
        <v>20200</v>
      </c>
      <c r="I93" s="15">
        <f>20200</f>
        <v>20200</v>
      </c>
      <c r="J93" s="482">
        <f>20200+3950</f>
        <v>24150</v>
      </c>
      <c r="K93" s="15">
        <v>9633</v>
      </c>
      <c r="L93" s="466">
        <f t="shared" si="39"/>
        <v>0.39888198757763976</v>
      </c>
    </row>
    <row r="94" spans="1:12" x14ac:dyDescent="0.25">
      <c r="A94" s="137" t="s">
        <v>69</v>
      </c>
      <c r="B94" s="25" t="s">
        <v>70</v>
      </c>
      <c r="C94" s="41">
        <v>20800</v>
      </c>
      <c r="D94" s="477">
        <f>20800+17000-1500</f>
        <v>36300</v>
      </c>
      <c r="E94" s="477">
        <f t="shared" ref="E94:J94" si="49">20800+17000-1500-2000</f>
        <v>34300</v>
      </c>
      <c r="F94" s="18">
        <f t="shared" si="49"/>
        <v>34300</v>
      </c>
      <c r="G94" s="18">
        <f t="shared" si="49"/>
        <v>34300</v>
      </c>
      <c r="H94" s="18">
        <f t="shared" si="49"/>
        <v>34300</v>
      </c>
      <c r="I94" s="18">
        <f t="shared" si="49"/>
        <v>34300</v>
      </c>
      <c r="J94" s="18">
        <f t="shared" si="49"/>
        <v>34300</v>
      </c>
      <c r="K94" s="18">
        <v>18440</v>
      </c>
      <c r="L94" s="466">
        <f t="shared" si="39"/>
        <v>0.5376093294460641</v>
      </c>
    </row>
    <row r="95" spans="1:12" x14ac:dyDescent="0.25">
      <c r="A95" s="137" t="s">
        <v>71</v>
      </c>
      <c r="B95" s="25" t="s">
        <v>72</v>
      </c>
      <c r="C95" s="18">
        <v>25000</v>
      </c>
      <c r="D95" s="18">
        <v>25000</v>
      </c>
      <c r="E95" s="18">
        <v>25000</v>
      </c>
      <c r="F95" s="477">
        <f>25000-700</f>
        <v>24300</v>
      </c>
      <c r="G95" s="477">
        <f>25000-700-6000</f>
        <v>18300</v>
      </c>
      <c r="H95" s="477">
        <f>25000-700-6000-500</f>
        <v>17800</v>
      </c>
      <c r="I95" s="477">
        <f>25000-700-6000-500+2500</f>
        <v>20300</v>
      </c>
      <c r="J95" s="18">
        <f>25000-700-6000-500+2500</f>
        <v>20300</v>
      </c>
      <c r="K95" s="18">
        <v>9163</v>
      </c>
      <c r="L95" s="466">
        <f t="shared" si="39"/>
        <v>0.45137931034482759</v>
      </c>
    </row>
    <row r="96" spans="1:12" ht="15.75" thickBot="1" x14ac:dyDescent="0.3">
      <c r="A96" s="137" t="s">
        <v>73</v>
      </c>
      <c r="B96" s="25" t="s">
        <v>74</v>
      </c>
      <c r="C96" s="18">
        <v>150</v>
      </c>
      <c r="D96" s="477">
        <f t="shared" ref="D96:J96" si="50">150+220</f>
        <v>370</v>
      </c>
      <c r="E96" s="18">
        <f t="shared" si="50"/>
        <v>370</v>
      </c>
      <c r="F96" s="18">
        <f t="shared" si="50"/>
        <v>370</v>
      </c>
      <c r="G96" s="18">
        <f t="shared" si="50"/>
        <v>370</v>
      </c>
      <c r="H96" s="18">
        <f t="shared" si="50"/>
        <v>370</v>
      </c>
      <c r="I96" s="18">
        <f t="shared" si="50"/>
        <v>370</v>
      </c>
      <c r="J96" s="18">
        <f t="shared" si="50"/>
        <v>370</v>
      </c>
      <c r="K96" s="18">
        <v>0</v>
      </c>
      <c r="L96" s="466">
        <f t="shared" si="39"/>
        <v>0</v>
      </c>
    </row>
    <row r="97" spans="1:12" ht="15.75" thickBot="1" x14ac:dyDescent="0.3">
      <c r="A97" s="652" t="s">
        <v>75</v>
      </c>
      <c r="B97" s="653"/>
      <c r="C97" s="38">
        <f t="shared" ref="C97:H97" si="51">SUM(C98:C101)</f>
        <v>112450</v>
      </c>
      <c r="D97" s="38">
        <f t="shared" si="51"/>
        <v>108600</v>
      </c>
      <c r="E97" s="38">
        <f t="shared" si="51"/>
        <v>108600</v>
      </c>
      <c r="F97" s="38">
        <f t="shared" si="51"/>
        <v>108600</v>
      </c>
      <c r="G97" s="38">
        <f t="shared" si="51"/>
        <v>108600</v>
      </c>
      <c r="H97" s="38">
        <f t="shared" si="51"/>
        <v>108600</v>
      </c>
      <c r="I97" s="38">
        <f t="shared" ref="I97:K97" si="52">SUM(I98:I101)</f>
        <v>108600</v>
      </c>
      <c r="J97" s="38">
        <f t="shared" ref="J97" si="53">SUM(J98:J101)</f>
        <v>108300</v>
      </c>
      <c r="K97" s="38">
        <f t="shared" si="52"/>
        <v>69535</v>
      </c>
      <c r="L97" s="466">
        <f t="shared" si="39"/>
        <v>0.64205909510618653</v>
      </c>
    </row>
    <row r="98" spans="1:12" x14ac:dyDescent="0.25">
      <c r="A98" s="141" t="s">
        <v>76</v>
      </c>
      <c r="B98" s="52" t="s">
        <v>260</v>
      </c>
      <c r="C98" s="53">
        <v>66000</v>
      </c>
      <c r="D98" s="478">
        <f t="shared" ref="D98:J98" si="54">66000+150</f>
        <v>66150</v>
      </c>
      <c r="E98" s="47">
        <f t="shared" si="54"/>
        <v>66150</v>
      </c>
      <c r="F98" s="47">
        <f t="shared" si="54"/>
        <v>66150</v>
      </c>
      <c r="G98" s="47">
        <f t="shared" si="54"/>
        <v>66150</v>
      </c>
      <c r="H98" s="47">
        <f t="shared" si="54"/>
        <v>66150</v>
      </c>
      <c r="I98" s="47">
        <f t="shared" si="54"/>
        <v>66150</v>
      </c>
      <c r="J98" s="47">
        <f t="shared" si="54"/>
        <v>66150</v>
      </c>
      <c r="K98" s="53">
        <v>40899</v>
      </c>
      <c r="L98" s="466">
        <f t="shared" si="39"/>
        <v>0.61827664399092974</v>
      </c>
    </row>
    <row r="99" spans="1:12" x14ac:dyDescent="0.25">
      <c r="A99" s="137" t="s">
        <v>77</v>
      </c>
      <c r="B99" s="467" t="s">
        <v>78</v>
      </c>
      <c r="C99" s="41">
        <v>36800</v>
      </c>
      <c r="D99" s="479">
        <f t="shared" ref="D99:J99" si="55">36800-4000</f>
        <v>32800</v>
      </c>
      <c r="E99" s="320">
        <f t="shared" si="55"/>
        <v>32800</v>
      </c>
      <c r="F99" s="320">
        <f t="shared" si="55"/>
        <v>32800</v>
      </c>
      <c r="G99" s="320">
        <f t="shared" si="55"/>
        <v>32800</v>
      </c>
      <c r="H99" s="320">
        <f t="shared" si="55"/>
        <v>32800</v>
      </c>
      <c r="I99" s="320">
        <f t="shared" si="55"/>
        <v>32800</v>
      </c>
      <c r="J99" s="320">
        <f t="shared" si="55"/>
        <v>32800</v>
      </c>
      <c r="K99" s="41">
        <v>24194</v>
      </c>
      <c r="L99" s="466">
        <f t="shared" si="39"/>
        <v>0.73762195121951224</v>
      </c>
    </row>
    <row r="100" spans="1:12" x14ac:dyDescent="0.25">
      <c r="A100" s="139" t="s">
        <v>79</v>
      </c>
      <c r="B100" s="468" t="s">
        <v>80</v>
      </c>
      <c r="C100" s="55">
        <v>1450</v>
      </c>
      <c r="D100" s="308">
        <v>1450</v>
      </c>
      <c r="E100" s="499">
        <v>1450</v>
      </c>
      <c r="F100" s="499">
        <v>1450</v>
      </c>
      <c r="G100" s="499">
        <v>1450</v>
      </c>
      <c r="H100" s="499">
        <v>1450</v>
      </c>
      <c r="I100" s="499">
        <v>1450</v>
      </c>
      <c r="J100" s="587">
        <f>1450-300</f>
        <v>1150</v>
      </c>
      <c r="K100" s="306">
        <v>1038</v>
      </c>
      <c r="L100" s="466">
        <f t="shared" si="39"/>
        <v>0.90260869565217394</v>
      </c>
    </row>
    <row r="101" spans="1:12" ht="15.75" thickBot="1" x14ac:dyDescent="0.3">
      <c r="A101" s="142" t="s">
        <v>81</v>
      </c>
      <c r="B101" s="469" t="s">
        <v>170</v>
      </c>
      <c r="C101" s="57">
        <v>8200</v>
      </c>
      <c r="D101" s="309">
        <v>8200</v>
      </c>
      <c r="E101" s="309">
        <v>8200</v>
      </c>
      <c r="F101" s="309">
        <v>8200</v>
      </c>
      <c r="G101" s="309">
        <v>8200</v>
      </c>
      <c r="H101" s="309">
        <v>8200</v>
      </c>
      <c r="I101" s="309">
        <v>8200</v>
      </c>
      <c r="J101" s="309">
        <v>8200</v>
      </c>
      <c r="K101" s="309">
        <v>3404</v>
      </c>
      <c r="L101" s="466">
        <f t="shared" si="39"/>
        <v>0.41512195121951218</v>
      </c>
    </row>
    <row r="102" spans="1:12" ht="15.75" thickBot="1" x14ac:dyDescent="0.3">
      <c r="A102" s="36" t="s">
        <v>82</v>
      </c>
      <c r="B102" s="470"/>
      <c r="C102" s="38">
        <f t="shared" ref="C102:K102" si="56">SUM(C103:C105)</f>
        <v>167335</v>
      </c>
      <c r="D102" s="310">
        <f t="shared" si="56"/>
        <v>165110</v>
      </c>
      <c r="E102" s="310">
        <f t="shared" si="56"/>
        <v>165110</v>
      </c>
      <c r="F102" s="310">
        <f t="shared" si="56"/>
        <v>166710</v>
      </c>
      <c r="G102" s="310">
        <f t="shared" si="56"/>
        <v>168710</v>
      </c>
      <c r="H102" s="310">
        <f t="shared" si="56"/>
        <v>169210</v>
      </c>
      <c r="I102" s="310">
        <f t="shared" si="56"/>
        <v>169210</v>
      </c>
      <c r="J102" s="310">
        <f t="shared" ref="J102" si="57">SUM(J103:J105)</f>
        <v>169610</v>
      </c>
      <c r="K102" s="310">
        <f t="shared" si="56"/>
        <v>84502</v>
      </c>
      <c r="L102" s="466">
        <f t="shared" si="39"/>
        <v>0.49821354872943813</v>
      </c>
    </row>
    <row r="103" spans="1:12" x14ac:dyDescent="0.25">
      <c r="A103" s="51" t="s">
        <v>83</v>
      </c>
      <c r="B103" s="471" t="s">
        <v>84</v>
      </c>
      <c r="C103" s="178">
        <v>128035</v>
      </c>
      <c r="D103" s="483">
        <f>128035-2000</f>
        <v>126035</v>
      </c>
      <c r="E103" s="319">
        <f>128035-2000</f>
        <v>126035</v>
      </c>
      <c r="F103" s="319">
        <f>128035-2000</f>
        <v>126035</v>
      </c>
      <c r="G103" s="483">
        <f>128035-2000+2000</f>
        <v>128035</v>
      </c>
      <c r="H103" s="319">
        <f>128035-2000+2000</f>
        <v>128035</v>
      </c>
      <c r="I103" s="319">
        <f>128035-2000+2000</f>
        <v>128035</v>
      </c>
      <c r="J103" s="483">
        <f>128035-2000+2000+400</f>
        <v>128435</v>
      </c>
      <c r="K103" s="319">
        <v>63146</v>
      </c>
      <c r="L103" s="466">
        <f t="shared" si="39"/>
        <v>0.49165725853544595</v>
      </c>
    </row>
    <row r="104" spans="1:12" x14ac:dyDescent="0.25">
      <c r="A104" s="58" t="s">
        <v>85</v>
      </c>
      <c r="B104" s="467" t="s">
        <v>86</v>
      </c>
      <c r="C104" s="41">
        <v>20800</v>
      </c>
      <c r="D104" s="479">
        <f t="shared" ref="D104:J104" si="58">20800-3000</f>
        <v>17800</v>
      </c>
      <c r="E104" s="320">
        <f t="shared" si="58"/>
        <v>17800</v>
      </c>
      <c r="F104" s="320">
        <f t="shared" si="58"/>
        <v>17800</v>
      </c>
      <c r="G104" s="320">
        <f t="shared" si="58"/>
        <v>17800</v>
      </c>
      <c r="H104" s="320">
        <f t="shared" si="58"/>
        <v>17800</v>
      </c>
      <c r="I104" s="320">
        <f t="shared" si="58"/>
        <v>17800</v>
      </c>
      <c r="J104" s="320">
        <f t="shared" si="58"/>
        <v>17800</v>
      </c>
      <c r="K104" s="320">
        <v>12532</v>
      </c>
      <c r="L104" s="466">
        <f t="shared" si="39"/>
        <v>0.70404494382022476</v>
      </c>
    </row>
    <row r="105" spans="1:12" ht="15.75" thickBot="1" x14ac:dyDescent="0.3">
      <c r="A105" s="59" t="s">
        <v>87</v>
      </c>
      <c r="B105" s="469" t="s">
        <v>88</v>
      </c>
      <c r="C105" s="181">
        <v>18500</v>
      </c>
      <c r="D105" s="480">
        <f>18500+2400+375</f>
        <v>21275</v>
      </c>
      <c r="E105" s="312">
        <f>18500+2400+375</f>
        <v>21275</v>
      </c>
      <c r="F105" s="480">
        <f>18500+2400+375+1600</f>
        <v>22875</v>
      </c>
      <c r="G105" s="312">
        <f>18500+2400+375+1600</f>
        <v>22875</v>
      </c>
      <c r="H105" s="480">
        <f>18500+2400+375+1600+500</f>
        <v>23375</v>
      </c>
      <c r="I105" s="312">
        <f>18500+2400+375+1600+500</f>
        <v>23375</v>
      </c>
      <c r="J105" s="312">
        <f>18500+2400+375+1600+500</f>
        <v>23375</v>
      </c>
      <c r="K105" s="312">
        <v>8824</v>
      </c>
      <c r="L105" s="466">
        <f t="shared" si="39"/>
        <v>0.37749732620320858</v>
      </c>
    </row>
    <row r="106" spans="1:12" ht="15.75" thickBot="1" x14ac:dyDescent="0.3">
      <c r="A106" s="60" t="s">
        <v>89</v>
      </c>
      <c r="B106" s="472"/>
      <c r="C106" s="61">
        <f t="shared" ref="C106:F106" si="59">SUM(C107:C110)</f>
        <v>700</v>
      </c>
      <c r="D106" s="313">
        <f t="shared" si="59"/>
        <v>1000</v>
      </c>
      <c r="E106" s="313">
        <f t="shared" si="59"/>
        <v>1000</v>
      </c>
      <c r="F106" s="313">
        <f t="shared" si="59"/>
        <v>1000</v>
      </c>
      <c r="G106" s="313">
        <f t="shared" ref="G106:K106" si="60">SUM(G107:G110)</f>
        <v>1000</v>
      </c>
      <c r="H106" s="313">
        <f t="shared" si="60"/>
        <v>1000</v>
      </c>
      <c r="I106" s="313">
        <f t="shared" si="60"/>
        <v>1000</v>
      </c>
      <c r="J106" s="313">
        <f t="shared" ref="J106" si="61">SUM(J107:J110)</f>
        <v>1000</v>
      </c>
      <c r="K106" s="313">
        <f t="shared" si="60"/>
        <v>830</v>
      </c>
      <c r="L106" s="466">
        <f t="shared" si="39"/>
        <v>0.83</v>
      </c>
    </row>
    <row r="107" spans="1:12" x14ac:dyDescent="0.25">
      <c r="A107" s="45" t="s">
        <v>90</v>
      </c>
      <c r="B107" s="473" t="s">
        <v>91</v>
      </c>
      <c r="C107" s="53">
        <v>50</v>
      </c>
      <c r="D107" s="53">
        <v>50</v>
      </c>
      <c r="E107" s="53">
        <v>50</v>
      </c>
      <c r="F107" s="53">
        <v>50</v>
      </c>
      <c r="G107" s="53">
        <v>50</v>
      </c>
      <c r="H107" s="53">
        <v>50</v>
      </c>
      <c r="I107" s="53">
        <v>50</v>
      </c>
      <c r="J107" s="53">
        <v>50</v>
      </c>
      <c r="K107" s="314">
        <v>40</v>
      </c>
      <c r="L107" s="466">
        <f t="shared" si="39"/>
        <v>0.8</v>
      </c>
    </row>
    <row r="108" spans="1:12" x14ac:dyDescent="0.25">
      <c r="A108" s="58" t="s">
        <v>92</v>
      </c>
      <c r="B108" s="467" t="s">
        <v>93</v>
      </c>
      <c r="C108" s="179">
        <v>50</v>
      </c>
      <c r="D108" s="179">
        <v>50</v>
      </c>
      <c r="E108" s="179">
        <v>50</v>
      </c>
      <c r="F108" s="179">
        <v>50</v>
      </c>
      <c r="G108" s="179">
        <v>50</v>
      </c>
      <c r="H108" s="179">
        <v>50</v>
      </c>
      <c r="I108" s="179">
        <v>50</v>
      </c>
      <c r="J108" s="179">
        <v>50</v>
      </c>
      <c r="K108" s="321">
        <v>24</v>
      </c>
      <c r="L108" s="466">
        <f t="shared" si="39"/>
        <v>0.48</v>
      </c>
    </row>
    <row r="109" spans="1:12" ht="15.75" thickBot="1" x14ac:dyDescent="0.3">
      <c r="A109" s="59" t="s">
        <v>94</v>
      </c>
      <c r="B109" s="469" t="s">
        <v>358</v>
      </c>
      <c r="C109" s="57">
        <v>300</v>
      </c>
      <c r="D109" s="481">
        <f t="shared" ref="D109:J109" si="62">300+300</f>
        <v>600</v>
      </c>
      <c r="E109" s="181">
        <f t="shared" si="62"/>
        <v>600</v>
      </c>
      <c r="F109" s="181">
        <f t="shared" si="62"/>
        <v>600</v>
      </c>
      <c r="G109" s="181">
        <f t="shared" si="62"/>
        <v>600</v>
      </c>
      <c r="H109" s="181">
        <f t="shared" si="62"/>
        <v>600</v>
      </c>
      <c r="I109" s="181">
        <f t="shared" si="62"/>
        <v>600</v>
      </c>
      <c r="J109" s="181">
        <f t="shared" si="62"/>
        <v>600</v>
      </c>
      <c r="K109" s="309">
        <v>466</v>
      </c>
      <c r="L109" s="466">
        <f t="shared" si="39"/>
        <v>0.77666666666666662</v>
      </c>
    </row>
    <row r="110" spans="1:12" ht="15.75" thickBot="1" x14ac:dyDescent="0.3">
      <c r="A110" s="279" t="s">
        <v>242</v>
      </c>
      <c r="B110" s="474" t="s">
        <v>261</v>
      </c>
      <c r="C110" s="42">
        <v>300</v>
      </c>
      <c r="D110" s="42">
        <v>300</v>
      </c>
      <c r="E110" s="42">
        <v>300</v>
      </c>
      <c r="F110" s="42">
        <v>300</v>
      </c>
      <c r="G110" s="42">
        <v>300</v>
      </c>
      <c r="H110" s="42">
        <v>300</v>
      </c>
      <c r="I110" s="42">
        <v>300</v>
      </c>
      <c r="J110" s="42">
        <v>300</v>
      </c>
      <c r="K110" s="316">
        <v>300</v>
      </c>
      <c r="L110" s="466">
        <f t="shared" si="39"/>
        <v>1</v>
      </c>
    </row>
    <row r="111" spans="1:12" ht="15.75" thickBot="1" x14ac:dyDescent="0.3">
      <c r="A111" s="62" t="s">
        <v>96</v>
      </c>
      <c r="B111" s="475"/>
      <c r="C111" s="64">
        <f t="shared" ref="C111:K111" si="63">SUM(C112:C116)</f>
        <v>132750</v>
      </c>
      <c r="D111" s="317">
        <f t="shared" si="63"/>
        <v>147184</v>
      </c>
      <c r="E111" s="317">
        <f t="shared" si="63"/>
        <v>153184</v>
      </c>
      <c r="F111" s="317">
        <f t="shared" si="63"/>
        <v>173884</v>
      </c>
      <c r="G111" s="317">
        <f t="shared" si="63"/>
        <v>168984</v>
      </c>
      <c r="H111" s="317">
        <f t="shared" si="63"/>
        <v>168984</v>
      </c>
      <c r="I111" s="317">
        <f t="shared" si="63"/>
        <v>161584</v>
      </c>
      <c r="J111" s="317">
        <f t="shared" ref="J111" si="64">SUM(J112:J116)</f>
        <v>156814</v>
      </c>
      <c r="K111" s="317">
        <f t="shared" si="63"/>
        <v>109523</v>
      </c>
      <c r="L111" s="466">
        <f t="shared" si="39"/>
        <v>0.69842616092950882</v>
      </c>
    </row>
    <row r="112" spans="1:12" x14ac:dyDescent="0.25">
      <c r="A112" s="141" t="s">
        <v>97</v>
      </c>
      <c r="B112" s="52" t="s">
        <v>359</v>
      </c>
      <c r="C112" s="47">
        <v>20700</v>
      </c>
      <c r="D112" s="478">
        <f>20700+500+904</f>
        <v>22104</v>
      </c>
      <c r="E112" s="47">
        <f>20700+500+904</f>
        <v>22104</v>
      </c>
      <c r="F112" s="478">
        <f>20700+500+904-800-1300</f>
        <v>20004</v>
      </c>
      <c r="G112" s="47">
        <f>20700+500+904-800-1300</f>
        <v>20004</v>
      </c>
      <c r="H112" s="47">
        <f>20700+500+904-800-1300</f>
        <v>20004</v>
      </c>
      <c r="I112" s="47">
        <f>20700+500+904-800-1300</f>
        <v>20004</v>
      </c>
      <c r="J112" s="478">
        <f>20700+500+904-800-1300-850</f>
        <v>19154</v>
      </c>
      <c r="K112" s="322">
        <v>13349</v>
      </c>
      <c r="L112" s="466">
        <f t="shared" si="39"/>
        <v>0.69693014513939644</v>
      </c>
    </row>
    <row r="113" spans="1:16" x14ac:dyDescent="0.25">
      <c r="A113" s="144" t="s">
        <v>99</v>
      </c>
      <c r="B113" s="65" t="s">
        <v>198</v>
      </c>
      <c r="C113" s="15">
        <v>81800</v>
      </c>
      <c r="D113" s="482">
        <f>81800+2400+4600</f>
        <v>88800</v>
      </c>
      <c r="E113" s="15">
        <f>81800+2400+4600</f>
        <v>88800</v>
      </c>
      <c r="F113" s="482">
        <f>81800+2400+4600+2250+2000+3000+50+2800+3000</f>
        <v>101900</v>
      </c>
      <c r="G113" s="482">
        <f>81800+2400+4600+2250+2000+3000+50+2800+3000-1500-2400-1000</f>
        <v>97000</v>
      </c>
      <c r="H113" s="482">
        <f>81800+2400+4600+2250+2000+3000+50+2800+3000-1500-2400-1000+150</f>
        <v>97150</v>
      </c>
      <c r="I113" s="482">
        <f>81800+2400+4600+2250+2000+3000+50+2800+3000-1500-2400-1000+150-7800</f>
        <v>89350</v>
      </c>
      <c r="J113" s="482">
        <f>81800+2400+4600+2250+2000+3000+50+2800+3000-1500-2400-1000+150-7800-1900-520</f>
        <v>86930</v>
      </c>
      <c r="K113" s="323">
        <v>71644</v>
      </c>
      <c r="L113" s="466">
        <f t="shared" si="39"/>
        <v>0.82415736799723915</v>
      </c>
    </row>
    <row r="114" spans="1:16" x14ac:dyDescent="0.25">
      <c r="A114" s="144" t="s">
        <v>100</v>
      </c>
      <c r="B114" s="39" t="s">
        <v>101</v>
      </c>
      <c r="C114" s="15">
        <v>3950</v>
      </c>
      <c r="D114" s="15">
        <v>3950</v>
      </c>
      <c r="E114" s="15">
        <v>3950</v>
      </c>
      <c r="F114" s="15">
        <v>3950</v>
      </c>
      <c r="G114" s="15">
        <v>3950</v>
      </c>
      <c r="H114" s="15">
        <v>3950</v>
      </c>
      <c r="I114" s="15">
        <v>3950</v>
      </c>
      <c r="J114" s="482">
        <f>3950+100</f>
        <v>4050</v>
      </c>
      <c r="K114" s="15">
        <v>2918</v>
      </c>
      <c r="L114" s="466">
        <f t="shared" si="39"/>
        <v>0.72049382716049382</v>
      </c>
    </row>
    <row r="115" spans="1:16" x14ac:dyDescent="0.25">
      <c r="A115" s="144" t="s">
        <v>102</v>
      </c>
      <c r="B115" s="39" t="s">
        <v>103</v>
      </c>
      <c r="C115" s="15">
        <v>16300</v>
      </c>
      <c r="D115" s="482">
        <f t="shared" ref="D115:J115" si="65">16300+30</f>
        <v>16330</v>
      </c>
      <c r="E115" s="15">
        <f t="shared" si="65"/>
        <v>16330</v>
      </c>
      <c r="F115" s="15">
        <f t="shared" si="65"/>
        <v>16330</v>
      </c>
      <c r="G115" s="15">
        <f t="shared" si="65"/>
        <v>16330</v>
      </c>
      <c r="H115" s="15">
        <f t="shared" si="65"/>
        <v>16330</v>
      </c>
      <c r="I115" s="15">
        <f t="shared" si="65"/>
        <v>16330</v>
      </c>
      <c r="J115" s="15">
        <f t="shared" si="65"/>
        <v>16330</v>
      </c>
      <c r="K115" s="15">
        <v>6592</v>
      </c>
      <c r="L115" s="466">
        <f t="shared" si="39"/>
        <v>0.40367421922841396</v>
      </c>
    </row>
    <row r="116" spans="1:16" ht="15.75" thickBot="1" x14ac:dyDescent="0.3">
      <c r="A116" s="142" t="s">
        <v>104</v>
      </c>
      <c r="B116" s="56" t="s">
        <v>361</v>
      </c>
      <c r="C116" s="181">
        <v>10000</v>
      </c>
      <c r="D116" s="481">
        <f>10000+6000</f>
        <v>16000</v>
      </c>
      <c r="E116" s="481">
        <f>10000+6000+6000</f>
        <v>22000</v>
      </c>
      <c r="F116" s="481">
        <f>10000+6000+6000+8800+700+200</f>
        <v>31700</v>
      </c>
      <c r="G116" s="181">
        <f>10000+6000+6000+8800+700+200</f>
        <v>31700</v>
      </c>
      <c r="H116" s="481">
        <f>10000+6000+6000+8800+700+200-150</f>
        <v>31550</v>
      </c>
      <c r="I116" s="481">
        <f>10000+6000+6000+8800+700+200-150-2100+2500</f>
        <v>31950</v>
      </c>
      <c r="J116" s="481">
        <f>10000+6000+6000+8800+700+200-150-2100+2500-1600</f>
        <v>30350</v>
      </c>
      <c r="K116" s="181">
        <v>15020</v>
      </c>
      <c r="L116" s="466">
        <f t="shared" si="39"/>
        <v>0.49489291598023066</v>
      </c>
    </row>
    <row r="117" spans="1:16" ht="15.75" thickBot="1" x14ac:dyDescent="0.3">
      <c r="A117" s="43" t="s">
        <v>105</v>
      </c>
      <c r="B117" s="44"/>
      <c r="C117" s="38">
        <f t="shared" ref="C117:G117" si="66">SUM(C118:C126)</f>
        <v>309800</v>
      </c>
      <c r="D117" s="38">
        <f t="shared" si="66"/>
        <v>309800</v>
      </c>
      <c r="E117" s="38">
        <f t="shared" si="66"/>
        <v>311800</v>
      </c>
      <c r="F117" s="38">
        <f t="shared" si="66"/>
        <v>314800</v>
      </c>
      <c r="G117" s="38">
        <f t="shared" si="66"/>
        <v>323700</v>
      </c>
      <c r="H117" s="38">
        <f t="shared" ref="H117:K117" si="67">SUM(H118:H126)</f>
        <v>331757</v>
      </c>
      <c r="I117" s="38">
        <f t="shared" si="67"/>
        <v>332557</v>
      </c>
      <c r="J117" s="38">
        <f t="shared" ref="J117" si="68">SUM(J118:J126)</f>
        <v>332867</v>
      </c>
      <c r="K117" s="38">
        <f t="shared" si="67"/>
        <v>205858</v>
      </c>
      <c r="L117" s="466">
        <f t="shared" si="39"/>
        <v>0.61843919643581369</v>
      </c>
    </row>
    <row r="118" spans="1:16" x14ac:dyDescent="0.25">
      <c r="A118" s="66" t="s">
        <v>106</v>
      </c>
      <c r="B118" s="67" t="s">
        <v>107</v>
      </c>
      <c r="C118" s="86">
        <v>149400</v>
      </c>
      <c r="D118" s="86">
        <f>149400</f>
        <v>149400</v>
      </c>
      <c r="E118" s="86">
        <f>149400</f>
        <v>149400</v>
      </c>
      <c r="F118" s="506">
        <f>149400+3000</f>
        <v>152400</v>
      </c>
      <c r="G118" s="506">
        <f>149400+3000+1700+4500</f>
        <v>158600</v>
      </c>
      <c r="H118" s="86">
        <f>149400+3000+1700+4500</f>
        <v>158600</v>
      </c>
      <c r="I118" s="86">
        <f>149400+3000+1700+4500</f>
        <v>158600</v>
      </c>
      <c r="J118" s="506">
        <f>149400+3000+1700+4500+310</f>
        <v>158910</v>
      </c>
      <c r="K118" s="86">
        <v>101795</v>
      </c>
      <c r="L118" s="466">
        <f t="shared" si="39"/>
        <v>0.64058271977849102</v>
      </c>
    </row>
    <row r="119" spans="1:16" x14ac:dyDescent="0.25">
      <c r="A119" s="505" t="s">
        <v>444</v>
      </c>
      <c r="B119" s="14" t="s">
        <v>446</v>
      </c>
      <c r="C119" s="169">
        <v>0</v>
      </c>
      <c r="D119" s="169">
        <v>0</v>
      </c>
      <c r="E119" s="492">
        <v>1000</v>
      </c>
      <c r="F119" s="169">
        <v>1000</v>
      </c>
      <c r="G119" s="169">
        <v>1000</v>
      </c>
      <c r="H119" s="169">
        <v>1000</v>
      </c>
      <c r="I119" s="492">
        <f>1000+400</f>
        <v>1400</v>
      </c>
      <c r="J119" s="169">
        <f>1000+400</f>
        <v>1400</v>
      </c>
      <c r="K119" s="168">
        <v>0</v>
      </c>
      <c r="L119" s="466">
        <f t="shared" si="39"/>
        <v>0</v>
      </c>
    </row>
    <row r="120" spans="1:16" x14ac:dyDescent="0.25">
      <c r="A120" s="505" t="s">
        <v>445</v>
      </c>
      <c r="B120" s="14" t="s">
        <v>447</v>
      </c>
      <c r="C120" s="169">
        <v>0</v>
      </c>
      <c r="D120" s="169">
        <v>0</v>
      </c>
      <c r="E120" s="492">
        <v>1000</v>
      </c>
      <c r="F120" s="169">
        <v>1000</v>
      </c>
      <c r="G120" s="169">
        <v>1000</v>
      </c>
      <c r="H120" s="169">
        <v>1000</v>
      </c>
      <c r="I120" s="492">
        <f>1000+400</f>
        <v>1400</v>
      </c>
      <c r="J120" s="169">
        <f>1000+400</f>
        <v>1400</v>
      </c>
      <c r="K120" s="168">
        <v>0</v>
      </c>
      <c r="L120" s="466">
        <f t="shared" si="39"/>
        <v>0</v>
      </c>
    </row>
    <row r="121" spans="1:16" x14ac:dyDescent="0.25">
      <c r="A121" s="68" t="s">
        <v>108</v>
      </c>
      <c r="B121" s="17" t="s">
        <v>196</v>
      </c>
      <c r="C121" s="168">
        <v>3000</v>
      </c>
      <c r="D121" s="168">
        <v>3000</v>
      </c>
      <c r="E121" s="168">
        <v>3000</v>
      </c>
      <c r="F121" s="168">
        <v>3000</v>
      </c>
      <c r="G121" s="168">
        <v>3000</v>
      </c>
      <c r="H121" s="168">
        <v>3000</v>
      </c>
      <c r="I121" s="168">
        <v>3000</v>
      </c>
      <c r="J121" s="168">
        <v>3000</v>
      </c>
      <c r="K121" s="168">
        <v>1418</v>
      </c>
      <c r="L121" s="466">
        <f t="shared" si="39"/>
        <v>0.47266666666666668</v>
      </c>
    </row>
    <row r="122" spans="1:16" x14ac:dyDescent="0.25">
      <c r="A122" s="68" t="s">
        <v>109</v>
      </c>
      <c r="B122" s="17" t="s">
        <v>110</v>
      </c>
      <c r="C122" s="168">
        <v>27800</v>
      </c>
      <c r="D122" s="168">
        <v>27800</v>
      </c>
      <c r="E122" s="168">
        <f>27800-300+300</f>
        <v>27800</v>
      </c>
      <c r="F122" s="168">
        <f>27800-300+300</f>
        <v>27800</v>
      </c>
      <c r="G122" s="465">
        <f>27800-300+300+570</f>
        <v>28370</v>
      </c>
      <c r="H122" s="465">
        <f>27800-300+300+570+1220</f>
        <v>29590</v>
      </c>
      <c r="I122" s="465">
        <f>27800-300+300+570+1220-700</f>
        <v>28890</v>
      </c>
      <c r="J122" s="168">
        <f>27800-300+300+570+1220-700</f>
        <v>28890</v>
      </c>
      <c r="K122" s="168">
        <v>17404</v>
      </c>
      <c r="L122" s="466">
        <f t="shared" si="39"/>
        <v>0.60242298373139491</v>
      </c>
    </row>
    <row r="123" spans="1:16" x14ac:dyDescent="0.25">
      <c r="A123" s="68" t="s">
        <v>111</v>
      </c>
      <c r="B123" s="17" t="s">
        <v>112</v>
      </c>
      <c r="C123" s="18">
        <v>41200</v>
      </c>
      <c r="D123" s="18">
        <v>41200</v>
      </c>
      <c r="E123" s="18">
        <f t="shared" ref="E123:F124" si="69">41200-400+400</f>
        <v>41200</v>
      </c>
      <c r="F123" s="18">
        <f t="shared" si="69"/>
        <v>41200</v>
      </c>
      <c r="G123" s="477">
        <f>41200-400+400+780</f>
        <v>41980</v>
      </c>
      <c r="H123" s="477">
        <f>41200-400+400+780-600</f>
        <v>41380</v>
      </c>
      <c r="I123" s="18">
        <f>41200-400+400+780-600</f>
        <v>41380</v>
      </c>
      <c r="J123" s="18">
        <f>41200-400+400+780-600</f>
        <v>41380</v>
      </c>
      <c r="K123" s="18">
        <v>25439</v>
      </c>
      <c r="L123" s="466">
        <f t="shared" si="39"/>
        <v>0.61476558724021269</v>
      </c>
    </row>
    <row r="124" spans="1:16" x14ac:dyDescent="0.25">
      <c r="A124" s="68" t="s">
        <v>113</v>
      </c>
      <c r="B124" s="17" t="s">
        <v>114</v>
      </c>
      <c r="C124" s="18">
        <v>41200</v>
      </c>
      <c r="D124" s="18">
        <v>41200</v>
      </c>
      <c r="E124" s="18">
        <f t="shared" si="69"/>
        <v>41200</v>
      </c>
      <c r="F124" s="18">
        <f t="shared" si="69"/>
        <v>41200</v>
      </c>
      <c r="G124" s="477">
        <f>41200-400+400+780</f>
        <v>41980</v>
      </c>
      <c r="H124" s="477">
        <f>41200-400+400+780+6020</f>
        <v>48000</v>
      </c>
      <c r="I124" s="477">
        <f>41200-400+400+780+6020+700</f>
        <v>48700</v>
      </c>
      <c r="J124" s="18">
        <f>41200-400+400+780+6020+700</f>
        <v>48700</v>
      </c>
      <c r="K124" s="18">
        <v>26423</v>
      </c>
      <c r="L124" s="466">
        <f t="shared" si="39"/>
        <v>0.54256673511293629</v>
      </c>
    </row>
    <row r="125" spans="1:16" x14ac:dyDescent="0.25">
      <c r="A125" s="69" t="s">
        <v>115</v>
      </c>
      <c r="B125" s="17" t="s">
        <v>362</v>
      </c>
      <c r="C125" s="70">
        <v>43900</v>
      </c>
      <c r="D125" s="70">
        <v>43900</v>
      </c>
      <c r="E125" s="70">
        <f>43900+1100-1100</f>
        <v>43900</v>
      </c>
      <c r="F125" s="70">
        <f>43900+1100-1100</f>
        <v>43900</v>
      </c>
      <c r="G125" s="561">
        <f>43900+1100-1100+570</f>
        <v>44470</v>
      </c>
      <c r="H125" s="561">
        <f>43900+1100-1100+570+1417</f>
        <v>45887</v>
      </c>
      <c r="I125" s="70">
        <f>43900+1100-1100+570+1417</f>
        <v>45887</v>
      </c>
      <c r="J125" s="70">
        <f>43900+1100-1100+570+1417</f>
        <v>45887</v>
      </c>
      <c r="K125" s="70">
        <v>30178</v>
      </c>
      <c r="L125" s="466">
        <f t="shared" si="39"/>
        <v>0.65765903196983899</v>
      </c>
      <c r="N125" s="123"/>
      <c r="O125" s="123"/>
      <c r="P125" s="123"/>
    </row>
    <row r="126" spans="1:16" ht="15.75" thickBot="1" x14ac:dyDescent="0.3">
      <c r="A126" s="68" t="s">
        <v>117</v>
      </c>
      <c r="B126" s="17" t="s">
        <v>118</v>
      </c>
      <c r="C126" s="70">
        <v>3300</v>
      </c>
      <c r="D126" s="70">
        <v>3300</v>
      </c>
      <c r="E126" s="70">
        <v>3300</v>
      </c>
      <c r="F126" s="70">
        <v>3300</v>
      </c>
      <c r="G126" s="70">
        <v>3300</v>
      </c>
      <c r="H126" s="70">
        <v>3300</v>
      </c>
      <c r="I126" s="70">
        <v>3300</v>
      </c>
      <c r="J126" s="70">
        <v>3300</v>
      </c>
      <c r="K126" s="70">
        <v>3201</v>
      </c>
      <c r="L126" s="466">
        <f t="shared" si="39"/>
        <v>0.97</v>
      </c>
    </row>
    <row r="127" spans="1:16" ht="15.75" thickBot="1" x14ac:dyDescent="0.3">
      <c r="A127" s="36" t="s">
        <v>119</v>
      </c>
      <c r="B127" s="37"/>
      <c r="C127" s="38">
        <f t="shared" ref="C127:G127" si="70">SUM(C128:C132)</f>
        <v>307100</v>
      </c>
      <c r="D127" s="38">
        <f t="shared" si="70"/>
        <v>309680</v>
      </c>
      <c r="E127" s="38">
        <f t="shared" si="70"/>
        <v>310480</v>
      </c>
      <c r="F127" s="38">
        <f t="shared" si="70"/>
        <v>310480</v>
      </c>
      <c r="G127" s="38">
        <f t="shared" si="70"/>
        <v>345480</v>
      </c>
      <c r="H127" s="38">
        <f t="shared" ref="H127:K127" si="71">SUM(H128:H132)</f>
        <v>345480</v>
      </c>
      <c r="I127" s="38">
        <f t="shared" si="71"/>
        <v>345980</v>
      </c>
      <c r="J127" s="38">
        <f t="shared" ref="J127" si="72">SUM(J128:J132)</f>
        <v>345980</v>
      </c>
      <c r="K127" s="38">
        <f t="shared" si="71"/>
        <v>149518</v>
      </c>
      <c r="L127" s="466">
        <f t="shared" si="39"/>
        <v>0.43215792820394244</v>
      </c>
    </row>
    <row r="128" spans="1:16" x14ac:dyDescent="0.25">
      <c r="A128" s="144" t="s">
        <v>120</v>
      </c>
      <c r="B128" s="39" t="s">
        <v>262</v>
      </c>
      <c r="C128" s="15">
        <v>276500</v>
      </c>
      <c r="D128" s="482">
        <f>276500+1080+1500</f>
        <v>279080</v>
      </c>
      <c r="E128" s="15">
        <f>276500+1080+1500</f>
        <v>279080</v>
      </c>
      <c r="F128" s="15">
        <f>276500+1080+1500</f>
        <v>279080</v>
      </c>
      <c r="G128" s="482">
        <f>276500+1080+1500+31000</f>
        <v>310080</v>
      </c>
      <c r="H128" s="15">
        <f>276500+1080+1500+31000</f>
        <v>310080</v>
      </c>
      <c r="I128" s="15">
        <f>276500+1080+1500+31000</f>
        <v>310080</v>
      </c>
      <c r="J128" s="15">
        <f>276500+1080+1500+31000</f>
        <v>310080</v>
      </c>
      <c r="K128" s="15">
        <v>137824</v>
      </c>
      <c r="L128" s="466">
        <f t="shared" si="39"/>
        <v>0.44447884416924666</v>
      </c>
    </row>
    <row r="129" spans="1:19" x14ac:dyDescent="0.25">
      <c r="A129" s="144" t="s">
        <v>121</v>
      </c>
      <c r="B129" s="39" t="s">
        <v>167</v>
      </c>
      <c r="C129" s="15">
        <v>8200</v>
      </c>
      <c r="D129" s="15">
        <v>8200</v>
      </c>
      <c r="E129" s="15">
        <v>8200</v>
      </c>
      <c r="F129" s="15">
        <v>8200</v>
      </c>
      <c r="G129" s="15">
        <v>8200</v>
      </c>
      <c r="H129" s="15">
        <v>8200</v>
      </c>
      <c r="I129" s="15">
        <v>8200</v>
      </c>
      <c r="J129" s="15">
        <v>8200</v>
      </c>
      <c r="K129" s="40">
        <v>3241</v>
      </c>
      <c r="L129" s="466">
        <f t="shared" si="39"/>
        <v>0.39524390243902441</v>
      </c>
    </row>
    <row r="130" spans="1:19" x14ac:dyDescent="0.25">
      <c r="A130" s="137" t="s">
        <v>122</v>
      </c>
      <c r="B130" s="25" t="s">
        <v>168</v>
      </c>
      <c r="C130" s="41">
        <v>21400</v>
      </c>
      <c r="D130" s="41">
        <v>21400</v>
      </c>
      <c r="E130" s="477">
        <f>21400+500</f>
        <v>21900</v>
      </c>
      <c r="F130" s="18">
        <f>21400+500</f>
        <v>21900</v>
      </c>
      <c r="G130" s="477">
        <f>21400+500+4000</f>
        <v>25900</v>
      </c>
      <c r="H130" s="18">
        <f>21400+500+4000</f>
        <v>25900</v>
      </c>
      <c r="I130" s="477">
        <f>21400+500+4000+500</f>
        <v>26400</v>
      </c>
      <c r="J130" s="18">
        <f>21400+500+4000+500</f>
        <v>26400</v>
      </c>
      <c r="K130" s="41">
        <v>8153</v>
      </c>
      <c r="L130" s="466">
        <f t="shared" si="39"/>
        <v>0.30882575757575759</v>
      </c>
      <c r="O130" s="123"/>
    </row>
    <row r="131" spans="1:19" x14ac:dyDescent="0.25">
      <c r="A131" s="137" t="s">
        <v>123</v>
      </c>
      <c r="B131" s="25" t="s">
        <v>124</v>
      </c>
      <c r="C131" s="41">
        <v>500</v>
      </c>
      <c r="D131" s="41">
        <v>500</v>
      </c>
      <c r="E131" s="41">
        <v>500</v>
      </c>
      <c r="F131" s="18">
        <v>500</v>
      </c>
      <c r="G131" s="18">
        <v>500</v>
      </c>
      <c r="H131" s="18">
        <v>500</v>
      </c>
      <c r="I131" s="18">
        <v>500</v>
      </c>
      <c r="J131" s="18">
        <v>500</v>
      </c>
      <c r="K131" s="41">
        <v>0</v>
      </c>
      <c r="L131" s="466">
        <f t="shared" si="39"/>
        <v>0</v>
      </c>
    </row>
    <row r="132" spans="1:19" ht="15.75" thickBot="1" x14ac:dyDescent="0.3">
      <c r="A132" s="142" t="s">
        <v>125</v>
      </c>
      <c r="B132" s="56" t="s">
        <v>126</v>
      </c>
      <c r="C132" s="57">
        <v>500</v>
      </c>
      <c r="D132" s="57">
        <v>500</v>
      </c>
      <c r="E132" s="481">
        <f t="shared" ref="E132:J132" si="73">500+300</f>
        <v>800</v>
      </c>
      <c r="F132" s="181">
        <f t="shared" si="73"/>
        <v>800</v>
      </c>
      <c r="G132" s="181">
        <f t="shared" si="73"/>
        <v>800</v>
      </c>
      <c r="H132" s="181">
        <f t="shared" si="73"/>
        <v>800</v>
      </c>
      <c r="I132" s="181">
        <f t="shared" si="73"/>
        <v>800</v>
      </c>
      <c r="J132" s="181">
        <f t="shared" si="73"/>
        <v>800</v>
      </c>
      <c r="K132" s="57">
        <v>300</v>
      </c>
      <c r="L132" s="466">
        <f t="shared" si="39"/>
        <v>0.375</v>
      </c>
      <c r="M132" s="123"/>
      <c r="N132" s="123"/>
    </row>
    <row r="133" spans="1:19" ht="21.75" customHeight="1" thickBot="1" x14ac:dyDescent="0.3">
      <c r="A133" s="71" t="s">
        <v>127</v>
      </c>
      <c r="B133" s="143"/>
      <c r="C133" s="72">
        <f t="shared" ref="C133:H133" si="74">SUM(C81+C87+C89+C92+C97+C102+C106+C111+C117+C127)</f>
        <v>1382145</v>
      </c>
      <c r="D133" s="72">
        <f t="shared" si="74"/>
        <v>1411816</v>
      </c>
      <c r="E133" s="72">
        <f t="shared" si="74"/>
        <v>1418761</v>
      </c>
      <c r="F133" s="72">
        <f t="shared" si="74"/>
        <v>1444506</v>
      </c>
      <c r="G133" s="72">
        <f t="shared" si="74"/>
        <v>1485506</v>
      </c>
      <c r="H133" s="72">
        <f t="shared" si="74"/>
        <v>1493563</v>
      </c>
      <c r="I133" s="72">
        <f t="shared" ref="I133:K133" si="75">SUM(I81+I87+I89+I92+I97+I102+I106+I111+I117+I127)</f>
        <v>1489963</v>
      </c>
      <c r="J133" s="72">
        <f t="shared" ref="J133" si="76">SUM(J81+J87+J89+J92+J97+J102+J106+J111+J117+J127)</f>
        <v>1490273</v>
      </c>
      <c r="K133" s="72">
        <f t="shared" si="75"/>
        <v>810453</v>
      </c>
      <c r="L133" s="466">
        <f t="shared" si="39"/>
        <v>0.54382854685014093</v>
      </c>
      <c r="M133" s="123">
        <f t="shared" ref="M133:S133" si="77">D133-C133</f>
        <v>29671</v>
      </c>
      <c r="N133" s="123">
        <f t="shared" si="77"/>
        <v>6945</v>
      </c>
      <c r="O133" s="123">
        <f t="shared" si="77"/>
        <v>25745</v>
      </c>
      <c r="P133" s="123">
        <f t="shared" si="77"/>
        <v>41000</v>
      </c>
      <c r="Q133" s="123">
        <f t="shared" si="77"/>
        <v>8057</v>
      </c>
      <c r="R133" s="123">
        <f t="shared" si="77"/>
        <v>-3600</v>
      </c>
      <c r="S133" s="123">
        <f t="shared" si="77"/>
        <v>310</v>
      </c>
    </row>
    <row r="134" spans="1:19" x14ac:dyDescent="0.25">
      <c r="A134" s="247" t="s">
        <v>231</v>
      </c>
      <c r="B134" s="248" t="s">
        <v>264</v>
      </c>
      <c r="C134" s="249">
        <f t="shared" ref="C134:K134" si="78">C67</f>
        <v>472270</v>
      </c>
      <c r="D134" s="249">
        <f t="shared" si="78"/>
        <v>486089</v>
      </c>
      <c r="E134" s="249">
        <f t="shared" si="78"/>
        <v>486089</v>
      </c>
      <c r="F134" s="249">
        <f t="shared" si="78"/>
        <v>486089</v>
      </c>
      <c r="G134" s="249">
        <f t="shared" si="78"/>
        <v>486800</v>
      </c>
      <c r="H134" s="249">
        <f t="shared" si="78"/>
        <v>486906</v>
      </c>
      <c r="I134" s="249">
        <f t="shared" si="78"/>
        <v>489082</v>
      </c>
      <c r="J134" s="249">
        <f t="shared" ref="J134" si="79">J67</f>
        <v>489082</v>
      </c>
      <c r="K134" s="249">
        <f t="shared" si="78"/>
        <v>369133</v>
      </c>
      <c r="L134" s="466">
        <f t="shared" si="39"/>
        <v>0.75474664780139122</v>
      </c>
      <c r="M134" s="123"/>
      <c r="N134" s="123"/>
      <c r="O134" s="123"/>
    </row>
    <row r="135" spans="1:19" ht="16.5" customHeight="1" x14ac:dyDescent="0.25">
      <c r="A135" s="263" t="s">
        <v>231</v>
      </c>
      <c r="B135" s="264" t="s">
        <v>225</v>
      </c>
      <c r="C135" s="265">
        <f t="shared" ref="C135:K135" si="80">C69</f>
        <v>3000</v>
      </c>
      <c r="D135" s="265">
        <f t="shared" si="80"/>
        <v>3000</v>
      </c>
      <c r="E135" s="265">
        <f t="shared" si="80"/>
        <v>3000</v>
      </c>
      <c r="F135" s="265">
        <f t="shared" si="80"/>
        <v>3000</v>
      </c>
      <c r="G135" s="265">
        <f t="shared" si="80"/>
        <v>3000</v>
      </c>
      <c r="H135" s="265">
        <f t="shared" si="80"/>
        <v>7330</v>
      </c>
      <c r="I135" s="265">
        <f t="shared" si="80"/>
        <v>7330</v>
      </c>
      <c r="J135" s="265">
        <f t="shared" ref="J135" si="81">J69</f>
        <v>7330</v>
      </c>
      <c r="K135" s="265">
        <f t="shared" si="80"/>
        <v>5798</v>
      </c>
      <c r="L135" s="466">
        <f t="shared" si="39"/>
        <v>0.79099590723055935</v>
      </c>
      <c r="M135" s="123"/>
      <c r="N135" s="123"/>
      <c r="O135" s="123"/>
    </row>
    <row r="136" spans="1:19" ht="16.5" customHeight="1" x14ac:dyDescent="0.25">
      <c r="A136" s="263" t="s">
        <v>231</v>
      </c>
      <c r="B136" s="264" t="s">
        <v>265</v>
      </c>
      <c r="C136" s="265">
        <v>54240</v>
      </c>
      <c r="D136" s="265">
        <v>54240</v>
      </c>
      <c r="E136" s="265">
        <v>54240</v>
      </c>
      <c r="F136" s="265">
        <v>54240</v>
      </c>
      <c r="G136" s="265">
        <v>54240</v>
      </c>
      <c r="H136" s="265">
        <v>54240</v>
      </c>
      <c r="I136" s="265">
        <v>54240</v>
      </c>
      <c r="J136" s="265">
        <v>54240</v>
      </c>
      <c r="K136" s="265">
        <f>K71</f>
        <v>32683</v>
      </c>
      <c r="L136" s="466">
        <f t="shared" si="39"/>
        <v>0.60256268436578175</v>
      </c>
      <c r="M136" s="123"/>
      <c r="N136" s="123"/>
      <c r="O136" s="123"/>
    </row>
    <row r="137" spans="1:19" ht="15.75" thickBot="1" x14ac:dyDescent="0.3">
      <c r="A137" s="364" t="s">
        <v>231</v>
      </c>
      <c r="B137" s="365" t="s">
        <v>266</v>
      </c>
      <c r="C137" s="366">
        <v>2855</v>
      </c>
      <c r="D137" s="366">
        <v>2855</v>
      </c>
      <c r="E137" s="366">
        <v>2855</v>
      </c>
      <c r="F137" s="366">
        <v>2855</v>
      </c>
      <c r="G137" s="366">
        <v>2855</v>
      </c>
      <c r="H137" s="366">
        <v>2855</v>
      </c>
      <c r="I137" s="366">
        <v>2855</v>
      </c>
      <c r="J137" s="366">
        <v>2855</v>
      </c>
      <c r="K137" s="366">
        <v>2702</v>
      </c>
      <c r="L137" s="466">
        <f t="shared" si="39"/>
        <v>0.94640980735551661</v>
      </c>
      <c r="M137" s="123"/>
      <c r="N137" s="123"/>
      <c r="O137" s="123"/>
    </row>
    <row r="138" spans="1:19" x14ac:dyDescent="0.25">
      <c r="A138" s="361" t="s">
        <v>108</v>
      </c>
      <c r="B138" s="362" t="s">
        <v>267</v>
      </c>
      <c r="C138" s="363">
        <v>22500</v>
      </c>
      <c r="D138" s="363">
        <v>22500</v>
      </c>
      <c r="E138" s="363">
        <v>22500</v>
      </c>
      <c r="F138" s="363">
        <v>22500</v>
      </c>
      <c r="G138" s="363">
        <v>22500</v>
      </c>
      <c r="H138" s="363">
        <v>22500</v>
      </c>
      <c r="I138" s="363">
        <v>22500</v>
      </c>
      <c r="J138" s="363">
        <v>22500</v>
      </c>
      <c r="K138" s="363">
        <f>5625*3</f>
        <v>16875</v>
      </c>
      <c r="L138" s="466">
        <f t="shared" si="39"/>
        <v>0.75</v>
      </c>
      <c r="M138" s="123"/>
      <c r="N138" s="123"/>
      <c r="O138" s="123"/>
    </row>
    <row r="139" spans="1:19" ht="15" customHeight="1" thickBot="1" x14ac:dyDescent="0.3">
      <c r="A139" s="263" t="s">
        <v>108</v>
      </c>
      <c r="B139" s="264" t="s">
        <v>268</v>
      </c>
      <c r="C139" s="265">
        <f t="shared" ref="C139:K139" si="82">C70</f>
        <v>1320</v>
      </c>
      <c r="D139" s="265">
        <f t="shared" si="82"/>
        <v>1320</v>
      </c>
      <c r="E139" s="265">
        <f t="shared" si="82"/>
        <v>1320</v>
      </c>
      <c r="F139" s="265">
        <f t="shared" si="82"/>
        <v>1320</v>
      </c>
      <c r="G139" s="265">
        <f t="shared" si="82"/>
        <v>1320</v>
      </c>
      <c r="H139" s="265">
        <f t="shared" si="82"/>
        <v>1320</v>
      </c>
      <c r="I139" s="265">
        <f t="shared" si="82"/>
        <v>1320</v>
      </c>
      <c r="J139" s="265">
        <f t="shared" ref="J139" si="83">J70</f>
        <v>1320</v>
      </c>
      <c r="K139" s="265">
        <f t="shared" si="82"/>
        <v>726</v>
      </c>
      <c r="L139" s="466">
        <f t="shared" si="39"/>
        <v>0.55000000000000004</v>
      </c>
      <c r="M139" s="123">
        <f>K135+K137+K138+K139-1275</f>
        <v>24826</v>
      </c>
      <c r="N139" s="123"/>
      <c r="O139" s="123"/>
    </row>
    <row r="140" spans="1:19" ht="14.25" customHeight="1" thickBot="1" x14ac:dyDescent="0.3">
      <c r="A140" s="654" t="s">
        <v>183</v>
      </c>
      <c r="B140" s="655"/>
      <c r="C140" s="128">
        <f t="shared" ref="C140:F140" si="84">SUM(C134:C139)</f>
        <v>556185</v>
      </c>
      <c r="D140" s="128">
        <f t="shared" si="84"/>
        <v>570004</v>
      </c>
      <c r="E140" s="128">
        <f t="shared" si="84"/>
        <v>570004</v>
      </c>
      <c r="F140" s="128">
        <f t="shared" si="84"/>
        <v>570004</v>
      </c>
      <c r="G140" s="128">
        <f t="shared" ref="G140:K140" si="85">SUM(G134:G139)</f>
        <v>570715</v>
      </c>
      <c r="H140" s="128">
        <f t="shared" si="85"/>
        <v>575151</v>
      </c>
      <c r="I140" s="128">
        <f t="shared" si="85"/>
        <v>577327</v>
      </c>
      <c r="J140" s="128">
        <f t="shared" ref="J140" si="86">SUM(J134:J139)</f>
        <v>577327</v>
      </c>
      <c r="K140" s="128">
        <f t="shared" si="85"/>
        <v>427917</v>
      </c>
      <c r="L140" s="466">
        <f t="shared" si="39"/>
        <v>0.74120385847188852</v>
      </c>
      <c r="M140" s="123">
        <f t="shared" ref="M140:S140" si="87">D140-C140</f>
        <v>13819</v>
      </c>
      <c r="N140" s="123">
        <f t="shared" si="87"/>
        <v>0</v>
      </c>
      <c r="O140" s="123">
        <f t="shared" si="87"/>
        <v>0</v>
      </c>
      <c r="P140" s="123">
        <f t="shared" si="87"/>
        <v>711</v>
      </c>
      <c r="Q140" s="123">
        <f t="shared" si="87"/>
        <v>4436</v>
      </c>
      <c r="R140" s="123">
        <f t="shared" si="87"/>
        <v>2176</v>
      </c>
      <c r="S140" s="123">
        <f t="shared" si="87"/>
        <v>0</v>
      </c>
    </row>
    <row r="141" spans="1:19" x14ac:dyDescent="0.25">
      <c r="A141" s="250" t="s">
        <v>108</v>
      </c>
      <c r="B141" s="251" t="s">
        <v>227</v>
      </c>
      <c r="C141" s="221">
        <f t="shared" ref="C141:J141" si="88">190500+13510</f>
        <v>204010</v>
      </c>
      <c r="D141" s="221">
        <f t="shared" si="88"/>
        <v>204010</v>
      </c>
      <c r="E141" s="221">
        <f t="shared" si="88"/>
        <v>204010</v>
      </c>
      <c r="F141" s="221">
        <f t="shared" si="88"/>
        <v>204010</v>
      </c>
      <c r="G141" s="221">
        <f t="shared" si="88"/>
        <v>204010</v>
      </c>
      <c r="H141" s="221">
        <f t="shared" si="88"/>
        <v>204010</v>
      </c>
      <c r="I141" s="221">
        <f t="shared" si="88"/>
        <v>204010</v>
      </c>
      <c r="J141" s="221">
        <f t="shared" si="88"/>
        <v>204010</v>
      </c>
      <c r="K141" s="221">
        <f>17000*9</f>
        <v>153000</v>
      </c>
      <c r="L141" s="466">
        <f t="shared" si="39"/>
        <v>0.74996323709622081</v>
      </c>
      <c r="M141" s="123"/>
      <c r="N141" s="123"/>
      <c r="O141" s="123"/>
    </row>
    <row r="142" spans="1:19" ht="17.25" customHeight="1" thickBot="1" x14ac:dyDescent="0.3">
      <c r="A142" s="266" t="s">
        <v>108</v>
      </c>
      <c r="B142" s="244" t="s">
        <v>228</v>
      </c>
      <c r="C142" s="217">
        <f t="shared" ref="C142:K142" si="89">C73</f>
        <v>9770</v>
      </c>
      <c r="D142" s="217">
        <f t="shared" si="89"/>
        <v>9770</v>
      </c>
      <c r="E142" s="217">
        <f t="shared" si="89"/>
        <v>9770</v>
      </c>
      <c r="F142" s="217">
        <f t="shared" si="89"/>
        <v>9770</v>
      </c>
      <c r="G142" s="217">
        <f t="shared" si="89"/>
        <v>9770</v>
      </c>
      <c r="H142" s="217">
        <f t="shared" si="89"/>
        <v>11030</v>
      </c>
      <c r="I142" s="217">
        <f t="shared" si="89"/>
        <v>11030</v>
      </c>
      <c r="J142" s="217">
        <f t="shared" ref="J142" si="90">J73</f>
        <v>11030</v>
      </c>
      <c r="K142" s="217">
        <f t="shared" si="89"/>
        <v>7241</v>
      </c>
      <c r="L142" s="466">
        <f t="shared" si="39"/>
        <v>0.65648232094288306</v>
      </c>
      <c r="M142" s="123"/>
      <c r="N142" s="123"/>
      <c r="O142" s="123"/>
    </row>
    <row r="143" spans="1:19" ht="16.5" customHeight="1" thickBot="1" x14ac:dyDescent="0.3">
      <c r="A143" s="656" t="s">
        <v>226</v>
      </c>
      <c r="B143" s="657"/>
      <c r="C143" s="367">
        <f t="shared" ref="C143:K143" si="91">SUM(C141:C142)</f>
        <v>213780</v>
      </c>
      <c r="D143" s="367">
        <f t="shared" si="91"/>
        <v>213780</v>
      </c>
      <c r="E143" s="367">
        <f t="shared" si="91"/>
        <v>213780</v>
      </c>
      <c r="F143" s="367">
        <f t="shared" si="91"/>
        <v>213780</v>
      </c>
      <c r="G143" s="367">
        <f t="shared" si="91"/>
        <v>213780</v>
      </c>
      <c r="H143" s="367">
        <f t="shared" si="91"/>
        <v>215040</v>
      </c>
      <c r="I143" s="367">
        <f t="shared" si="91"/>
        <v>215040</v>
      </c>
      <c r="J143" s="367">
        <f t="shared" ref="J143" si="92">SUM(J141:J142)</f>
        <v>215040</v>
      </c>
      <c r="K143" s="367">
        <f t="shared" si="91"/>
        <v>160241</v>
      </c>
      <c r="L143" s="466">
        <f t="shared" si="39"/>
        <v>0.74516834077380956</v>
      </c>
      <c r="M143" s="123">
        <f t="shared" ref="M143:S145" si="93">D143-C143</f>
        <v>0</v>
      </c>
      <c r="N143" s="123">
        <f t="shared" si="93"/>
        <v>0</v>
      </c>
      <c r="O143" s="123">
        <f t="shared" si="93"/>
        <v>0</v>
      </c>
      <c r="P143" s="123">
        <f t="shared" si="93"/>
        <v>0</v>
      </c>
      <c r="Q143" s="123">
        <f t="shared" si="93"/>
        <v>1260</v>
      </c>
      <c r="R143" s="123">
        <f t="shared" si="93"/>
        <v>0</v>
      </c>
      <c r="S143" s="123">
        <f t="shared" si="93"/>
        <v>0</v>
      </c>
    </row>
    <row r="144" spans="1:19" ht="18.75" customHeight="1" thickBot="1" x14ac:dyDescent="0.3">
      <c r="A144" s="658" t="s">
        <v>220</v>
      </c>
      <c r="B144" s="659"/>
      <c r="C144" s="368">
        <f t="shared" ref="C144:K144" si="94">C140+C143</f>
        <v>769965</v>
      </c>
      <c r="D144" s="368">
        <f t="shared" si="94"/>
        <v>783784</v>
      </c>
      <c r="E144" s="368">
        <f t="shared" si="94"/>
        <v>783784</v>
      </c>
      <c r="F144" s="368">
        <f t="shared" si="94"/>
        <v>783784</v>
      </c>
      <c r="G144" s="368">
        <f t="shared" si="94"/>
        <v>784495</v>
      </c>
      <c r="H144" s="368">
        <f t="shared" si="94"/>
        <v>790191</v>
      </c>
      <c r="I144" s="368">
        <f t="shared" si="94"/>
        <v>792367</v>
      </c>
      <c r="J144" s="368">
        <f t="shared" ref="J144" si="95">J140+J143</f>
        <v>792367</v>
      </c>
      <c r="K144" s="368">
        <f t="shared" si="94"/>
        <v>588158</v>
      </c>
      <c r="L144" s="466">
        <f t="shared" si="39"/>
        <v>0.74227977692155278</v>
      </c>
      <c r="M144" s="123">
        <f t="shared" si="93"/>
        <v>13819</v>
      </c>
      <c r="N144" s="123">
        <f t="shared" si="93"/>
        <v>0</v>
      </c>
      <c r="O144" s="123">
        <f t="shared" si="93"/>
        <v>0</v>
      </c>
      <c r="P144" s="123">
        <f t="shared" si="93"/>
        <v>711</v>
      </c>
      <c r="Q144" s="123">
        <f t="shared" si="93"/>
        <v>5696</v>
      </c>
      <c r="R144" s="123">
        <f t="shared" si="93"/>
        <v>2176</v>
      </c>
      <c r="S144" s="123">
        <f t="shared" si="93"/>
        <v>0</v>
      </c>
    </row>
    <row r="145" spans="1:20" ht="30.75" customHeight="1" thickBot="1" x14ac:dyDescent="0.3">
      <c r="A145" s="73" t="s">
        <v>184</v>
      </c>
      <c r="B145" s="140"/>
      <c r="C145" s="74">
        <f t="shared" ref="C145:K145" si="96">C133+C144</f>
        <v>2152110</v>
      </c>
      <c r="D145" s="74">
        <f t="shared" si="96"/>
        <v>2195600</v>
      </c>
      <c r="E145" s="74">
        <f t="shared" si="96"/>
        <v>2202545</v>
      </c>
      <c r="F145" s="74">
        <f t="shared" si="96"/>
        <v>2228290</v>
      </c>
      <c r="G145" s="74">
        <f t="shared" si="96"/>
        <v>2270001</v>
      </c>
      <c r="H145" s="74">
        <f t="shared" si="96"/>
        <v>2283754</v>
      </c>
      <c r="I145" s="74">
        <f t="shared" si="96"/>
        <v>2282330</v>
      </c>
      <c r="J145" s="74">
        <f t="shared" ref="J145" si="97">J133+J144</f>
        <v>2282640</v>
      </c>
      <c r="K145" s="74">
        <f t="shared" si="96"/>
        <v>1398611</v>
      </c>
      <c r="L145" s="466">
        <f t="shared" si="39"/>
        <v>0.61271641607962712</v>
      </c>
      <c r="M145" s="123">
        <f t="shared" si="93"/>
        <v>43490</v>
      </c>
      <c r="N145" s="123">
        <f t="shared" si="93"/>
        <v>6945</v>
      </c>
      <c r="O145" s="123">
        <f t="shared" si="93"/>
        <v>25745</v>
      </c>
      <c r="P145" s="123">
        <f t="shared" si="93"/>
        <v>41711</v>
      </c>
      <c r="Q145" s="123">
        <f t="shared" si="93"/>
        <v>13753</v>
      </c>
      <c r="R145" s="123">
        <f t="shared" si="93"/>
        <v>-1424</v>
      </c>
      <c r="S145" s="123">
        <f t="shared" si="93"/>
        <v>310</v>
      </c>
    </row>
    <row r="147" spans="1:20" ht="53.25" customHeight="1" x14ac:dyDescent="0.25">
      <c r="P147" s="123"/>
    </row>
    <row r="148" spans="1:20" ht="18.75" thickBot="1" x14ac:dyDescent="0.3">
      <c r="A148" s="660" t="s">
        <v>128</v>
      </c>
      <c r="B148" s="661"/>
      <c r="C148" s="661"/>
      <c r="D148" s="661"/>
      <c r="E148" s="661"/>
      <c r="F148" s="661"/>
      <c r="G148" s="661"/>
      <c r="H148" s="661"/>
      <c r="I148" s="661"/>
      <c r="J148" s="661"/>
      <c r="K148" s="661"/>
      <c r="P148" s="123"/>
      <c r="Q148" s="123"/>
      <c r="R148" s="123"/>
    </row>
    <row r="149" spans="1:20" ht="15" customHeight="1" x14ac:dyDescent="0.25">
      <c r="A149" s="644" t="s">
        <v>1</v>
      </c>
      <c r="B149" s="645"/>
      <c r="C149" s="638" t="s">
        <v>323</v>
      </c>
      <c r="D149" s="638" t="s">
        <v>562</v>
      </c>
      <c r="E149" s="638" t="s">
        <v>563</v>
      </c>
      <c r="F149" s="638" t="s">
        <v>564</v>
      </c>
      <c r="G149" s="638" t="s">
        <v>565</v>
      </c>
      <c r="H149" s="638" t="s">
        <v>566</v>
      </c>
      <c r="I149" s="638" t="s">
        <v>567</v>
      </c>
      <c r="J149" s="638" t="s">
        <v>605</v>
      </c>
      <c r="K149" s="638" t="s">
        <v>599</v>
      </c>
      <c r="L149" s="640" t="s">
        <v>352</v>
      </c>
      <c r="O149" s="123"/>
      <c r="S149" s="123"/>
      <c r="T149" s="123"/>
    </row>
    <row r="150" spans="1:20" ht="15.75" thickBot="1" x14ac:dyDescent="0.3">
      <c r="A150" s="646"/>
      <c r="B150" s="647"/>
      <c r="C150" s="639"/>
      <c r="D150" s="639"/>
      <c r="E150" s="639"/>
      <c r="F150" s="639"/>
      <c r="G150" s="639"/>
      <c r="H150" s="639"/>
      <c r="I150" s="639"/>
      <c r="J150" s="639"/>
      <c r="K150" s="639"/>
      <c r="L150" s="641"/>
      <c r="M150" s="123"/>
      <c r="N150" s="123"/>
    </row>
    <row r="151" spans="1:20" ht="16.5" thickBot="1" x14ac:dyDescent="0.3">
      <c r="A151" s="648" t="s">
        <v>129</v>
      </c>
      <c r="B151" s="649"/>
      <c r="C151" s="328">
        <f t="shared" ref="C151:K151" si="98">SUM(C152:C157)</f>
        <v>620702</v>
      </c>
      <c r="D151" s="328">
        <f t="shared" si="98"/>
        <v>635220</v>
      </c>
      <c r="E151" s="328">
        <f t="shared" si="98"/>
        <v>635220</v>
      </c>
      <c r="F151" s="328">
        <f t="shared" si="98"/>
        <v>561520</v>
      </c>
      <c r="G151" s="328">
        <f t="shared" si="98"/>
        <v>519520</v>
      </c>
      <c r="H151" s="328">
        <f t="shared" si="98"/>
        <v>519520</v>
      </c>
      <c r="I151" s="328">
        <f t="shared" si="98"/>
        <v>519520</v>
      </c>
      <c r="J151" s="328">
        <f t="shared" ref="J151" si="99">SUM(J152:J157)</f>
        <v>519520</v>
      </c>
      <c r="K151" s="75">
        <f t="shared" si="98"/>
        <v>70218</v>
      </c>
      <c r="L151" s="466">
        <f>K151/J151</f>
        <v>0.13515937788728058</v>
      </c>
      <c r="M151" s="123">
        <f t="shared" ref="M151:S151" si="100">D151-C151</f>
        <v>14518</v>
      </c>
      <c r="N151" s="123">
        <f t="shared" si="100"/>
        <v>0</v>
      </c>
      <c r="O151" s="123">
        <f t="shared" si="100"/>
        <v>-73700</v>
      </c>
      <c r="P151" s="123">
        <f t="shared" si="100"/>
        <v>-42000</v>
      </c>
      <c r="Q151" s="123">
        <f t="shared" si="100"/>
        <v>0</v>
      </c>
      <c r="R151" s="123">
        <f t="shared" si="100"/>
        <v>0</v>
      </c>
      <c r="S151" s="123">
        <f t="shared" si="100"/>
        <v>0</v>
      </c>
    </row>
    <row r="152" spans="1:20" ht="15.75" thickBot="1" x14ac:dyDescent="0.3">
      <c r="A152" s="176">
        <v>233</v>
      </c>
      <c r="B152" s="56" t="s">
        <v>130</v>
      </c>
      <c r="C152" s="329">
        <v>1000</v>
      </c>
      <c r="D152" s="329">
        <v>1000</v>
      </c>
      <c r="E152" s="329">
        <v>1000</v>
      </c>
      <c r="F152" s="539">
        <f>1000+2000</f>
        <v>3000</v>
      </c>
      <c r="G152" s="334">
        <f>1000+2000</f>
        <v>3000</v>
      </c>
      <c r="H152" s="334">
        <f>1000+2000</f>
        <v>3000</v>
      </c>
      <c r="I152" s="334">
        <f>1000+2000</f>
        <v>3000</v>
      </c>
      <c r="J152" s="334">
        <f>1000+2000</f>
        <v>3000</v>
      </c>
      <c r="K152" s="329">
        <v>2696</v>
      </c>
      <c r="L152" s="466">
        <f t="shared" ref="L152:L182" si="101">K152/J152</f>
        <v>0.89866666666666661</v>
      </c>
    </row>
    <row r="153" spans="1:20" x14ac:dyDescent="0.25">
      <c r="A153" s="540">
        <v>322</v>
      </c>
      <c r="B153" s="541" t="s">
        <v>468</v>
      </c>
      <c r="C153" s="542">
        <v>0</v>
      </c>
      <c r="D153" s="542">
        <v>0</v>
      </c>
      <c r="E153" s="542">
        <v>0</v>
      </c>
      <c r="F153" s="543">
        <v>42000</v>
      </c>
      <c r="G153" s="543">
        <f>42000-42000</f>
        <v>0</v>
      </c>
      <c r="H153" s="569">
        <f>42000-42000</f>
        <v>0</v>
      </c>
      <c r="I153" s="569">
        <f>42000-42000</f>
        <v>0</v>
      </c>
      <c r="J153" s="569">
        <f>42000-42000</f>
        <v>0</v>
      </c>
      <c r="K153" s="542"/>
      <c r="L153" s="466">
        <v>0</v>
      </c>
    </row>
    <row r="154" spans="1:20" x14ac:dyDescent="0.25">
      <c r="A154" s="102">
        <v>322</v>
      </c>
      <c r="B154" s="25" t="s">
        <v>241</v>
      </c>
      <c r="C154" s="331">
        <v>183255</v>
      </c>
      <c r="D154" s="485">
        <f t="shared" ref="D154:H154" si="102">183255+18815</f>
        <v>202070</v>
      </c>
      <c r="E154" s="335">
        <f t="shared" si="102"/>
        <v>202070</v>
      </c>
      <c r="F154" s="335">
        <f t="shared" si="102"/>
        <v>202070</v>
      </c>
      <c r="G154" s="335">
        <f t="shared" si="102"/>
        <v>202070</v>
      </c>
      <c r="H154" s="335">
        <f t="shared" si="102"/>
        <v>202070</v>
      </c>
      <c r="I154" s="485">
        <f>183255+18815-93750</f>
        <v>108320</v>
      </c>
      <c r="J154" s="335">
        <f>183255+18815-93750</f>
        <v>108320</v>
      </c>
      <c r="K154" s="331">
        <v>0</v>
      </c>
      <c r="L154" s="466">
        <f t="shared" si="101"/>
        <v>0</v>
      </c>
      <c r="Q154" s="123"/>
      <c r="R154" s="123"/>
      <c r="S154" s="123"/>
      <c r="T154" s="123"/>
    </row>
    <row r="155" spans="1:20" x14ac:dyDescent="0.25">
      <c r="A155" s="175">
        <v>322</v>
      </c>
      <c r="B155" s="39" t="s">
        <v>240</v>
      </c>
      <c r="C155" s="330">
        <v>120047</v>
      </c>
      <c r="D155" s="487">
        <f>120047+2253</f>
        <v>122300</v>
      </c>
      <c r="E155" s="333">
        <f>120047+2253</f>
        <v>122300</v>
      </c>
      <c r="F155" s="487">
        <f>120047+2253-55000</f>
        <v>67300</v>
      </c>
      <c r="G155" s="333">
        <f>120047+2253-55000</f>
        <v>67300</v>
      </c>
      <c r="H155" s="333">
        <f>120047+2253-55000</f>
        <v>67300</v>
      </c>
      <c r="I155" s="487">
        <f>120047+2253-55000+30700</f>
        <v>98000</v>
      </c>
      <c r="J155" s="333">
        <f>120047+2253-55000+30700</f>
        <v>98000</v>
      </c>
      <c r="K155" s="333">
        <v>0</v>
      </c>
      <c r="L155" s="466">
        <f t="shared" si="101"/>
        <v>0</v>
      </c>
      <c r="O155" s="123"/>
      <c r="P155" s="123"/>
    </row>
    <row r="156" spans="1:20" x14ac:dyDescent="0.25">
      <c r="A156" s="102">
        <v>322</v>
      </c>
      <c r="B156" s="25" t="s">
        <v>160</v>
      </c>
      <c r="C156" s="331">
        <v>121400</v>
      </c>
      <c r="D156" s="485">
        <f>121400-6550</f>
        <v>114850</v>
      </c>
      <c r="E156" s="335">
        <f>121400-6550</f>
        <v>114850</v>
      </c>
      <c r="F156" s="485">
        <f>121400-6550-61200</f>
        <v>53650</v>
      </c>
      <c r="G156" s="335">
        <f>121400-6550-61200</f>
        <v>53650</v>
      </c>
      <c r="H156" s="335">
        <f>121400-6550-61200</f>
        <v>53650</v>
      </c>
      <c r="I156" s="485">
        <f>121400-6550-61200+63050</f>
        <v>116700</v>
      </c>
      <c r="J156" s="335">
        <f>121400-6550-61200+63050</f>
        <v>116700</v>
      </c>
      <c r="K156" s="331">
        <v>67522</v>
      </c>
      <c r="L156" s="466">
        <f t="shared" si="101"/>
        <v>0.57859468723221941</v>
      </c>
    </row>
    <row r="157" spans="1:20" ht="15.75" thickBot="1" x14ac:dyDescent="0.3">
      <c r="A157" s="102">
        <v>322</v>
      </c>
      <c r="B157" s="25" t="s">
        <v>162</v>
      </c>
      <c r="C157" s="331">
        <v>195000</v>
      </c>
      <c r="D157" s="331">
        <v>195000</v>
      </c>
      <c r="E157" s="331">
        <v>195000</v>
      </c>
      <c r="F157" s="485">
        <f>195000-1500</f>
        <v>193500</v>
      </c>
      <c r="G157" s="335">
        <f>195000-1500</f>
        <v>193500</v>
      </c>
      <c r="H157" s="335">
        <f>195000-1500</f>
        <v>193500</v>
      </c>
      <c r="I157" s="335">
        <f>195000-1500</f>
        <v>193500</v>
      </c>
      <c r="J157" s="335">
        <f>195000-1500</f>
        <v>193500</v>
      </c>
      <c r="K157" s="331">
        <v>0</v>
      </c>
      <c r="L157" s="466">
        <f t="shared" si="101"/>
        <v>0</v>
      </c>
      <c r="M157" s="123">
        <f t="shared" ref="M157:S157" si="103">SUM(C153:C157)</f>
        <v>619702</v>
      </c>
      <c r="N157" s="123">
        <f t="shared" si="103"/>
        <v>634220</v>
      </c>
      <c r="O157" s="123">
        <f t="shared" si="103"/>
        <v>634220</v>
      </c>
      <c r="P157" s="123">
        <f t="shared" si="103"/>
        <v>558520</v>
      </c>
      <c r="Q157" s="123">
        <f t="shared" si="103"/>
        <v>516520</v>
      </c>
      <c r="R157" s="123">
        <f t="shared" si="103"/>
        <v>516520</v>
      </c>
      <c r="S157" s="123">
        <f t="shared" si="103"/>
        <v>516520</v>
      </c>
    </row>
    <row r="158" spans="1:20" ht="16.5" thickBot="1" x14ac:dyDescent="0.3">
      <c r="A158" s="648" t="s">
        <v>131</v>
      </c>
      <c r="B158" s="649"/>
      <c r="C158" s="328">
        <f t="shared" ref="C158:K158" si="104">SUM(C159:C182)</f>
        <v>1020702</v>
      </c>
      <c r="D158" s="328">
        <f t="shared" si="104"/>
        <v>1035220</v>
      </c>
      <c r="E158" s="328">
        <f t="shared" si="104"/>
        <v>1035220</v>
      </c>
      <c r="F158" s="328">
        <f t="shared" si="104"/>
        <v>1086320</v>
      </c>
      <c r="G158" s="328">
        <f t="shared" si="104"/>
        <v>1044320</v>
      </c>
      <c r="H158" s="328">
        <f t="shared" si="104"/>
        <v>1044320</v>
      </c>
      <c r="I158" s="328">
        <f t="shared" si="104"/>
        <v>1044320</v>
      </c>
      <c r="J158" s="328">
        <f t="shared" ref="J158" si="105">SUM(J159:J182)</f>
        <v>1044320</v>
      </c>
      <c r="K158" s="328">
        <f t="shared" si="104"/>
        <v>147527</v>
      </c>
      <c r="L158" s="466">
        <f t="shared" si="101"/>
        <v>0.14126608702313467</v>
      </c>
      <c r="M158" s="123">
        <f t="shared" ref="M158:S158" si="106">D158-C158</f>
        <v>14518</v>
      </c>
      <c r="N158" s="123">
        <f t="shared" si="106"/>
        <v>0</v>
      </c>
      <c r="O158" s="123">
        <f t="shared" si="106"/>
        <v>51100</v>
      </c>
      <c r="P158" s="123">
        <f t="shared" si="106"/>
        <v>-42000</v>
      </c>
      <c r="Q158" s="123">
        <f t="shared" si="106"/>
        <v>0</v>
      </c>
      <c r="R158" s="123">
        <f t="shared" si="106"/>
        <v>0</v>
      </c>
      <c r="S158" s="123">
        <f t="shared" si="106"/>
        <v>0</v>
      </c>
    </row>
    <row r="159" spans="1:20" x14ac:dyDescent="0.25">
      <c r="A159" s="210" t="s">
        <v>50</v>
      </c>
      <c r="B159" s="211" t="s">
        <v>158</v>
      </c>
      <c r="C159" s="303">
        <v>127047</v>
      </c>
      <c r="D159" s="486">
        <f t="shared" ref="D159:H159" si="107">127047+2403</f>
        <v>129450</v>
      </c>
      <c r="E159" s="303">
        <f t="shared" si="107"/>
        <v>129450</v>
      </c>
      <c r="F159" s="303">
        <f t="shared" si="107"/>
        <v>129450</v>
      </c>
      <c r="G159" s="303">
        <f t="shared" si="107"/>
        <v>129450</v>
      </c>
      <c r="H159" s="303">
        <f t="shared" si="107"/>
        <v>129450</v>
      </c>
      <c r="I159" s="486">
        <f>127047+2403+6000</f>
        <v>135450</v>
      </c>
      <c r="J159" s="303">
        <f>127047+2403+6000</f>
        <v>135450</v>
      </c>
      <c r="K159" s="303">
        <v>0</v>
      </c>
      <c r="L159" s="466">
        <f t="shared" si="101"/>
        <v>0</v>
      </c>
      <c r="O159" s="123"/>
      <c r="P159" s="123"/>
      <c r="Q159" s="123"/>
      <c r="R159" s="123"/>
      <c r="S159" s="123"/>
    </row>
    <row r="160" spans="1:20" x14ac:dyDescent="0.25">
      <c r="A160" s="174" t="s">
        <v>50</v>
      </c>
      <c r="B160" s="152" t="s">
        <v>404</v>
      </c>
      <c r="C160" s="230">
        <v>15000</v>
      </c>
      <c r="D160" s="230">
        <v>15000</v>
      </c>
      <c r="E160" s="488">
        <f>15000+29000</f>
        <v>44000</v>
      </c>
      <c r="F160" s="488">
        <f>15000+29000-6500</f>
        <v>37500</v>
      </c>
      <c r="G160" s="230">
        <f>15000+29000-6500</f>
        <v>37500</v>
      </c>
      <c r="H160" s="230">
        <f>15000+29000-6500</f>
        <v>37500</v>
      </c>
      <c r="I160" s="488">
        <f>15000+29000-6500-12500</f>
        <v>25000</v>
      </c>
      <c r="J160" s="230">
        <f>15000+29000-6500-12500</f>
        <v>25000</v>
      </c>
      <c r="K160" s="230">
        <v>0</v>
      </c>
      <c r="L160" s="466">
        <f t="shared" si="101"/>
        <v>0</v>
      </c>
      <c r="P160" s="123"/>
      <c r="Q160" s="123"/>
      <c r="R160" s="123"/>
      <c r="S160" s="123"/>
      <c r="T160" s="123"/>
    </row>
    <row r="161" spans="1:24" ht="15.75" thickBot="1" x14ac:dyDescent="0.3">
      <c r="A161" s="358" t="s">
        <v>50</v>
      </c>
      <c r="B161" s="108" t="s">
        <v>253</v>
      </c>
      <c r="C161" s="228">
        <v>10000</v>
      </c>
      <c r="D161" s="484">
        <f>10000+27600</f>
        <v>37600</v>
      </c>
      <c r="E161" s="484">
        <f t="shared" ref="E161:J161" si="108">10000+27600-11160</f>
        <v>26440</v>
      </c>
      <c r="F161" s="228">
        <f t="shared" si="108"/>
        <v>26440</v>
      </c>
      <c r="G161" s="228">
        <f t="shared" si="108"/>
        <v>26440</v>
      </c>
      <c r="H161" s="228">
        <f t="shared" si="108"/>
        <v>26440</v>
      </c>
      <c r="I161" s="228">
        <f t="shared" si="108"/>
        <v>26440</v>
      </c>
      <c r="J161" s="228">
        <f t="shared" si="108"/>
        <v>26440</v>
      </c>
      <c r="K161" s="228">
        <v>26434</v>
      </c>
      <c r="L161" s="466">
        <f t="shared" si="101"/>
        <v>0.99977307110438729</v>
      </c>
      <c r="M161" s="123">
        <f t="shared" ref="M161:S161" si="109">SUM(C159:C161)</f>
        <v>152047</v>
      </c>
      <c r="N161" s="123">
        <f t="shared" si="109"/>
        <v>182050</v>
      </c>
      <c r="O161" s="123">
        <f t="shared" si="109"/>
        <v>199890</v>
      </c>
      <c r="P161" s="123">
        <f t="shared" si="109"/>
        <v>193390</v>
      </c>
      <c r="Q161" s="123">
        <f t="shared" si="109"/>
        <v>193390</v>
      </c>
      <c r="R161" s="123">
        <f t="shared" si="109"/>
        <v>193390</v>
      </c>
      <c r="S161" s="123">
        <f t="shared" si="109"/>
        <v>186890</v>
      </c>
    </row>
    <row r="162" spans="1:24" x14ac:dyDescent="0.25">
      <c r="A162" s="210" t="s">
        <v>62</v>
      </c>
      <c r="B162" s="211" t="s">
        <v>254</v>
      </c>
      <c r="C162" s="303">
        <v>10000</v>
      </c>
      <c r="D162" s="486">
        <f t="shared" ref="D162:J162" si="110">10000+20000</f>
        <v>30000</v>
      </c>
      <c r="E162" s="303">
        <f t="shared" si="110"/>
        <v>30000</v>
      </c>
      <c r="F162" s="303">
        <f t="shared" si="110"/>
        <v>30000</v>
      </c>
      <c r="G162" s="303">
        <f t="shared" si="110"/>
        <v>30000</v>
      </c>
      <c r="H162" s="303">
        <f t="shared" si="110"/>
        <v>30000</v>
      </c>
      <c r="I162" s="303">
        <f t="shared" si="110"/>
        <v>30000</v>
      </c>
      <c r="J162" s="303">
        <f t="shared" si="110"/>
        <v>30000</v>
      </c>
      <c r="K162" s="303">
        <v>0</v>
      </c>
      <c r="L162" s="466">
        <f t="shared" si="101"/>
        <v>0</v>
      </c>
      <c r="P162" s="123"/>
      <c r="S162" s="123"/>
      <c r="T162" s="123"/>
      <c r="U162" s="123"/>
    </row>
    <row r="163" spans="1:24" ht="15.75" thickBot="1" x14ac:dyDescent="0.3">
      <c r="A163" s="357" t="s">
        <v>64</v>
      </c>
      <c r="B163" s="130" t="s">
        <v>465</v>
      </c>
      <c r="C163" s="231">
        <v>0</v>
      </c>
      <c r="D163" s="231">
        <v>0</v>
      </c>
      <c r="E163" s="231">
        <v>0</v>
      </c>
      <c r="F163" s="489">
        <v>45000</v>
      </c>
      <c r="G163" s="489">
        <f>45000-45000</f>
        <v>0</v>
      </c>
      <c r="H163" s="231">
        <f>45000-45000</f>
        <v>0</v>
      </c>
      <c r="I163" s="231">
        <f>45000-45000</f>
        <v>0</v>
      </c>
      <c r="J163" s="231">
        <f>45000-45000</f>
        <v>0</v>
      </c>
      <c r="K163" s="231">
        <v>0</v>
      </c>
      <c r="L163" s="466">
        <v>0</v>
      </c>
      <c r="P163" s="123"/>
    </row>
    <row r="164" spans="1:24" x14ac:dyDescent="0.25">
      <c r="A164" s="129" t="s">
        <v>69</v>
      </c>
      <c r="B164" s="76" t="s">
        <v>186</v>
      </c>
      <c r="C164" s="229">
        <v>6870</v>
      </c>
      <c r="D164" s="229">
        <v>6870</v>
      </c>
      <c r="E164" s="229">
        <v>6870</v>
      </c>
      <c r="F164" s="229">
        <v>6870</v>
      </c>
      <c r="G164" s="229">
        <v>6870</v>
      </c>
      <c r="H164" s="229">
        <v>6870</v>
      </c>
      <c r="I164" s="229">
        <v>6870</v>
      </c>
      <c r="J164" s="229">
        <v>6870</v>
      </c>
      <c r="K164" s="229">
        <v>0</v>
      </c>
      <c r="L164" s="466">
        <f t="shared" si="101"/>
        <v>0</v>
      </c>
    </row>
    <row r="165" spans="1:24" ht="15.75" thickBot="1" x14ac:dyDescent="0.3">
      <c r="A165" s="358" t="s">
        <v>71</v>
      </c>
      <c r="B165" s="108" t="s">
        <v>255</v>
      </c>
      <c r="C165" s="228">
        <v>30000</v>
      </c>
      <c r="D165" s="484">
        <f t="shared" ref="D165:J165" si="111">30000-25000</f>
        <v>5000</v>
      </c>
      <c r="E165" s="228">
        <f t="shared" si="111"/>
        <v>5000</v>
      </c>
      <c r="F165" s="228">
        <f t="shared" si="111"/>
        <v>5000</v>
      </c>
      <c r="G165" s="228">
        <f t="shared" si="111"/>
        <v>5000</v>
      </c>
      <c r="H165" s="228">
        <f t="shared" si="111"/>
        <v>5000</v>
      </c>
      <c r="I165" s="228">
        <f t="shared" si="111"/>
        <v>5000</v>
      </c>
      <c r="J165" s="228">
        <f t="shared" si="111"/>
        <v>5000</v>
      </c>
      <c r="K165" s="228">
        <v>0</v>
      </c>
      <c r="L165" s="466">
        <f t="shared" si="101"/>
        <v>0</v>
      </c>
      <c r="M165" s="123"/>
      <c r="N165" s="123"/>
      <c r="P165" s="123"/>
    </row>
    <row r="166" spans="1:24" x14ac:dyDescent="0.25">
      <c r="A166" s="174" t="s">
        <v>77</v>
      </c>
      <c r="B166" s="133" t="s">
        <v>164</v>
      </c>
      <c r="C166" s="230">
        <v>206000</v>
      </c>
      <c r="D166" s="230">
        <v>206000</v>
      </c>
      <c r="E166" s="230">
        <v>206000</v>
      </c>
      <c r="F166" s="488">
        <f>206000-2300</f>
        <v>203700</v>
      </c>
      <c r="G166" s="230">
        <f>206000-2300</f>
        <v>203700</v>
      </c>
      <c r="H166" s="230">
        <f>206000-2300</f>
        <v>203700</v>
      </c>
      <c r="I166" s="488">
        <f>206000-2300+1500</f>
        <v>205200</v>
      </c>
      <c r="J166" s="488">
        <f>206000-2300+1500+10000</f>
        <v>215200</v>
      </c>
      <c r="K166" s="230">
        <v>0</v>
      </c>
      <c r="L166" s="466">
        <f t="shared" si="101"/>
        <v>0</v>
      </c>
      <c r="M166" s="123"/>
      <c r="N166" s="123"/>
      <c r="P166" s="123"/>
    </row>
    <row r="167" spans="1:24" ht="15.75" thickBot="1" x14ac:dyDescent="0.3">
      <c r="A167" s="173" t="s">
        <v>81</v>
      </c>
      <c r="B167" s="134" t="s">
        <v>195</v>
      </c>
      <c r="C167" s="231">
        <v>10000</v>
      </c>
      <c r="D167" s="231">
        <v>10000</v>
      </c>
      <c r="E167" s="231">
        <v>10000</v>
      </c>
      <c r="F167" s="231">
        <v>10000</v>
      </c>
      <c r="G167" s="231">
        <v>10000</v>
      </c>
      <c r="H167" s="231">
        <v>10000</v>
      </c>
      <c r="I167" s="231">
        <v>10000</v>
      </c>
      <c r="J167" s="231">
        <v>10000</v>
      </c>
      <c r="K167" s="231">
        <v>0</v>
      </c>
      <c r="L167" s="466">
        <f t="shared" si="101"/>
        <v>0</v>
      </c>
      <c r="P167" s="123"/>
      <c r="R167" s="123"/>
      <c r="W167" s="123"/>
      <c r="X167" s="123"/>
    </row>
    <row r="168" spans="1:24" x14ac:dyDescent="0.25">
      <c r="A168" s="146" t="s">
        <v>132</v>
      </c>
      <c r="B168" s="147" t="s">
        <v>159</v>
      </c>
      <c r="C168" s="232">
        <v>6000</v>
      </c>
      <c r="D168" s="232">
        <v>6000</v>
      </c>
      <c r="E168" s="232">
        <v>6000</v>
      </c>
      <c r="F168" s="232">
        <v>6000</v>
      </c>
      <c r="G168" s="232">
        <v>6000</v>
      </c>
      <c r="H168" s="232">
        <v>6000</v>
      </c>
      <c r="I168" s="232">
        <f>6000</f>
        <v>6000</v>
      </c>
      <c r="J168" s="232">
        <f>6000</f>
        <v>6000</v>
      </c>
      <c r="K168" s="232">
        <v>0</v>
      </c>
      <c r="L168" s="466">
        <f t="shared" si="101"/>
        <v>0</v>
      </c>
      <c r="P168" s="123"/>
      <c r="Q168" s="123"/>
      <c r="S168" s="123"/>
    </row>
    <row r="169" spans="1:24" ht="15.75" customHeight="1" x14ac:dyDescent="0.25">
      <c r="A169" s="188" t="s">
        <v>132</v>
      </c>
      <c r="B169" s="133" t="s">
        <v>215</v>
      </c>
      <c r="C169" s="230">
        <v>75730</v>
      </c>
      <c r="D169" s="488">
        <f>75730-9060</f>
        <v>66670</v>
      </c>
      <c r="E169" s="230">
        <f>75730-9060-17840</f>
        <v>48830</v>
      </c>
      <c r="F169" s="488">
        <f>75730-9060-17840+9800</f>
        <v>58630</v>
      </c>
      <c r="G169" s="488">
        <f>75730-9060-17840+9800+3000</f>
        <v>61630</v>
      </c>
      <c r="H169" s="230">
        <f>75730-9060-17840+9800+3000</f>
        <v>61630</v>
      </c>
      <c r="I169" s="488">
        <f>75730-9060-17840+9800+3000-2270</f>
        <v>59360</v>
      </c>
      <c r="J169" s="230">
        <f>75730-9060-17840+9800+3000-2270</f>
        <v>59360</v>
      </c>
      <c r="K169" s="230">
        <v>5637</v>
      </c>
      <c r="L169" s="466">
        <f t="shared" si="101"/>
        <v>9.4962938005390837E-2</v>
      </c>
      <c r="M169" s="123"/>
      <c r="P169" s="123"/>
    </row>
    <row r="170" spans="1:24" ht="15.75" customHeight="1" x14ac:dyDescent="0.25">
      <c r="A170" s="188" t="s">
        <v>83</v>
      </c>
      <c r="B170" s="133" t="s">
        <v>219</v>
      </c>
      <c r="C170" s="230">
        <v>2000</v>
      </c>
      <c r="D170" s="230">
        <v>2000</v>
      </c>
      <c r="E170" s="230">
        <v>2000</v>
      </c>
      <c r="F170" s="230">
        <v>2000</v>
      </c>
      <c r="G170" s="230">
        <v>2000</v>
      </c>
      <c r="H170" s="230">
        <v>2000</v>
      </c>
      <c r="I170" s="230">
        <v>2000</v>
      </c>
      <c r="J170" s="230">
        <v>2000</v>
      </c>
      <c r="K170" s="230">
        <v>0</v>
      </c>
      <c r="L170" s="466">
        <f t="shared" si="101"/>
        <v>0</v>
      </c>
      <c r="M170" s="123"/>
    </row>
    <row r="171" spans="1:24" x14ac:dyDescent="0.25">
      <c r="A171" s="188" t="s">
        <v>83</v>
      </c>
      <c r="B171" s="133" t="s">
        <v>256</v>
      </c>
      <c r="C171" s="230">
        <v>10000</v>
      </c>
      <c r="D171" s="230">
        <v>10000</v>
      </c>
      <c r="E171" s="230">
        <v>10000</v>
      </c>
      <c r="F171" s="230">
        <v>10000</v>
      </c>
      <c r="G171" s="230">
        <v>10000</v>
      </c>
      <c r="H171" s="230">
        <v>10000</v>
      </c>
      <c r="I171" s="230">
        <v>10000</v>
      </c>
      <c r="J171" s="230">
        <v>10000</v>
      </c>
      <c r="K171" s="230">
        <v>0</v>
      </c>
      <c r="L171" s="466">
        <f t="shared" si="101"/>
        <v>0</v>
      </c>
      <c r="M171" s="123"/>
    </row>
    <row r="172" spans="1:24" ht="15" customHeight="1" x14ac:dyDescent="0.25">
      <c r="A172" s="188" t="s">
        <v>83</v>
      </c>
      <c r="B172" s="133" t="s">
        <v>221</v>
      </c>
      <c r="C172" s="230">
        <v>47000</v>
      </c>
      <c r="D172" s="488">
        <f>47000-12270</f>
        <v>34730</v>
      </c>
      <c r="E172" s="230">
        <f>47000-12270</f>
        <v>34730</v>
      </c>
      <c r="F172" s="488">
        <f>47000-12270+1800</f>
        <v>36530</v>
      </c>
      <c r="G172" s="230">
        <f>47000-12270+1800</f>
        <v>36530</v>
      </c>
      <c r="H172" s="230">
        <f>47000-12270+1800</f>
        <v>36530</v>
      </c>
      <c r="I172" s="230">
        <f>47000-12270+1800</f>
        <v>36530</v>
      </c>
      <c r="J172" s="230">
        <f>47000-12270+1800</f>
        <v>36530</v>
      </c>
      <c r="K172" s="230">
        <v>36425</v>
      </c>
      <c r="L172" s="466">
        <f t="shared" si="101"/>
        <v>0.9971256501505612</v>
      </c>
      <c r="M172" s="123"/>
      <c r="N172" s="123"/>
    </row>
    <row r="173" spans="1:24" ht="16.5" customHeight="1" thickBot="1" x14ac:dyDescent="0.3">
      <c r="A173" s="145" t="s">
        <v>85</v>
      </c>
      <c r="B173" s="131" t="s">
        <v>194</v>
      </c>
      <c r="C173" s="228">
        <v>10000</v>
      </c>
      <c r="D173" s="228">
        <v>10000</v>
      </c>
      <c r="E173" s="228">
        <v>10000</v>
      </c>
      <c r="F173" s="228">
        <v>10000</v>
      </c>
      <c r="G173" s="228">
        <v>10000</v>
      </c>
      <c r="H173" s="228">
        <v>10000</v>
      </c>
      <c r="I173" s="484">
        <f>10000+2500</f>
        <v>12500</v>
      </c>
      <c r="J173" s="228">
        <f>10000+2500</f>
        <v>12500</v>
      </c>
      <c r="K173" s="228">
        <v>0</v>
      </c>
      <c r="L173" s="466">
        <f t="shared" si="101"/>
        <v>0</v>
      </c>
      <c r="R173" s="123"/>
      <c r="W173" s="123"/>
      <c r="X173" s="123"/>
    </row>
    <row r="174" spans="1:24" x14ac:dyDescent="0.25">
      <c r="A174" s="149" t="s">
        <v>97</v>
      </c>
      <c r="B174" s="106" t="s">
        <v>171</v>
      </c>
      <c r="C174" s="229">
        <v>31000</v>
      </c>
      <c r="D174" s="229">
        <v>31000</v>
      </c>
      <c r="E174" s="229">
        <v>31000</v>
      </c>
      <c r="F174" s="229">
        <v>31000</v>
      </c>
      <c r="G174" s="229">
        <v>31000</v>
      </c>
      <c r="H174" s="229">
        <v>31000</v>
      </c>
      <c r="I174" s="229">
        <v>31000</v>
      </c>
      <c r="J174" s="229">
        <v>31000</v>
      </c>
      <c r="K174" s="229">
        <v>0</v>
      </c>
      <c r="L174" s="466">
        <f t="shared" si="101"/>
        <v>0</v>
      </c>
      <c r="R174" s="123"/>
      <c r="S174" s="123"/>
      <c r="T174" s="123"/>
      <c r="U174" s="123"/>
      <c r="V174" s="123"/>
      <c r="W174" s="123"/>
      <c r="X174" s="123"/>
    </row>
    <row r="175" spans="1:24" x14ac:dyDescent="0.25">
      <c r="A175" s="148" t="s">
        <v>97</v>
      </c>
      <c r="B175" s="105" t="s">
        <v>193</v>
      </c>
      <c r="C175" s="233">
        <v>20000</v>
      </c>
      <c r="D175" s="233">
        <v>20000</v>
      </c>
      <c r="E175" s="233">
        <v>20000</v>
      </c>
      <c r="F175" s="233">
        <v>20000</v>
      </c>
      <c r="G175" s="233">
        <v>20000</v>
      </c>
      <c r="H175" s="233">
        <v>20000</v>
      </c>
      <c r="I175" s="233">
        <v>20000</v>
      </c>
      <c r="J175" s="233">
        <v>20000</v>
      </c>
      <c r="K175" s="233">
        <v>0</v>
      </c>
      <c r="L175" s="466">
        <f t="shared" si="101"/>
        <v>0</v>
      </c>
      <c r="P175" s="123"/>
      <c r="Q175" s="123"/>
    </row>
    <row r="176" spans="1:24" x14ac:dyDescent="0.25">
      <c r="A176" s="148" t="s">
        <v>97</v>
      </c>
      <c r="B176" s="105" t="s">
        <v>507</v>
      </c>
      <c r="C176" s="233">
        <v>0</v>
      </c>
      <c r="D176" s="233">
        <v>0</v>
      </c>
      <c r="E176" s="233">
        <v>0</v>
      </c>
      <c r="F176" s="554">
        <v>3300</v>
      </c>
      <c r="G176" s="233">
        <v>3300</v>
      </c>
      <c r="H176" s="233">
        <v>3300</v>
      </c>
      <c r="I176" s="233">
        <v>3300</v>
      </c>
      <c r="J176" s="233">
        <v>3300</v>
      </c>
      <c r="K176" s="233">
        <v>3300</v>
      </c>
      <c r="L176" s="466">
        <f t="shared" si="101"/>
        <v>1</v>
      </c>
      <c r="P176" s="123"/>
    </row>
    <row r="177" spans="1:24" x14ac:dyDescent="0.25">
      <c r="A177" s="151" t="s">
        <v>102</v>
      </c>
      <c r="B177" s="152" t="s">
        <v>373</v>
      </c>
      <c r="C177" s="230">
        <v>45000</v>
      </c>
      <c r="D177" s="230">
        <v>45000</v>
      </c>
      <c r="E177" s="230">
        <v>45000</v>
      </c>
      <c r="F177" s="230">
        <v>45000</v>
      </c>
      <c r="G177" s="230">
        <v>45000</v>
      </c>
      <c r="H177" s="230">
        <v>45000</v>
      </c>
      <c r="I177" s="230">
        <v>45000</v>
      </c>
      <c r="J177" s="230">
        <v>45000</v>
      </c>
      <c r="K177" s="230">
        <v>0</v>
      </c>
      <c r="L177" s="466">
        <f t="shared" si="101"/>
        <v>0</v>
      </c>
      <c r="M177" s="123"/>
      <c r="N177" s="123"/>
    </row>
    <row r="178" spans="1:24" ht="15.75" thickBot="1" x14ac:dyDescent="0.3">
      <c r="A178" s="153" t="s">
        <v>102</v>
      </c>
      <c r="B178" s="130" t="s">
        <v>342</v>
      </c>
      <c r="C178" s="231">
        <v>35000</v>
      </c>
      <c r="D178" s="231">
        <v>35000</v>
      </c>
      <c r="E178" s="231">
        <v>35000</v>
      </c>
      <c r="F178" s="231">
        <v>35000</v>
      </c>
      <c r="G178" s="231">
        <v>35000</v>
      </c>
      <c r="H178" s="231">
        <v>35000</v>
      </c>
      <c r="I178" s="231">
        <v>35000</v>
      </c>
      <c r="J178" s="231">
        <v>35000</v>
      </c>
      <c r="K178" s="231">
        <v>0</v>
      </c>
      <c r="L178" s="466">
        <f t="shared" si="101"/>
        <v>0</v>
      </c>
    </row>
    <row r="179" spans="1:24" ht="15.75" thickBot="1" x14ac:dyDescent="0.3">
      <c r="A179" s="213" t="s">
        <v>106</v>
      </c>
      <c r="B179" s="211" t="s">
        <v>165</v>
      </c>
      <c r="C179" s="303">
        <v>127800</v>
      </c>
      <c r="D179" s="486">
        <f t="shared" ref="D179:H179" si="112">127800-800</f>
        <v>127000</v>
      </c>
      <c r="E179" s="303">
        <f t="shared" si="112"/>
        <v>127000</v>
      </c>
      <c r="F179" s="303">
        <f t="shared" si="112"/>
        <v>127000</v>
      </c>
      <c r="G179" s="303">
        <f t="shared" si="112"/>
        <v>127000</v>
      </c>
      <c r="H179" s="303">
        <f t="shared" si="112"/>
        <v>127000</v>
      </c>
      <c r="I179" s="486">
        <f>127800-800-1800</f>
        <v>125200</v>
      </c>
      <c r="J179" s="303">
        <f>127800-800-1800</f>
        <v>125200</v>
      </c>
      <c r="K179" s="303">
        <v>73343</v>
      </c>
      <c r="L179" s="466">
        <f t="shared" si="101"/>
        <v>0.58580670926517575</v>
      </c>
    </row>
    <row r="180" spans="1:24" x14ac:dyDescent="0.25">
      <c r="A180" s="213" t="s">
        <v>445</v>
      </c>
      <c r="B180" s="211" t="s">
        <v>590</v>
      </c>
      <c r="C180" s="303">
        <v>0</v>
      </c>
      <c r="D180" s="303">
        <v>0</v>
      </c>
      <c r="E180" s="303">
        <v>0</v>
      </c>
      <c r="F180" s="303">
        <v>0</v>
      </c>
      <c r="G180" s="303">
        <v>0</v>
      </c>
      <c r="H180" s="303">
        <v>0</v>
      </c>
      <c r="I180" s="486">
        <v>10000</v>
      </c>
      <c r="J180" s="303">
        <v>10000</v>
      </c>
      <c r="K180" s="303">
        <v>0</v>
      </c>
      <c r="L180" s="466">
        <f t="shared" si="101"/>
        <v>0</v>
      </c>
    </row>
    <row r="181" spans="1:24" ht="15" customHeight="1" thickBot="1" x14ac:dyDescent="0.3">
      <c r="A181" s="153" t="s">
        <v>115</v>
      </c>
      <c r="B181" s="130" t="s">
        <v>246</v>
      </c>
      <c r="C181" s="231">
        <v>3000</v>
      </c>
      <c r="D181" s="489">
        <f t="shared" ref="D181:H181" si="113">3000+600</f>
        <v>3600</v>
      </c>
      <c r="E181" s="231">
        <f t="shared" si="113"/>
        <v>3600</v>
      </c>
      <c r="F181" s="231">
        <f t="shared" si="113"/>
        <v>3600</v>
      </c>
      <c r="G181" s="231">
        <f t="shared" si="113"/>
        <v>3600</v>
      </c>
      <c r="H181" s="231">
        <f t="shared" si="113"/>
        <v>3600</v>
      </c>
      <c r="I181" s="489">
        <f>3000+600-1200</f>
        <v>2400</v>
      </c>
      <c r="J181" s="231">
        <f>3000+600-1200</f>
        <v>2400</v>
      </c>
      <c r="K181" s="231">
        <v>2388</v>
      </c>
      <c r="L181" s="466">
        <f t="shared" si="101"/>
        <v>0.995</v>
      </c>
      <c r="M181" s="123"/>
      <c r="N181" s="123"/>
      <c r="R181" s="123"/>
      <c r="S181" s="123"/>
    </row>
    <row r="182" spans="1:24" ht="15.75" thickBot="1" x14ac:dyDescent="0.3">
      <c r="A182" s="356" t="s">
        <v>248</v>
      </c>
      <c r="B182" s="108" t="s">
        <v>247</v>
      </c>
      <c r="C182" s="228">
        <v>193255</v>
      </c>
      <c r="D182" s="484">
        <f t="shared" ref="D182:H182" si="114">193255+11045</f>
        <v>204300</v>
      </c>
      <c r="E182" s="228">
        <f t="shared" si="114"/>
        <v>204300</v>
      </c>
      <c r="F182" s="228">
        <f t="shared" si="114"/>
        <v>204300</v>
      </c>
      <c r="G182" s="228">
        <f t="shared" si="114"/>
        <v>204300</v>
      </c>
      <c r="H182" s="228">
        <f t="shared" si="114"/>
        <v>204300</v>
      </c>
      <c r="I182" s="484">
        <f>193255+11045-2230</f>
        <v>202070</v>
      </c>
      <c r="J182" s="484">
        <f>193255+11045-2230-10000</f>
        <v>192070</v>
      </c>
      <c r="K182" s="228">
        <v>0</v>
      </c>
      <c r="L182" s="466">
        <f t="shared" si="101"/>
        <v>0</v>
      </c>
      <c r="Q182" s="123"/>
      <c r="R182" s="123"/>
    </row>
    <row r="183" spans="1:24" ht="15" customHeight="1" x14ac:dyDescent="0.25">
      <c r="A183" s="155"/>
      <c r="B183" s="156"/>
      <c r="C183" s="79"/>
      <c r="D183" s="79"/>
      <c r="E183" s="79"/>
      <c r="F183" s="79"/>
      <c r="G183" s="79"/>
      <c r="H183" s="79"/>
      <c r="I183" s="79"/>
      <c r="J183" s="79"/>
      <c r="K183" s="79"/>
      <c r="L183" s="81"/>
      <c r="P183" s="123"/>
      <c r="Q183" s="123"/>
      <c r="R183" s="123"/>
      <c r="W183" s="123"/>
      <c r="X183" s="123"/>
    </row>
    <row r="184" spans="1:24" x14ac:dyDescent="0.25">
      <c r="A184" s="154"/>
      <c r="B184" s="80"/>
      <c r="C184" s="81"/>
      <c r="D184" s="81"/>
      <c r="E184" s="81"/>
      <c r="F184" s="81"/>
      <c r="G184" s="81"/>
      <c r="H184" s="81"/>
      <c r="I184" s="81"/>
      <c r="J184" s="81"/>
      <c r="K184" s="81"/>
      <c r="O184" s="123"/>
      <c r="P184" s="123"/>
      <c r="S184" s="123"/>
      <c r="T184" s="123"/>
      <c r="U184" s="123"/>
      <c r="V184" s="123"/>
    </row>
    <row r="185" spans="1:24" ht="18.75" thickBot="1" x14ac:dyDescent="0.3">
      <c r="A185" s="650" t="s">
        <v>133</v>
      </c>
      <c r="B185" s="651"/>
      <c r="C185" s="651"/>
      <c r="D185" s="651"/>
      <c r="E185" s="651"/>
      <c r="F185" s="651"/>
      <c r="G185" s="651"/>
      <c r="H185" s="651"/>
      <c r="I185" s="651"/>
      <c r="J185" s="651"/>
      <c r="K185" s="651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ht="15.75" customHeight="1" x14ac:dyDescent="0.25">
      <c r="A186" s="644" t="s">
        <v>1</v>
      </c>
      <c r="B186" s="645"/>
      <c r="C186" s="638" t="s">
        <v>323</v>
      </c>
      <c r="D186" s="638" t="s">
        <v>562</v>
      </c>
      <c r="E186" s="638" t="s">
        <v>563</v>
      </c>
      <c r="F186" s="638" t="s">
        <v>564</v>
      </c>
      <c r="G186" s="638" t="s">
        <v>565</v>
      </c>
      <c r="H186" s="638" t="s">
        <v>566</v>
      </c>
      <c r="I186" s="638" t="s">
        <v>567</v>
      </c>
      <c r="J186" s="638" t="s">
        <v>605</v>
      </c>
      <c r="K186" s="638" t="s">
        <v>599</v>
      </c>
      <c r="L186" s="640" t="s">
        <v>352</v>
      </c>
      <c r="P186" s="123"/>
      <c r="Q186" s="123"/>
      <c r="R186" s="123"/>
    </row>
    <row r="187" spans="1:24" ht="15" customHeight="1" thickBot="1" x14ac:dyDescent="0.3">
      <c r="A187" s="646"/>
      <c r="B187" s="647"/>
      <c r="C187" s="639"/>
      <c r="D187" s="639"/>
      <c r="E187" s="639"/>
      <c r="F187" s="639"/>
      <c r="G187" s="639"/>
      <c r="H187" s="639"/>
      <c r="I187" s="639"/>
      <c r="J187" s="639"/>
      <c r="K187" s="639"/>
      <c r="L187" s="641"/>
      <c r="M187" s="123"/>
      <c r="N187" s="123"/>
      <c r="O187" s="123"/>
      <c r="P187" s="123"/>
      <c r="R187" s="123"/>
    </row>
    <row r="188" spans="1:24" ht="16.5" thickBot="1" x14ac:dyDescent="0.3">
      <c r="A188" s="82" t="s">
        <v>134</v>
      </c>
      <c r="B188" s="83"/>
      <c r="C188" s="84">
        <f t="shared" ref="C188:H188" si="115">SUM(C189:C193)</f>
        <v>402140</v>
      </c>
      <c r="D188" s="84">
        <f t="shared" si="115"/>
        <v>402140</v>
      </c>
      <c r="E188" s="84">
        <f t="shared" si="115"/>
        <v>402140</v>
      </c>
      <c r="F188" s="84">
        <f t="shared" si="115"/>
        <v>523640</v>
      </c>
      <c r="G188" s="84">
        <f t="shared" si="115"/>
        <v>523640</v>
      </c>
      <c r="H188" s="84">
        <f t="shared" si="115"/>
        <v>523640</v>
      </c>
      <c r="I188" s="84">
        <f t="shared" ref="I188:K188" si="116">SUM(I189:I193)</f>
        <v>523640</v>
      </c>
      <c r="J188" s="84">
        <f t="shared" ref="J188" si="117">SUM(J189:J193)</f>
        <v>523640</v>
      </c>
      <c r="K188" s="84">
        <f t="shared" si="116"/>
        <v>145563</v>
      </c>
      <c r="L188" s="466">
        <f>K188/J188</f>
        <v>0.27798296539607364</v>
      </c>
      <c r="M188" s="123">
        <f t="shared" ref="M188:R188" si="118">D188-C188</f>
        <v>0</v>
      </c>
      <c r="N188" s="123">
        <f t="shared" si="118"/>
        <v>0</v>
      </c>
      <c r="O188" s="123">
        <f t="shared" si="118"/>
        <v>121500</v>
      </c>
      <c r="P188" s="123">
        <f t="shared" si="118"/>
        <v>0</v>
      </c>
      <c r="Q188" s="123">
        <f t="shared" si="118"/>
        <v>0</v>
      </c>
      <c r="R188" s="123">
        <f t="shared" si="118"/>
        <v>0</v>
      </c>
      <c r="S188" s="123">
        <f t="shared" ref="S188" si="119">J188-I188</f>
        <v>0</v>
      </c>
      <c r="T188" s="123"/>
      <c r="U188" s="123"/>
    </row>
    <row r="189" spans="1:24" ht="15" customHeight="1" x14ac:dyDescent="0.25">
      <c r="A189" s="158">
        <v>453</v>
      </c>
      <c r="B189" s="159" t="s">
        <v>355</v>
      </c>
      <c r="C189" s="172">
        <v>1000</v>
      </c>
      <c r="D189" s="172">
        <v>1000</v>
      </c>
      <c r="E189" s="172">
        <v>1000</v>
      </c>
      <c r="F189" s="172">
        <v>1000</v>
      </c>
      <c r="G189" s="172">
        <v>1000</v>
      </c>
      <c r="H189" s="172">
        <v>1000</v>
      </c>
      <c r="I189" s="172">
        <v>1000</v>
      </c>
      <c r="J189" s="172">
        <v>1000</v>
      </c>
      <c r="K189" s="172">
        <v>480</v>
      </c>
      <c r="L189" s="466">
        <f t="shared" ref="L189:L197" si="120">K189/J189</f>
        <v>0.48</v>
      </c>
      <c r="O189" s="123"/>
      <c r="P189" s="123"/>
    </row>
    <row r="190" spans="1:24" ht="15.75" customHeight="1" x14ac:dyDescent="0.25">
      <c r="A190" s="158">
        <v>453</v>
      </c>
      <c r="B190" s="159" t="s">
        <v>330</v>
      </c>
      <c r="C190" s="172">
        <v>1000</v>
      </c>
      <c r="D190" s="172">
        <v>1000</v>
      </c>
      <c r="E190" s="172">
        <v>1000</v>
      </c>
      <c r="F190" s="172">
        <v>1000</v>
      </c>
      <c r="G190" s="172">
        <v>1000</v>
      </c>
      <c r="H190" s="172">
        <v>1000</v>
      </c>
      <c r="I190" s="172">
        <v>1000</v>
      </c>
      <c r="J190" s="172">
        <v>1000</v>
      </c>
      <c r="K190" s="172">
        <f>444+390</f>
        <v>834</v>
      </c>
      <c r="L190" s="466">
        <f t="shared" si="120"/>
        <v>0.83399999999999996</v>
      </c>
      <c r="N190" s="123">
        <f>SUM(C189:C190)</f>
        <v>2000</v>
      </c>
      <c r="O190" s="123">
        <f>SUM(D189:D190)</f>
        <v>2000</v>
      </c>
      <c r="P190" s="123">
        <f>SUM(E189:E190)</f>
        <v>2000</v>
      </c>
      <c r="Q190" s="123">
        <f>SUM(F189:F190)</f>
        <v>2000</v>
      </c>
      <c r="R190" s="123">
        <f>SUM(G189:G190)</f>
        <v>2000</v>
      </c>
      <c r="S190" s="123">
        <f t="shared" ref="S190" si="121">SUM(H189:H190)</f>
        <v>2000</v>
      </c>
      <c r="T190" s="123"/>
      <c r="U190" s="123"/>
    </row>
    <row r="191" spans="1:24" x14ac:dyDescent="0.25">
      <c r="A191" s="157">
        <v>454</v>
      </c>
      <c r="B191" s="126" t="s">
        <v>135</v>
      </c>
      <c r="C191" s="171">
        <v>100000</v>
      </c>
      <c r="D191" s="171">
        <v>100000</v>
      </c>
      <c r="E191" s="171">
        <v>100000</v>
      </c>
      <c r="F191" s="460">
        <f>100000+121500</f>
        <v>221500</v>
      </c>
      <c r="G191" s="171">
        <f>100000+121500</f>
        <v>221500</v>
      </c>
      <c r="H191" s="171">
        <f>100000+121500</f>
        <v>221500</v>
      </c>
      <c r="I191" s="171">
        <f>100000+121500</f>
        <v>221500</v>
      </c>
      <c r="J191" s="171">
        <f>100000+121500</f>
        <v>221500</v>
      </c>
      <c r="K191" s="171">
        <v>144227</v>
      </c>
      <c r="L191" s="466">
        <f t="shared" si="120"/>
        <v>0.65113769751693007</v>
      </c>
      <c r="N191" s="123"/>
    </row>
    <row r="192" spans="1:24" ht="15.75" thickBot="1" x14ac:dyDescent="0.3">
      <c r="A192" s="225">
        <v>456</v>
      </c>
      <c r="B192" s="226" t="s">
        <v>204</v>
      </c>
      <c r="C192" s="227">
        <v>140</v>
      </c>
      <c r="D192" s="227">
        <v>140</v>
      </c>
      <c r="E192" s="227">
        <v>140</v>
      </c>
      <c r="F192" s="227">
        <v>140</v>
      </c>
      <c r="G192" s="227">
        <v>140</v>
      </c>
      <c r="H192" s="227">
        <v>140</v>
      </c>
      <c r="I192" s="227">
        <v>140</v>
      </c>
      <c r="J192" s="227">
        <v>140</v>
      </c>
      <c r="K192" s="227">
        <v>22</v>
      </c>
      <c r="L192" s="466">
        <f t="shared" si="120"/>
        <v>0.15714285714285714</v>
      </c>
      <c r="M192" s="89"/>
      <c r="N192" s="123">
        <f>SUM(C189:C192)</f>
        <v>102140</v>
      </c>
      <c r="O192" s="123">
        <f>SUM(D189:D192)</f>
        <v>102140</v>
      </c>
      <c r="P192" s="123">
        <f>SUM(E189:E192)</f>
        <v>102140</v>
      </c>
      <c r="Q192" s="123">
        <f>SUM(F189:F192)</f>
        <v>223640</v>
      </c>
      <c r="R192" s="123">
        <f>SUM(G189:G192)</f>
        <v>223640</v>
      </c>
      <c r="S192" s="123">
        <f t="shared" ref="S192" si="122">SUM(H189:H192)</f>
        <v>223640</v>
      </c>
      <c r="T192" s="123"/>
      <c r="U192" s="123"/>
    </row>
    <row r="193" spans="1:21" ht="15.75" thickBot="1" x14ac:dyDescent="0.3">
      <c r="A193" s="222">
        <v>513</v>
      </c>
      <c r="B193" s="223" t="s">
        <v>137</v>
      </c>
      <c r="C193" s="224">
        <v>300000</v>
      </c>
      <c r="D193" s="224">
        <v>300000</v>
      </c>
      <c r="E193" s="224">
        <v>300000</v>
      </c>
      <c r="F193" s="224">
        <v>300000</v>
      </c>
      <c r="G193" s="224">
        <v>300000</v>
      </c>
      <c r="H193" s="224">
        <v>300000</v>
      </c>
      <c r="I193" s="224">
        <v>300000</v>
      </c>
      <c r="J193" s="224">
        <v>300000</v>
      </c>
      <c r="K193" s="224">
        <v>0</v>
      </c>
      <c r="L193" s="466">
        <f t="shared" si="120"/>
        <v>0</v>
      </c>
      <c r="M193" s="123"/>
    </row>
    <row r="194" spans="1:21" ht="16.5" thickBot="1" x14ac:dyDescent="0.3">
      <c r="A194" s="82" t="s">
        <v>138</v>
      </c>
      <c r="B194" s="83"/>
      <c r="C194" s="84">
        <f t="shared" ref="C194:K194" si="123">SUM(C195:C197)</f>
        <v>10940</v>
      </c>
      <c r="D194" s="84">
        <f t="shared" si="123"/>
        <v>11000</v>
      </c>
      <c r="E194" s="84">
        <f t="shared" si="123"/>
        <v>11000</v>
      </c>
      <c r="F194" s="84">
        <f t="shared" si="123"/>
        <v>11000</v>
      </c>
      <c r="G194" s="84">
        <f t="shared" si="123"/>
        <v>11000</v>
      </c>
      <c r="H194" s="84">
        <f t="shared" si="123"/>
        <v>11000</v>
      </c>
      <c r="I194" s="84">
        <f t="shared" si="123"/>
        <v>11000</v>
      </c>
      <c r="J194" s="84">
        <f t="shared" ref="J194" si="124">SUM(J195:J197)</f>
        <v>11000</v>
      </c>
      <c r="K194" s="84">
        <f t="shared" si="123"/>
        <v>661</v>
      </c>
      <c r="L194" s="466">
        <f t="shared" si="120"/>
        <v>6.0090909090909091E-2</v>
      </c>
      <c r="M194" s="123">
        <f t="shared" ref="M194:R194" si="125">D194-C194</f>
        <v>60</v>
      </c>
      <c r="N194" s="123">
        <f t="shared" si="125"/>
        <v>0</v>
      </c>
      <c r="O194" s="123">
        <f t="shared" si="125"/>
        <v>0</v>
      </c>
      <c r="P194" s="123">
        <f t="shared" si="125"/>
        <v>0</v>
      </c>
      <c r="Q194" s="123">
        <f t="shared" si="125"/>
        <v>0</v>
      </c>
      <c r="R194" s="123">
        <f t="shared" si="125"/>
        <v>0</v>
      </c>
      <c r="S194" s="123">
        <f t="shared" ref="S194" si="126">J194-I194</f>
        <v>0</v>
      </c>
      <c r="T194" s="123"/>
      <c r="U194" s="123"/>
    </row>
    <row r="195" spans="1:21" x14ac:dyDescent="0.25">
      <c r="A195" s="206">
        <v>819</v>
      </c>
      <c r="B195" s="85" t="s">
        <v>203</v>
      </c>
      <c r="C195" s="86">
        <v>140</v>
      </c>
      <c r="D195" s="86">
        <v>140</v>
      </c>
      <c r="E195" s="86">
        <v>140</v>
      </c>
      <c r="F195" s="86">
        <v>140</v>
      </c>
      <c r="G195" s="86">
        <v>140</v>
      </c>
      <c r="H195" s="86">
        <v>140</v>
      </c>
      <c r="I195" s="86">
        <v>140</v>
      </c>
      <c r="J195" s="86">
        <v>140</v>
      </c>
      <c r="K195" s="86">
        <v>22</v>
      </c>
      <c r="L195" s="466">
        <f t="shared" si="120"/>
        <v>0.15714285714285714</v>
      </c>
    </row>
    <row r="196" spans="1:21" ht="15" customHeight="1" x14ac:dyDescent="0.25">
      <c r="A196" s="207">
        <v>821</v>
      </c>
      <c r="B196" s="208" t="s">
        <v>206</v>
      </c>
      <c r="C196" s="169">
        <v>10000</v>
      </c>
      <c r="D196" s="169">
        <v>10000</v>
      </c>
      <c r="E196" s="169">
        <v>10000</v>
      </c>
      <c r="F196" s="169">
        <v>10000</v>
      </c>
      <c r="G196" s="169">
        <v>10000</v>
      </c>
      <c r="H196" s="169">
        <v>10000</v>
      </c>
      <c r="I196" s="169">
        <v>10000</v>
      </c>
      <c r="J196" s="169">
        <v>10000</v>
      </c>
      <c r="K196" s="169">
        <v>0</v>
      </c>
      <c r="L196" s="466">
        <f t="shared" si="120"/>
        <v>0</v>
      </c>
    </row>
    <row r="197" spans="1:21" ht="15.75" thickBot="1" x14ac:dyDescent="0.3">
      <c r="A197" s="339">
        <v>821</v>
      </c>
      <c r="B197" s="87" t="s">
        <v>139</v>
      </c>
      <c r="C197" s="42">
        <v>800</v>
      </c>
      <c r="D197" s="454">
        <v>860</v>
      </c>
      <c r="E197" s="50">
        <v>860</v>
      </c>
      <c r="F197" s="50">
        <v>860</v>
      </c>
      <c r="G197" s="50">
        <v>860</v>
      </c>
      <c r="H197" s="50">
        <v>860</v>
      </c>
      <c r="I197" s="50">
        <v>860</v>
      </c>
      <c r="J197" s="50">
        <v>860</v>
      </c>
      <c r="K197" s="42">
        <v>639</v>
      </c>
      <c r="L197" s="466">
        <f t="shared" si="120"/>
        <v>0.74302325581395345</v>
      </c>
    </row>
    <row r="198" spans="1:21" ht="15" customHeight="1" x14ac:dyDescent="0.25">
      <c r="A198" s="154"/>
      <c r="B198" s="88"/>
      <c r="C198" s="89"/>
      <c r="D198" s="89"/>
      <c r="E198" s="89"/>
      <c r="F198" s="89"/>
      <c r="G198" s="89"/>
      <c r="H198" s="89"/>
      <c r="I198" s="89"/>
      <c r="J198" s="89"/>
      <c r="K198" s="89"/>
      <c r="L198" s="156"/>
    </row>
    <row r="199" spans="1:21" ht="63" customHeight="1" x14ac:dyDescent="0.25">
      <c r="A199" s="33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</row>
    <row r="200" spans="1:21" ht="18.75" thickBot="1" x14ac:dyDescent="0.3">
      <c r="A200" s="642" t="s">
        <v>140</v>
      </c>
      <c r="B200" s="643"/>
      <c r="C200" s="643"/>
      <c r="D200" s="643"/>
      <c r="E200" s="643"/>
      <c r="F200" s="643"/>
      <c r="G200" s="643"/>
      <c r="H200" s="643"/>
      <c r="I200" s="643"/>
      <c r="J200" s="643"/>
      <c r="K200" s="643"/>
    </row>
    <row r="201" spans="1:21" ht="15" customHeight="1" x14ac:dyDescent="0.25">
      <c r="A201" s="644" t="s">
        <v>1</v>
      </c>
      <c r="B201" s="645"/>
      <c r="C201" s="638" t="s">
        <v>323</v>
      </c>
      <c r="D201" s="638" t="s">
        <v>562</v>
      </c>
      <c r="E201" s="638" t="s">
        <v>563</v>
      </c>
      <c r="F201" s="638" t="s">
        <v>564</v>
      </c>
      <c r="G201" s="638" t="s">
        <v>565</v>
      </c>
      <c r="H201" s="638" t="s">
        <v>566</v>
      </c>
      <c r="I201" s="638" t="s">
        <v>567</v>
      </c>
      <c r="J201" s="638" t="s">
        <v>605</v>
      </c>
      <c r="K201" s="638" t="s">
        <v>599</v>
      </c>
    </row>
    <row r="202" spans="1:21" ht="15.75" thickBot="1" x14ac:dyDescent="0.3">
      <c r="A202" s="646"/>
      <c r="B202" s="647"/>
      <c r="C202" s="639"/>
      <c r="D202" s="639"/>
      <c r="E202" s="639"/>
      <c r="F202" s="639"/>
      <c r="G202" s="639"/>
      <c r="H202" s="639"/>
      <c r="I202" s="639"/>
      <c r="J202" s="639"/>
      <c r="K202" s="639"/>
    </row>
    <row r="203" spans="1:21" ht="15.75" x14ac:dyDescent="0.25">
      <c r="A203" s="90" t="s">
        <v>141</v>
      </c>
      <c r="B203" s="120"/>
      <c r="C203" s="91">
        <f t="shared" ref="C203:K203" si="127">C75</f>
        <v>2160910</v>
      </c>
      <c r="D203" s="91">
        <f t="shared" si="127"/>
        <v>2204460</v>
      </c>
      <c r="E203" s="91">
        <f t="shared" si="127"/>
        <v>2211405</v>
      </c>
      <c r="F203" s="91">
        <f t="shared" si="127"/>
        <v>2240450</v>
      </c>
      <c r="G203" s="91">
        <f t="shared" si="127"/>
        <v>2282161</v>
      </c>
      <c r="H203" s="91">
        <f t="shared" si="127"/>
        <v>2295914</v>
      </c>
      <c r="I203" s="91">
        <f t="shared" si="127"/>
        <v>2294490</v>
      </c>
      <c r="J203" s="91">
        <f t="shared" ref="J203" si="128">J75</f>
        <v>2294800</v>
      </c>
      <c r="K203" s="91">
        <f t="shared" si="127"/>
        <v>1644381</v>
      </c>
    </row>
    <row r="204" spans="1:21" ht="15.75" x14ac:dyDescent="0.25">
      <c r="A204" s="92" t="s">
        <v>142</v>
      </c>
      <c r="B204" s="209"/>
      <c r="C204" s="93">
        <f t="shared" ref="C204:K204" si="129">C145</f>
        <v>2152110</v>
      </c>
      <c r="D204" s="93">
        <f t="shared" si="129"/>
        <v>2195600</v>
      </c>
      <c r="E204" s="93">
        <f t="shared" si="129"/>
        <v>2202545</v>
      </c>
      <c r="F204" s="93">
        <f t="shared" si="129"/>
        <v>2228290</v>
      </c>
      <c r="G204" s="93">
        <f t="shared" si="129"/>
        <v>2270001</v>
      </c>
      <c r="H204" s="93">
        <f t="shared" si="129"/>
        <v>2283754</v>
      </c>
      <c r="I204" s="93">
        <f t="shared" si="129"/>
        <v>2282330</v>
      </c>
      <c r="J204" s="93">
        <f t="shared" ref="J204" si="130">J145</f>
        <v>2282640</v>
      </c>
      <c r="K204" s="93">
        <f t="shared" si="129"/>
        <v>1398611</v>
      </c>
    </row>
    <row r="205" spans="1:21" ht="15.75" x14ac:dyDescent="0.25">
      <c r="A205" s="634" t="s">
        <v>143</v>
      </c>
      <c r="B205" s="635"/>
      <c r="C205" s="94">
        <f t="shared" ref="C205:K205" si="131">C203-C204</f>
        <v>8800</v>
      </c>
      <c r="D205" s="94">
        <f t="shared" si="131"/>
        <v>8860</v>
      </c>
      <c r="E205" s="94">
        <f t="shared" si="131"/>
        <v>8860</v>
      </c>
      <c r="F205" s="94">
        <f t="shared" si="131"/>
        <v>12160</v>
      </c>
      <c r="G205" s="94">
        <f t="shared" si="131"/>
        <v>12160</v>
      </c>
      <c r="H205" s="94">
        <f t="shared" si="131"/>
        <v>12160</v>
      </c>
      <c r="I205" s="94">
        <f t="shared" si="131"/>
        <v>12160</v>
      </c>
      <c r="J205" s="94">
        <f t="shared" ref="J205" si="132">J203-J204</f>
        <v>12160</v>
      </c>
      <c r="K205" s="94">
        <f t="shared" si="131"/>
        <v>245770</v>
      </c>
      <c r="R205" s="123"/>
    </row>
    <row r="206" spans="1:21" ht="15.75" x14ac:dyDescent="0.25">
      <c r="A206" s="92" t="s">
        <v>144</v>
      </c>
      <c r="B206" s="116"/>
      <c r="C206" s="93">
        <f t="shared" ref="C206:K206" si="133">C151</f>
        <v>620702</v>
      </c>
      <c r="D206" s="93">
        <f t="shared" si="133"/>
        <v>635220</v>
      </c>
      <c r="E206" s="93">
        <f t="shared" si="133"/>
        <v>635220</v>
      </c>
      <c r="F206" s="93">
        <f t="shared" si="133"/>
        <v>561520</v>
      </c>
      <c r="G206" s="93">
        <f t="shared" si="133"/>
        <v>519520</v>
      </c>
      <c r="H206" s="93">
        <f t="shared" si="133"/>
        <v>519520</v>
      </c>
      <c r="I206" s="93">
        <f t="shared" si="133"/>
        <v>519520</v>
      </c>
      <c r="J206" s="93">
        <f t="shared" ref="J206" si="134">J151</f>
        <v>519520</v>
      </c>
      <c r="K206" s="93">
        <f t="shared" si="133"/>
        <v>70218</v>
      </c>
      <c r="R206" s="123"/>
    </row>
    <row r="207" spans="1:21" ht="15.75" x14ac:dyDescent="0.25">
      <c r="A207" s="92" t="s">
        <v>145</v>
      </c>
      <c r="B207" s="116"/>
      <c r="C207" s="8">
        <f t="shared" ref="C207:K207" si="135">C158</f>
        <v>1020702</v>
      </c>
      <c r="D207" s="8">
        <f t="shared" si="135"/>
        <v>1035220</v>
      </c>
      <c r="E207" s="8">
        <f t="shared" si="135"/>
        <v>1035220</v>
      </c>
      <c r="F207" s="8">
        <f t="shared" si="135"/>
        <v>1086320</v>
      </c>
      <c r="G207" s="8">
        <f t="shared" si="135"/>
        <v>1044320</v>
      </c>
      <c r="H207" s="8">
        <f t="shared" si="135"/>
        <v>1044320</v>
      </c>
      <c r="I207" s="8">
        <f t="shared" si="135"/>
        <v>1044320</v>
      </c>
      <c r="J207" s="8">
        <f t="shared" ref="J207" si="136">J158</f>
        <v>1044320</v>
      </c>
      <c r="K207" s="8">
        <f t="shared" si="135"/>
        <v>147527</v>
      </c>
      <c r="Q207" s="123"/>
      <c r="R207" s="123"/>
    </row>
    <row r="208" spans="1:21" ht="15.75" x14ac:dyDescent="0.25">
      <c r="A208" s="634" t="s">
        <v>146</v>
      </c>
      <c r="B208" s="635"/>
      <c r="C208" s="94">
        <f t="shared" ref="C208:K208" si="137">C206-C207</f>
        <v>-400000</v>
      </c>
      <c r="D208" s="94">
        <f t="shared" si="137"/>
        <v>-400000</v>
      </c>
      <c r="E208" s="94">
        <f t="shared" si="137"/>
        <v>-400000</v>
      </c>
      <c r="F208" s="94">
        <f t="shared" si="137"/>
        <v>-524800</v>
      </c>
      <c r="G208" s="94">
        <f t="shared" si="137"/>
        <v>-524800</v>
      </c>
      <c r="H208" s="94">
        <f t="shared" si="137"/>
        <v>-524800</v>
      </c>
      <c r="I208" s="94">
        <f t="shared" si="137"/>
        <v>-524800</v>
      </c>
      <c r="J208" s="94">
        <f t="shared" ref="J208" si="138">J206-J207</f>
        <v>-524800</v>
      </c>
      <c r="K208" s="94">
        <f t="shared" si="137"/>
        <v>-77309</v>
      </c>
      <c r="P208" s="123"/>
      <c r="Q208" s="123"/>
      <c r="R208" s="123"/>
    </row>
    <row r="209" spans="1:19" ht="15.75" x14ac:dyDescent="0.25">
      <c r="A209" s="95" t="s">
        <v>147</v>
      </c>
      <c r="B209" s="96"/>
      <c r="C209" s="97">
        <f t="shared" ref="C209:K209" si="139">C188</f>
        <v>402140</v>
      </c>
      <c r="D209" s="97">
        <f t="shared" si="139"/>
        <v>402140</v>
      </c>
      <c r="E209" s="97">
        <f t="shared" si="139"/>
        <v>402140</v>
      </c>
      <c r="F209" s="97">
        <f t="shared" si="139"/>
        <v>523640</v>
      </c>
      <c r="G209" s="97">
        <f t="shared" si="139"/>
        <v>523640</v>
      </c>
      <c r="H209" s="97">
        <f t="shared" si="139"/>
        <v>523640</v>
      </c>
      <c r="I209" s="97">
        <f t="shared" si="139"/>
        <v>523640</v>
      </c>
      <c r="J209" s="97">
        <f t="shared" ref="J209" si="140">J188</f>
        <v>523640</v>
      </c>
      <c r="K209" s="97">
        <f t="shared" si="139"/>
        <v>145563</v>
      </c>
      <c r="O209" s="123"/>
      <c r="P209" s="123"/>
      <c r="Q209" s="123"/>
      <c r="R209" s="123"/>
    </row>
    <row r="210" spans="1:19" ht="15.75" x14ac:dyDescent="0.25">
      <c r="A210" s="95" t="s">
        <v>148</v>
      </c>
      <c r="B210" s="96"/>
      <c r="C210" s="97">
        <f t="shared" ref="C210:K210" si="141">C194</f>
        <v>10940</v>
      </c>
      <c r="D210" s="97">
        <f t="shared" si="141"/>
        <v>11000</v>
      </c>
      <c r="E210" s="97">
        <f t="shared" si="141"/>
        <v>11000</v>
      </c>
      <c r="F210" s="97">
        <f t="shared" si="141"/>
        <v>11000</v>
      </c>
      <c r="G210" s="97">
        <f t="shared" si="141"/>
        <v>11000</v>
      </c>
      <c r="H210" s="97">
        <f t="shared" si="141"/>
        <v>11000</v>
      </c>
      <c r="I210" s="97">
        <f t="shared" si="141"/>
        <v>11000</v>
      </c>
      <c r="J210" s="97">
        <f t="shared" ref="J210" si="142">J194</f>
        <v>11000</v>
      </c>
      <c r="K210" s="97">
        <f t="shared" si="141"/>
        <v>661</v>
      </c>
      <c r="O210" s="123"/>
      <c r="P210" s="123"/>
      <c r="Q210" s="123"/>
    </row>
    <row r="211" spans="1:19" ht="16.5" thickBot="1" x14ac:dyDescent="0.3">
      <c r="A211" s="636" t="s">
        <v>149</v>
      </c>
      <c r="B211" s="637"/>
      <c r="C211" s="98">
        <f t="shared" ref="C211:K211" si="143">C209-C210</f>
        <v>391200</v>
      </c>
      <c r="D211" s="98">
        <f t="shared" si="143"/>
        <v>391140</v>
      </c>
      <c r="E211" s="98">
        <f t="shared" si="143"/>
        <v>391140</v>
      </c>
      <c r="F211" s="98">
        <f t="shared" si="143"/>
        <v>512640</v>
      </c>
      <c r="G211" s="98">
        <f t="shared" si="143"/>
        <v>512640</v>
      </c>
      <c r="H211" s="98">
        <f t="shared" si="143"/>
        <v>512640</v>
      </c>
      <c r="I211" s="98">
        <f t="shared" si="143"/>
        <v>512640</v>
      </c>
      <c r="J211" s="98">
        <f t="shared" ref="J211" si="144">J209-J210</f>
        <v>512640</v>
      </c>
      <c r="K211" s="98">
        <f t="shared" si="143"/>
        <v>144902</v>
      </c>
      <c r="O211" s="123"/>
      <c r="P211" s="123"/>
      <c r="Q211" s="123"/>
    </row>
    <row r="212" spans="1:19" ht="16.5" thickBot="1" x14ac:dyDescent="0.3">
      <c r="A212" s="160" t="s">
        <v>150</v>
      </c>
      <c r="B212" s="99"/>
      <c r="C212" s="161">
        <f t="shared" ref="C212:K212" si="145">C205+C208+C211</f>
        <v>0</v>
      </c>
      <c r="D212" s="161">
        <f t="shared" si="145"/>
        <v>0</v>
      </c>
      <c r="E212" s="161">
        <f t="shared" si="145"/>
        <v>0</v>
      </c>
      <c r="F212" s="161">
        <f t="shared" si="145"/>
        <v>0</v>
      </c>
      <c r="G212" s="161">
        <f t="shared" si="145"/>
        <v>0</v>
      </c>
      <c r="H212" s="161">
        <f t="shared" si="145"/>
        <v>0</v>
      </c>
      <c r="I212" s="161">
        <f t="shared" si="145"/>
        <v>0</v>
      </c>
      <c r="J212" s="161">
        <f t="shared" ref="J212" si="146">J205+J208+J211</f>
        <v>0</v>
      </c>
      <c r="K212" s="161">
        <f t="shared" si="145"/>
        <v>313363</v>
      </c>
      <c r="N212" s="123"/>
      <c r="O212" s="123"/>
      <c r="P212" s="123"/>
    </row>
    <row r="213" spans="1:19" x14ac:dyDescent="0.25">
      <c r="L213" s="123"/>
      <c r="M213" s="123"/>
      <c r="N213" s="123"/>
      <c r="O213" s="123"/>
    </row>
    <row r="214" spans="1:19" x14ac:dyDescent="0.25">
      <c r="B214" s="162" t="s">
        <v>151</v>
      </c>
      <c r="C214" s="123">
        <f t="shared" ref="C214:K215" si="147">C203+C206+C209</f>
        <v>3183752</v>
      </c>
      <c r="D214" s="123">
        <f t="shared" si="147"/>
        <v>3241820</v>
      </c>
      <c r="E214" s="123">
        <f t="shared" si="147"/>
        <v>3248765</v>
      </c>
      <c r="F214" s="123">
        <f t="shared" si="147"/>
        <v>3325610</v>
      </c>
      <c r="G214" s="123">
        <f t="shared" si="147"/>
        <v>3325321</v>
      </c>
      <c r="H214" s="123">
        <f t="shared" si="147"/>
        <v>3339074</v>
      </c>
      <c r="I214" s="123">
        <f t="shared" si="147"/>
        <v>3337650</v>
      </c>
      <c r="J214" s="123">
        <f t="shared" ref="J214" si="148">J203+J206+J209</f>
        <v>3337960</v>
      </c>
      <c r="K214" s="123">
        <f t="shared" si="147"/>
        <v>1860162</v>
      </c>
      <c r="L214" s="123"/>
      <c r="M214" s="123">
        <f t="shared" ref="M214:S215" si="149">D214-C214</f>
        <v>58068</v>
      </c>
      <c r="N214" s="123">
        <f t="shared" si="149"/>
        <v>6945</v>
      </c>
      <c r="O214" s="123">
        <f t="shared" si="149"/>
        <v>76845</v>
      </c>
      <c r="P214" s="123">
        <f t="shared" si="149"/>
        <v>-289</v>
      </c>
      <c r="Q214" s="123">
        <f t="shared" si="149"/>
        <v>13753</v>
      </c>
      <c r="R214" s="123">
        <f t="shared" si="149"/>
        <v>-1424</v>
      </c>
      <c r="S214" s="123">
        <f t="shared" si="149"/>
        <v>310</v>
      </c>
    </row>
    <row r="215" spans="1:19" x14ac:dyDescent="0.25">
      <c r="B215" s="162" t="s">
        <v>152</v>
      </c>
      <c r="C215" s="123">
        <f t="shared" si="147"/>
        <v>3183752</v>
      </c>
      <c r="D215" s="123">
        <f t="shared" si="147"/>
        <v>3241820</v>
      </c>
      <c r="E215" s="123">
        <f t="shared" si="147"/>
        <v>3248765</v>
      </c>
      <c r="F215" s="123">
        <f t="shared" si="147"/>
        <v>3325610</v>
      </c>
      <c r="G215" s="123">
        <f t="shared" si="147"/>
        <v>3325321</v>
      </c>
      <c r="H215" s="123">
        <f t="shared" si="147"/>
        <v>3339074</v>
      </c>
      <c r="I215" s="123">
        <f t="shared" si="147"/>
        <v>3337650</v>
      </c>
      <c r="J215" s="123">
        <f t="shared" ref="J215" si="150">J204+J207+J210</f>
        <v>3337960</v>
      </c>
      <c r="K215" s="123">
        <f t="shared" si="147"/>
        <v>1546799</v>
      </c>
      <c r="L215" s="123"/>
      <c r="M215" s="123">
        <f t="shared" si="149"/>
        <v>58068</v>
      </c>
      <c r="N215" s="123">
        <f t="shared" si="149"/>
        <v>6945</v>
      </c>
      <c r="O215" s="123">
        <f t="shared" si="149"/>
        <v>76845</v>
      </c>
      <c r="P215" s="123">
        <f t="shared" si="149"/>
        <v>-289</v>
      </c>
      <c r="Q215" s="123">
        <f t="shared" si="149"/>
        <v>13753</v>
      </c>
      <c r="R215" s="123">
        <f t="shared" si="149"/>
        <v>-1424</v>
      </c>
      <c r="S215" s="123">
        <f t="shared" si="149"/>
        <v>310</v>
      </c>
    </row>
    <row r="216" spans="1:19" x14ac:dyDescent="0.25">
      <c r="B216" s="16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1:19" x14ac:dyDescent="0.25">
      <c r="B217" s="162" t="s">
        <v>153</v>
      </c>
      <c r="C217" s="123">
        <f t="shared" ref="C217:K217" si="151">C214-C74</f>
        <v>3115422</v>
      </c>
      <c r="D217" s="123">
        <f t="shared" si="151"/>
        <v>3173490</v>
      </c>
      <c r="E217" s="123">
        <f t="shared" si="151"/>
        <v>3180435</v>
      </c>
      <c r="F217" s="123">
        <f t="shared" si="151"/>
        <v>3257280</v>
      </c>
      <c r="G217" s="123">
        <f t="shared" si="151"/>
        <v>3256991</v>
      </c>
      <c r="H217" s="123">
        <f t="shared" si="151"/>
        <v>3265154</v>
      </c>
      <c r="I217" s="123">
        <f t="shared" si="151"/>
        <v>3263730</v>
      </c>
      <c r="J217" s="123">
        <f t="shared" ref="J217" si="152">J214-J74</f>
        <v>3264040</v>
      </c>
      <c r="K217" s="123">
        <f t="shared" si="151"/>
        <v>1813714</v>
      </c>
      <c r="L217" s="123"/>
      <c r="M217" s="123">
        <f t="shared" ref="M217:S218" si="153">D217-C217</f>
        <v>58068</v>
      </c>
      <c r="N217" s="123">
        <f t="shared" si="153"/>
        <v>6945</v>
      </c>
      <c r="O217" s="123">
        <f t="shared" si="153"/>
        <v>76845</v>
      </c>
      <c r="P217" s="123">
        <f t="shared" si="153"/>
        <v>-289</v>
      </c>
      <c r="Q217" s="123">
        <f t="shared" si="153"/>
        <v>8163</v>
      </c>
      <c r="R217" s="123">
        <f t="shared" si="153"/>
        <v>-1424</v>
      </c>
      <c r="S217" s="123">
        <f t="shared" si="153"/>
        <v>310</v>
      </c>
    </row>
    <row r="218" spans="1:19" x14ac:dyDescent="0.25">
      <c r="B218" s="162" t="s">
        <v>154</v>
      </c>
      <c r="C218" s="123">
        <f t="shared" ref="C218:K218" si="154">C215-C144</f>
        <v>2413787</v>
      </c>
      <c r="D218" s="123">
        <f t="shared" si="154"/>
        <v>2458036</v>
      </c>
      <c r="E218" s="123">
        <f t="shared" si="154"/>
        <v>2464981</v>
      </c>
      <c r="F218" s="123">
        <f t="shared" si="154"/>
        <v>2541826</v>
      </c>
      <c r="G218" s="123">
        <f t="shared" si="154"/>
        <v>2540826</v>
      </c>
      <c r="H218" s="123">
        <f t="shared" si="154"/>
        <v>2548883</v>
      </c>
      <c r="I218" s="123">
        <f t="shared" si="154"/>
        <v>2545283</v>
      </c>
      <c r="J218" s="123">
        <f t="shared" ref="J218" si="155">J215-J144</f>
        <v>2545593</v>
      </c>
      <c r="K218" s="123">
        <f t="shared" si="154"/>
        <v>958641</v>
      </c>
      <c r="L218" s="123"/>
      <c r="M218" s="123">
        <f t="shared" si="153"/>
        <v>44249</v>
      </c>
      <c r="N218" s="123">
        <f t="shared" si="153"/>
        <v>6945</v>
      </c>
      <c r="O218" s="123">
        <f t="shared" si="153"/>
        <v>76845</v>
      </c>
      <c r="P218" s="123">
        <f t="shared" si="153"/>
        <v>-1000</v>
      </c>
      <c r="Q218" s="123">
        <f t="shared" si="153"/>
        <v>8057</v>
      </c>
      <c r="R218" s="123">
        <f t="shared" si="153"/>
        <v>-3600</v>
      </c>
      <c r="S218" s="123">
        <f t="shared" si="153"/>
        <v>310</v>
      </c>
    </row>
    <row r="219" spans="1:19" x14ac:dyDescent="0.25">
      <c r="B219" s="162"/>
      <c r="C219" s="123"/>
      <c r="D219" s="123"/>
      <c r="E219" s="123"/>
      <c r="F219" s="123"/>
      <c r="G219" s="123"/>
      <c r="H219" s="123"/>
      <c r="I219" s="123"/>
      <c r="J219" s="123"/>
      <c r="K219" s="123"/>
    </row>
    <row r="220" spans="1:19" x14ac:dyDescent="0.25">
      <c r="A220" s="236"/>
      <c r="B220" s="237" t="s">
        <v>214</v>
      </c>
    </row>
    <row r="222" spans="1:19" x14ac:dyDescent="0.25">
      <c r="B222" s="110" t="s">
        <v>155</v>
      </c>
    </row>
    <row r="223" spans="1:19" x14ac:dyDescent="0.25">
      <c r="B223" s="110" t="s">
        <v>606</v>
      </c>
    </row>
    <row r="225" spans="2:2" x14ac:dyDescent="0.25">
      <c r="B225" s="100" t="s">
        <v>271</v>
      </c>
    </row>
    <row r="226" spans="2:2" x14ac:dyDescent="0.25">
      <c r="B226" s="215" t="s">
        <v>377</v>
      </c>
    </row>
    <row r="227" spans="2:2" x14ac:dyDescent="0.25">
      <c r="B227" s="215" t="s">
        <v>419</v>
      </c>
    </row>
    <row r="228" spans="2:2" x14ac:dyDescent="0.25">
      <c r="B228" s="215" t="s">
        <v>501</v>
      </c>
    </row>
    <row r="229" spans="2:2" x14ac:dyDescent="0.25">
      <c r="B229" s="215" t="s">
        <v>535</v>
      </c>
    </row>
    <row r="230" spans="2:2" x14ac:dyDescent="0.25">
      <c r="B230" s="215" t="s">
        <v>552</v>
      </c>
    </row>
    <row r="231" spans="2:2" x14ac:dyDescent="0.25">
      <c r="B231" s="215" t="s">
        <v>621</v>
      </c>
    </row>
    <row r="232" spans="2:2" x14ac:dyDescent="0.25">
      <c r="B232" s="215" t="s">
        <v>620</v>
      </c>
    </row>
    <row r="233" spans="2:2" x14ac:dyDescent="0.25">
      <c r="B233" s="215"/>
    </row>
    <row r="234" spans="2:2" x14ac:dyDescent="0.25">
      <c r="B234" s="110" t="s">
        <v>607</v>
      </c>
    </row>
    <row r="235" spans="2:2" x14ac:dyDescent="0.25">
      <c r="B235" s="110" t="s">
        <v>622</v>
      </c>
    </row>
    <row r="237" spans="2:2" x14ac:dyDescent="0.25">
      <c r="B237" s="110" t="s">
        <v>644</v>
      </c>
    </row>
  </sheetData>
  <mergeCells count="72">
    <mergeCell ref="A78:K78"/>
    <mergeCell ref="A1:K1"/>
    <mergeCell ref="A2:B3"/>
    <mergeCell ref="C2:C3"/>
    <mergeCell ref="D2:D3"/>
    <mergeCell ref="E2:E3"/>
    <mergeCell ref="F2:F3"/>
    <mergeCell ref="G2:G3"/>
    <mergeCell ref="H2:H3"/>
    <mergeCell ref="I2:I3"/>
    <mergeCell ref="K2:K3"/>
    <mergeCell ref="L2:L3"/>
    <mergeCell ref="A4:B4"/>
    <mergeCell ref="A12:B12"/>
    <mergeCell ref="A72:B72"/>
    <mergeCell ref="A74:B74"/>
    <mergeCell ref="L79:L80"/>
    <mergeCell ref="A97:B97"/>
    <mergeCell ref="A140:B140"/>
    <mergeCell ref="A79:B80"/>
    <mergeCell ref="C79:C80"/>
    <mergeCell ref="D79:D80"/>
    <mergeCell ref="E79:E80"/>
    <mergeCell ref="F79:F80"/>
    <mergeCell ref="G79:G80"/>
    <mergeCell ref="K149:K150"/>
    <mergeCell ref="L149:L150"/>
    <mergeCell ref="A151:B151"/>
    <mergeCell ref="A158:B158"/>
    <mergeCell ref="A185:K185"/>
    <mergeCell ref="A149:B150"/>
    <mergeCell ref="C149:C150"/>
    <mergeCell ref="D149:D150"/>
    <mergeCell ref="E149:E150"/>
    <mergeCell ref="F149:F150"/>
    <mergeCell ref="G149:G150"/>
    <mergeCell ref="H149:H150"/>
    <mergeCell ref="L186:L187"/>
    <mergeCell ref="A200:K200"/>
    <mergeCell ref="A201:B202"/>
    <mergeCell ref="C201:C202"/>
    <mergeCell ref="D201:D202"/>
    <mergeCell ref="E201:E202"/>
    <mergeCell ref="F201:F202"/>
    <mergeCell ref="A186:B187"/>
    <mergeCell ref="C186:C187"/>
    <mergeCell ref="D186:D187"/>
    <mergeCell ref="E186:E187"/>
    <mergeCell ref="F186:F187"/>
    <mergeCell ref="G186:G187"/>
    <mergeCell ref="K201:K202"/>
    <mergeCell ref="A205:B205"/>
    <mergeCell ref="A208:B208"/>
    <mergeCell ref="H186:H187"/>
    <mergeCell ref="I186:I187"/>
    <mergeCell ref="K186:K187"/>
    <mergeCell ref="A211:B211"/>
    <mergeCell ref="J2:J3"/>
    <mergeCell ref="J79:J80"/>
    <mergeCell ref="J149:J150"/>
    <mergeCell ref="J186:J187"/>
    <mergeCell ref="J201:J202"/>
    <mergeCell ref="G201:G202"/>
    <mergeCell ref="H201:H202"/>
    <mergeCell ref="I201:I202"/>
    <mergeCell ref="I149:I150"/>
    <mergeCell ref="A143:B143"/>
    <mergeCell ref="A144:B144"/>
    <mergeCell ref="A148:K148"/>
    <mergeCell ref="H79:H80"/>
    <mergeCell ref="I79:I80"/>
    <mergeCell ref="K79:K80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 xml:space="preserve">&amp;C&amp;"Arial,Tučné"&amp;14Rozpočet na rok 2019
7. zmena 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35"/>
  <sheetViews>
    <sheetView zoomScale="95" zoomScaleNormal="95" workbookViewId="0">
      <selection sqref="A1:J1"/>
    </sheetView>
  </sheetViews>
  <sheetFormatPr defaultRowHeight="15" x14ac:dyDescent="0.25"/>
  <cols>
    <col min="1" max="1" width="6" style="110" customWidth="1"/>
    <col min="2" max="2" width="68.42578125" style="110" customWidth="1"/>
    <col min="3" max="10" width="12.5703125" style="110" customWidth="1"/>
    <col min="11" max="11" width="7.85546875" style="110" customWidth="1"/>
    <col min="12" max="12" width="9.140625" style="110"/>
    <col min="13" max="13" width="11.7109375" style="110" customWidth="1"/>
    <col min="14" max="14" width="11.28515625" style="110" customWidth="1"/>
    <col min="15" max="15" width="9.140625" style="110"/>
    <col min="16" max="16" width="11" style="110" customWidth="1"/>
    <col min="17" max="16384" width="9.140625" style="110"/>
  </cols>
  <sheetData>
    <row r="1" spans="1:11" ht="18.75" thickBot="1" x14ac:dyDescent="0.3">
      <c r="A1" s="674" t="s">
        <v>0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1" ht="18.75" customHeight="1" x14ac:dyDescent="0.25">
      <c r="A2" s="644" t="s">
        <v>1</v>
      </c>
      <c r="B2" s="645"/>
      <c r="C2" s="638" t="s">
        <v>323</v>
      </c>
      <c r="D2" s="638" t="s">
        <v>562</v>
      </c>
      <c r="E2" s="638" t="s">
        <v>563</v>
      </c>
      <c r="F2" s="638" t="s">
        <v>564</v>
      </c>
      <c r="G2" s="638" t="s">
        <v>565</v>
      </c>
      <c r="H2" s="638" t="s">
        <v>566</v>
      </c>
      <c r="I2" s="638" t="s">
        <v>567</v>
      </c>
      <c r="J2" s="676" t="s">
        <v>599</v>
      </c>
      <c r="K2" s="662" t="s">
        <v>352</v>
      </c>
    </row>
    <row r="3" spans="1:11" ht="15.75" thickBot="1" x14ac:dyDescent="0.3">
      <c r="A3" s="646"/>
      <c r="B3" s="647"/>
      <c r="C3" s="639"/>
      <c r="D3" s="639"/>
      <c r="E3" s="639"/>
      <c r="F3" s="639"/>
      <c r="G3" s="639"/>
      <c r="H3" s="639"/>
      <c r="I3" s="639"/>
      <c r="J3" s="677"/>
      <c r="K3" s="663"/>
    </row>
    <row r="4" spans="1:11" ht="15.75" thickBot="1" x14ac:dyDescent="0.3">
      <c r="A4" s="664" t="s">
        <v>2</v>
      </c>
      <c r="B4" s="665"/>
      <c r="C4" s="1">
        <f t="shared" ref="C4:J4" si="0">SUM(C5:C11)</f>
        <v>1151580</v>
      </c>
      <c r="D4" s="1">
        <f t="shared" si="0"/>
        <v>1173580</v>
      </c>
      <c r="E4" s="1">
        <f t="shared" si="0"/>
        <v>1174080</v>
      </c>
      <c r="F4" s="1">
        <f t="shared" si="0"/>
        <v>1175080</v>
      </c>
      <c r="G4" s="1">
        <f t="shared" si="0"/>
        <v>1215080</v>
      </c>
      <c r="H4" s="1">
        <f t="shared" si="0"/>
        <v>1205480</v>
      </c>
      <c r="I4" s="1">
        <f t="shared" ref="I4" si="1">SUM(I5:I11)</f>
        <v>1201580</v>
      </c>
      <c r="J4" s="1">
        <f t="shared" si="0"/>
        <v>899286</v>
      </c>
      <c r="K4" s="466">
        <f>J4/H4</f>
        <v>0.74599827454623879</v>
      </c>
    </row>
    <row r="5" spans="1:11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52">
        <f>1109000+40000</f>
        <v>1149000</v>
      </c>
      <c r="H5" s="452">
        <f>1109000+40000-9600</f>
        <v>1139400</v>
      </c>
      <c r="I5" s="452">
        <f>1109000+40000-9600-5400</f>
        <v>1134000</v>
      </c>
      <c r="J5" s="4">
        <v>848431</v>
      </c>
      <c r="K5" s="466">
        <f t="shared" ref="K5:K65" si="2">J5/H5</f>
        <v>0.74462962962962964</v>
      </c>
    </row>
    <row r="6" spans="1:11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34680</v>
      </c>
      <c r="H6" s="101">
        <v>34680</v>
      </c>
      <c r="I6" s="101">
        <v>34680</v>
      </c>
      <c r="J6" s="101">
        <v>27540</v>
      </c>
      <c r="K6" s="466">
        <f t="shared" si="2"/>
        <v>0.79411764705882348</v>
      </c>
    </row>
    <row r="7" spans="1:11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  <c r="H7" s="7">
        <v>1000</v>
      </c>
      <c r="I7" s="7">
        <v>1000</v>
      </c>
      <c r="J7" s="7">
        <v>825</v>
      </c>
      <c r="K7" s="466">
        <f t="shared" si="2"/>
        <v>0.82499999999999996</v>
      </c>
    </row>
    <row r="8" spans="1:11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>400+500</f>
        <v>900</v>
      </c>
      <c r="F8" s="9">
        <f>400+500</f>
        <v>900</v>
      </c>
      <c r="G8" s="9">
        <f>400+500</f>
        <v>900</v>
      </c>
      <c r="H8" s="9">
        <f>400+500</f>
        <v>900</v>
      </c>
      <c r="I8" s="9">
        <f>400+500</f>
        <v>900</v>
      </c>
      <c r="J8" s="8">
        <v>520</v>
      </c>
      <c r="K8" s="466">
        <f t="shared" si="2"/>
        <v>0.57777777777777772</v>
      </c>
    </row>
    <row r="9" spans="1:11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1500</v>
      </c>
      <c r="H9" s="8">
        <v>1500</v>
      </c>
      <c r="I9" s="459">
        <f>1500+1500</f>
        <v>3000</v>
      </c>
      <c r="J9" s="8">
        <v>1421</v>
      </c>
      <c r="K9" s="466">
        <f t="shared" si="2"/>
        <v>0.94733333333333336</v>
      </c>
    </row>
    <row r="10" spans="1:11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>4000+1000</f>
        <v>5000</v>
      </c>
      <c r="G10" s="9">
        <f>4000+1000</f>
        <v>5000</v>
      </c>
      <c r="H10" s="9">
        <f>4000+1000</f>
        <v>5000</v>
      </c>
      <c r="I10" s="9">
        <f>4000+1000</f>
        <v>5000</v>
      </c>
      <c r="J10" s="8">
        <v>4777</v>
      </c>
      <c r="K10" s="466">
        <f t="shared" si="2"/>
        <v>0.95540000000000003</v>
      </c>
    </row>
    <row r="11" spans="1:11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23000</v>
      </c>
      <c r="H11" s="337">
        <v>23000</v>
      </c>
      <c r="I11" s="337">
        <v>23000</v>
      </c>
      <c r="J11" s="337">
        <v>15772</v>
      </c>
      <c r="K11" s="466">
        <f t="shared" si="2"/>
        <v>0.68573913043478263</v>
      </c>
    </row>
    <row r="12" spans="1:11" ht="15.75" thickBot="1" x14ac:dyDescent="0.3">
      <c r="A12" s="664" t="s">
        <v>10</v>
      </c>
      <c r="B12" s="665"/>
      <c r="C12" s="1">
        <f t="shared" ref="C12:J12" si="3">SUM(C13:C32)</f>
        <v>218240</v>
      </c>
      <c r="D12" s="1">
        <f t="shared" si="3"/>
        <v>217115</v>
      </c>
      <c r="E12" s="1">
        <f t="shared" si="3"/>
        <v>217115</v>
      </c>
      <c r="F12" s="1">
        <f t="shared" si="3"/>
        <v>219115</v>
      </c>
      <c r="G12" s="1">
        <f t="shared" si="3"/>
        <v>219115</v>
      </c>
      <c r="H12" s="1">
        <f t="shared" si="3"/>
        <v>215315</v>
      </c>
      <c r="I12" s="1">
        <f t="shared" si="3"/>
        <v>215315</v>
      </c>
      <c r="J12" s="1">
        <f t="shared" si="3"/>
        <v>158846</v>
      </c>
      <c r="K12" s="466">
        <f t="shared" si="2"/>
        <v>0.73773773308873047</v>
      </c>
    </row>
    <row r="13" spans="1:11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>1967+140</f>
        <v>2107</v>
      </c>
      <c r="F13" s="270">
        <f>1967+140</f>
        <v>2107</v>
      </c>
      <c r="G13" s="270">
        <f>1967+140</f>
        <v>2107</v>
      </c>
      <c r="H13" s="270">
        <f>1967+140</f>
        <v>2107</v>
      </c>
      <c r="I13" s="504">
        <f>1967+140+40</f>
        <v>2147</v>
      </c>
      <c r="J13" s="270">
        <v>1347</v>
      </c>
      <c r="K13" s="466">
        <f t="shared" si="2"/>
        <v>0.63929757949691501</v>
      </c>
    </row>
    <row r="14" spans="1:11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7300</v>
      </c>
      <c r="H14" s="216">
        <v>7300</v>
      </c>
      <c r="I14" s="216">
        <v>7300</v>
      </c>
      <c r="J14" s="216">
        <v>4270</v>
      </c>
      <c r="K14" s="466">
        <f t="shared" si="2"/>
        <v>0.58493150684931505</v>
      </c>
    </row>
    <row r="15" spans="1:11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>3910-140</f>
        <v>3770</v>
      </c>
      <c r="F15" s="170">
        <f>3910-140</f>
        <v>3770</v>
      </c>
      <c r="G15" s="170">
        <f>3910-140</f>
        <v>3770</v>
      </c>
      <c r="H15" s="170">
        <f>3910-140</f>
        <v>3770</v>
      </c>
      <c r="I15" s="170">
        <f>3910-140</f>
        <v>3770</v>
      </c>
      <c r="J15" s="170">
        <v>3021</v>
      </c>
      <c r="K15" s="466">
        <f t="shared" si="2"/>
        <v>0.80132625994694962</v>
      </c>
    </row>
    <row r="16" spans="1:11" x14ac:dyDescent="0.25">
      <c r="A16" s="115">
        <v>212</v>
      </c>
      <c r="B16" s="116" t="s">
        <v>14</v>
      </c>
      <c r="C16" s="9">
        <v>18763</v>
      </c>
      <c r="D16" s="459">
        <f t="shared" ref="D16:H16" si="4">18763+500+375</f>
        <v>19638</v>
      </c>
      <c r="E16" s="9">
        <f t="shared" si="4"/>
        <v>19638</v>
      </c>
      <c r="F16" s="9">
        <f t="shared" si="4"/>
        <v>19638</v>
      </c>
      <c r="G16" s="9">
        <f t="shared" si="4"/>
        <v>19638</v>
      </c>
      <c r="H16" s="9">
        <f t="shared" si="4"/>
        <v>19638</v>
      </c>
      <c r="I16" s="459">
        <f>18763+500+375-40</f>
        <v>19598</v>
      </c>
      <c r="J16" s="9">
        <v>12618</v>
      </c>
      <c r="K16" s="466">
        <f t="shared" si="2"/>
        <v>0.64252978918423465</v>
      </c>
    </row>
    <row r="17" spans="1:22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>400+1000</f>
        <v>1400</v>
      </c>
      <c r="G17" s="219">
        <f>400+1000</f>
        <v>1400</v>
      </c>
      <c r="H17" s="219">
        <f>400+1000</f>
        <v>1400</v>
      </c>
      <c r="I17" s="219">
        <f>400+1000</f>
        <v>1400</v>
      </c>
      <c r="J17" s="219">
        <v>1280</v>
      </c>
      <c r="K17" s="466">
        <f t="shared" si="2"/>
        <v>0.91428571428571426</v>
      </c>
      <c r="L17" s="123">
        <f>SUM(C13:C17)</f>
        <v>32340</v>
      </c>
      <c r="M17" s="123">
        <f t="shared" ref="M17:S17" si="5">SUM(D13:D17)</f>
        <v>33215</v>
      </c>
      <c r="N17" s="123">
        <f t="shared" si="5"/>
        <v>33215</v>
      </c>
      <c r="O17" s="123">
        <f t="shared" si="5"/>
        <v>34215</v>
      </c>
      <c r="P17" s="123">
        <f t="shared" si="5"/>
        <v>34215</v>
      </c>
      <c r="Q17" s="123">
        <f t="shared" si="5"/>
        <v>34215</v>
      </c>
      <c r="R17" s="123">
        <f t="shared" si="5"/>
        <v>34215</v>
      </c>
      <c r="S17" s="123">
        <f t="shared" si="5"/>
        <v>22536</v>
      </c>
    </row>
    <row r="18" spans="1:22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5000</v>
      </c>
      <c r="H18" s="220">
        <v>5000</v>
      </c>
      <c r="I18" s="220">
        <v>5000</v>
      </c>
      <c r="J18" s="220">
        <v>4076</v>
      </c>
      <c r="K18" s="466">
        <f t="shared" si="2"/>
        <v>0.81520000000000004</v>
      </c>
    </row>
    <row r="19" spans="1:22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555">
        <v>400</v>
      </c>
      <c r="I19" s="219">
        <v>400</v>
      </c>
      <c r="J19" s="219">
        <v>400</v>
      </c>
      <c r="K19" s="466">
        <v>0</v>
      </c>
    </row>
    <row r="20" spans="1:22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900</v>
      </c>
      <c r="H20" s="216">
        <v>900</v>
      </c>
      <c r="I20" s="216">
        <v>900</v>
      </c>
      <c r="J20" s="216">
        <v>446</v>
      </c>
      <c r="K20" s="466">
        <f t="shared" si="2"/>
        <v>0.49555555555555558</v>
      </c>
    </row>
    <row r="21" spans="1:22" x14ac:dyDescent="0.25">
      <c r="A21" s="115">
        <v>223</v>
      </c>
      <c r="B21" s="116" t="s">
        <v>19</v>
      </c>
      <c r="C21" s="9">
        <v>20000</v>
      </c>
      <c r="D21" s="459">
        <f t="shared" ref="D21:I21" si="6">20000-2000</f>
        <v>18000</v>
      </c>
      <c r="E21" s="9">
        <f t="shared" si="6"/>
        <v>18000</v>
      </c>
      <c r="F21" s="9">
        <f t="shared" si="6"/>
        <v>18000</v>
      </c>
      <c r="G21" s="9">
        <f t="shared" si="6"/>
        <v>18000</v>
      </c>
      <c r="H21" s="9">
        <f t="shared" si="6"/>
        <v>18000</v>
      </c>
      <c r="I21" s="9">
        <f t="shared" si="6"/>
        <v>18000</v>
      </c>
      <c r="J21" s="9">
        <v>11747</v>
      </c>
      <c r="K21" s="466">
        <f t="shared" si="2"/>
        <v>0.65261111111111114</v>
      </c>
    </row>
    <row r="22" spans="1:22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500</v>
      </c>
      <c r="H22" s="9">
        <v>500</v>
      </c>
      <c r="I22" s="9">
        <v>500</v>
      </c>
      <c r="J22" s="9">
        <v>0</v>
      </c>
      <c r="K22" s="466">
        <f t="shared" si="2"/>
        <v>0</v>
      </c>
    </row>
    <row r="23" spans="1:22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f>33000+1000</f>
        <v>34000</v>
      </c>
      <c r="H23" s="9">
        <f>33000+1000</f>
        <v>34000</v>
      </c>
      <c r="I23" s="9">
        <f>33000+1000</f>
        <v>34000</v>
      </c>
      <c r="J23" s="9">
        <v>31610</v>
      </c>
      <c r="K23" s="466">
        <f t="shared" si="2"/>
        <v>0.92970588235294116</v>
      </c>
    </row>
    <row r="24" spans="1:22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1000</v>
      </c>
      <c r="H24" s="9">
        <v>1000</v>
      </c>
      <c r="I24" s="9">
        <v>1000</v>
      </c>
      <c r="J24" s="9">
        <v>124</v>
      </c>
      <c r="K24" s="466">
        <f t="shared" si="2"/>
        <v>0.124</v>
      </c>
    </row>
    <row r="25" spans="1:22" x14ac:dyDescent="0.25">
      <c r="A25" s="115">
        <v>223</v>
      </c>
      <c r="B25" s="116" t="s">
        <v>21</v>
      </c>
      <c r="C25" s="9">
        <v>700</v>
      </c>
      <c r="D25" s="9">
        <v>700</v>
      </c>
      <c r="E25" s="9">
        <v>700</v>
      </c>
      <c r="F25" s="9">
        <v>700</v>
      </c>
      <c r="G25" s="9">
        <v>700</v>
      </c>
      <c r="H25" s="9">
        <v>700</v>
      </c>
      <c r="I25" s="9">
        <v>700</v>
      </c>
      <c r="J25" s="9">
        <v>557</v>
      </c>
      <c r="K25" s="466">
        <f t="shared" si="2"/>
        <v>0.79571428571428571</v>
      </c>
    </row>
    <row r="26" spans="1:22" x14ac:dyDescent="0.25">
      <c r="A26" s="115">
        <v>223</v>
      </c>
      <c r="B26" s="116" t="s">
        <v>22</v>
      </c>
      <c r="C26" s="9">
        <f t="shared" ref="C26:I26" si="7">31000+2000</f>
        <v>33000</v>
      </c>
      <c r="D26" s="9">
        <f t="shared" si="7"/>
        <v>33000</v>
      </c>
      <c r="E26" s="9">
        <f t="shared" si="7"/>
        <v>33000</v>
      </c>
      <c r="F26" s="9">
        <f t="shared" si="7"/>
        <v>33000</v>
      </c>
      <c r="G26" s="9">
        <f t="shared" si="7"/>
        <v>33000</v>
      </c>
      <c r="H26" s="9">
        <f t="shared" si="7"/>
        <v>33000</v>
      </c>
      <c r="I26" s="9">
        <f t="shared" si="7"/>
        <v>33000</v>
      </c>
      <c r="J26" s="9">
        <v>25627</v>
      </c>
      <c r="K26" s="466">
        <f t="shared" si="2"/>
        <v>0.77657575757575759</v>
      </c>
    </row>
    <row r="27" spans="1:22" x14ac:dyDescent="0.25">
      <c r="A27" s="115">
        <v>223</v>
      </c>
      <c r="B27" s="116" t="s">
        <v>23</v>
      </c>
      <c r="C27" s="9">
        <v>21460</v>
      </c>
      <c r="D27" s="9">
        <v>21460</v>
      </c>
      <c r="E27" s="9">
        <v>21460</v>
      </c>
      <c r="F27" s="9">
        <v>21460</v>
      </c>
      <c r="G27" s="9">
        <v>21460</v>
      </c>
      <c r="H27" s="9">
        <v>21460</v>
      </c>
      <c r="I27" s="9">
        <v>21460</v>
      </c>
      <c r="J27" s="9">
        <v>13250</v>
      </c>
      <c r="K27" s="466">
        <f t="shared" si="2"/>
        <v>0.61742777260018644</v>
      </c>
    </row>
    <row r="28" spans="1:22" x14ac:dyDescent="0.25">
      <c r="A28" s="115">
        <v>223</v>
      </c>
      <c r="B28" s="116" t="s">
        <v>24</v>
      </c>
      <c r="C28" s="9">
        <v>18000</v>
      </c>
      <c r="D28" s="9">
        <v>18000</v>
      </c>
      <c r="E28" s="9">
        <v>18000</v>
      </c>
      <c r="F28" s="9">
        <v>18000</v>
      </c>
      <c r="G28" s="9">
        <v>18000</v>
      </c>
      <c r="H28" s="459">
        <f>18000+9600</f>
        <v>27600</v>
      </c>
      <c r="I28" s="459">
        <f>18000+9600-1000</f>
        <v>26600</v>
      </c>
      <c r="J28" s="9">
        <v>15227</v>
      </c>
      <c r="K28" s="466">
        <f t="shared" si="2"/>
        <v>0.55170289855072463</v>
      </c>
    </row>
    <row r="29" spans="1:22" x14ac:dyDescent="0.25">
      <c r="A29" s="115">
        <v>223</v>
      </c>
      <c r="B29" s="116" t="s">
        <v>222</v>
      </c>
      <c r="C29" s="9">
        <v>240</v>
      </c>
      <c r="D29" s="9">
        <v>240</v>
      </c>
      <c r="E29" s="9">
        <v>240</v>
      </c>
      <c r="F29" s="9">
        <v>240</v>
      </c>
      <c r="G29" s="9">
        <v>240</v>
      </c>
      <c r="H29" s="9">
        <v>240</v>
      </c>
      <c r="I29" s="9">
        <v>240</v>
      </c>
      <c r="J29" s="9">
        <v>39</v>
      </c>
      <c r="K29" s="466">
        <f t="shared" si="2"/>
        <v>0.16250000000000001</v>
      </c>
    </row>
    <row r="30" spans="1:22" x14ac:dyDescent="0.25">
      <c r="A30" s="115">
        <v>223</v>
      </c>
      <c r="B30" s="116" t="s">
        <v>25</v>
      </c>
      <c r="C30" s="9">
        <v>2000</v>
      </c>
      <c r="D30" s="9">
        <v>2000</v>
      </c>
      <c r="E30" s="9">
        <v>2000</v>
      </c>
      <c r="F30" s="9">
        <v>2000</v>
      </c>
      <c r="G30" s="9">
        <v>2000</v>
      </c>
      <c r="H30" s="459">
        <f>2000+200</f>
        <v>2200</v>
      </c>
      <c r="I30" s="9">
        <f>2000+200</f>
        <v>2200</v>
      </c>
      <c r="J30" s="9">
        <v>1427</v>
      </c>
      <c r="K30" s="466">
        <f t="shared" si="2"/>
        <v>0.64863636363636368</v>
      </c>
    </row>
    <row r="31" spans="1:22" x14ac:dyDescent="0.25">
      <c r="A31" s="164">
        <v>223</v>
      </c>
      <c r="B31" s="165" t="s">
        <v>187</v>
      </c>
      <c r="C31" s="271">
        <v>50000</v>
      </c>
      <c r="D31" s="271">
        <v>50000</v>
      </c>
      <c r="E31" s="271">
        <v>50000</v>
      </c>
      <c r="F31" s="271">
        <v>50000</v>
      </c>
      <c r="G31" s="271">
        <v>50000</v>
      </c>
      <c r="H31" s="567">
        <f>50000-14000</f>
        <v>36000</v>
      </c>
      <c r="I31" s="567">
        <f>50000-14000+1000</f>
        <v>37000</v>
      </c>
      <c r="J31" s="271">
        <v>31780</v>
      </c>
      <c r="K31" s="466">
        <f t="shared" si="2"/>
        <v>0.88277777777777777</v>
      </c>
      <c r="L31" s="123">
        <f t="shared" ref="L31:S31" si="8">SUM(C20:C32)</f>
        <v>180900</v>
      </c>
      <c r="M31" s="123">
        <f t="shared" si="8"/>
        <v>178900</v>
      </c>
      <c r="N31" s="123">
        <f t="shared" si="8"/>
        <v>178900</v>
      </c>
      <c r="O31" s="123">
        <f t="shared" si="8"/>
        <v>179900</v>
      </c>
      <c r="P31" s="123">
        <f t="shared" si="8"/>
        <v>179900</v>
      </c>
      <c r="Q31" s="123">
        <f t="shared" si="8"/>
        <v>175700</v>
      </c>
      <c r="R31" s="123">
        <f t="shared" si="8"/>
        <v>175700</v>
      </c>
      <c r="S31" s="123">
        <f t="shared" si="8"/>
        <v>131834</v>
      </c>
      <c r="T31" s="123"/>
      <c r="U31" s="123"/>
      <c r="V31" s="123"/>
    </row>
    <row r="32" spans="1:22" ht="15.75" thickBot="1" x14ac:dyDescent="0.3">
      <c r="A32" s="117">
        <v>223</v>
      </c>
      <c r="B32" s="118" t="s">
        <v>26</v>
      </c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0</v>
      </c>
      <c r="K32" s="466">
        <f t="shared" si="2"/>
        <v>0</v>
      </c>
      <c r="L32" s="123">
        <f t="shared" ref="L32:S32" si="9">SUM(C18:C32)</f>
        <v>185900</v>
      </c>
      <c r="M32" s="123">
        <f t="shared" si="9"/>
        <v>183900</v>
      </c>
      <c r="N32" s="123">
        <f t="shared" si="9"/>
        <v>183900</v>
      </c>
      <c r="O32" s="123">
        <f t="shared" si="9"/>
        <v>184900</v>
      </c>
      <c r="P32" s="123">
        <f t="shared" si="9"/>
        <v>184900</v>
      </c>
      <c r="Q32" s="123">
        <f t="shared" si="9"/>
        <v>181100</v>
      </c>
      <c r="R32" s="123">
        <f t="shared" si="9"/>
        <v>181100</v>
      </c>
      <c r="S32" s="123">
        <f t="shared" si="9"/>
        <v>136310</v>
      </c>
    </row>
    <row r="33" spans="1:19" ht="15.75" thickBot="1" x14ac:dyDescent="0.3">
      <c r="A33" s="572" t="s">
        <v>27</v>
      </c>
      <c r="B33" s="573"/>
      <c r="C33" s="1">
        <f t="shared" ref="C33:J33" si="10">SUM(C34)</f>
        <v>400</v>
      </c>
      <c r="D33" s="1">
        <f t="shared" si="10"/>
        <v>400</v>
      </c>
      <c r="E33" s="1">
        <f t="shared" si="10"/>
        <v>400</v>
      </c>
      <c r="F33" s="1">
        <f t="shared" si="10"/>
        <v>400</v>
      </c>
      <c r="G33" s="1">
        <f t="shared" si="10"/>
        <v>400</v>
      </c>
      <c r="H33" s="1">
        <f t="shared" si="10"/>
        <v>400</v>
      </c>
      <c r="I33" s="1">
        <f t="shared" si="10"/>
        <v>400</v>
      </c>
      <c r="J33" s="1">
        <f t="shared" si="10"/>
        <v>312</v>
      </c>
      <c r="K33" s="466">
        <f t="shared" si="2"/>
        <v>0.78</v>
      </c>
      <c r="L33" s="123"/>
      <c r="M33" s="123"/>
      <c r="N33" s="123"/>
      <c r="O33" s="123"/>
      <c r="P33" s="123"/>
      <c r="Q33" s="123"/>
      <c r="R33" s="123"/>
      <c r="S33" s="123"/>
    </row>
    <row r="34" spans="1:19" ht="15.75" thickBot="1" x14ac:dyDescent="0.3">
      <c r="A34" s="124">
        <v>240</v>
      </c>
      <c r="B34" s="125" t="s">
        <v>28</v>
      </c>
      <c r="C34" s="10">
        <v>400</v>
      </c>
      <c r="D34" s="10">
        <v>400</v>
      </c>
      <c r="E34" s="10">
        <v>400</v>
      </c>
      <c r="F34" s="10">
        <v>400</v>
      </c>
      <c r="G34" s="10">
        <v>400</v>
      </c>
      <c r="H34" s="10">
        <v>400</v>
      </c>
      <c r="I34" s="10">
        <v>400</v>
      </c>
      <c r="J34" s="10">
        <v>312</v>
      </c>
      <c r="K34" s="466">
        <f t="shared" si="2"/>
        <v>0.78</v>
      </c>
    </row>
    <row r="35" spans="1:19" ht="15.75" thickBot="1" x14ac:dyDescent="0.3">
      <c r="A35" s="572" t="s">
        <v>29</v>
      </c>
      <c r="B35" s="573"/>
      <c r="C35" s="1">
        <f t="shared" ref="C35:J35" si="11">SUM(C36:C42)</f>
        <v>28250</v>
      </c>
      <c r="D35" s="1">
        <f t="shared" si="11"/>
        <v>31212</v>
      </c>
      <c r="E35" s="1">
        <f t="shared" si="11"/>
        <v>31212</v>
      </c>
      <c r="F35" s="1">
        <f t="shared" si="11"/>
        <v>34212</v>
      </c>
      <c r="G35" s="1">
        <f t="shared" si="11"/>
        <v>35212</v>
      </c>
      <c r="H35" s="1">
        <f t="shared" si="11"/>
        <v>35212</v>
      </c>
      <c r="I35" s="1">
        <f t="shared" ref="I35" si="12">SUM(I36:I42)</f>
        <v>39912</v>
      </c>
      <c r="J35" s="1">
        <f t="shared" si="11"/>
        <v>14534</v>
      </c>
      <c r="K35" s="466">
        <f t="shared" si="2"/>
        <v>0.4127570146540952</v>
      </c>
    </row>
    <row r="36" spans="1:19" x14ac:dyDescent="0.25">
      <c r="A36" s="13">
        <v>292</v>
      </c>
      <c r="B36" s="14" t="s">
        <v>30</v>
      </c>
      <c r="C36" s="15">
        <v>0</v>
      </c>
      <c r="D36" s="15">
        <v>0</v>
      </c>
      <c r="E36" s="15">
        <v>0</v>
      </c>
      <c r="F36" s="15">
        <v>0</v>
      </c>
      <c r="G36" s="482">
        <v>1000</v>
      </c>
      <c r="H36" s="15">
        <v>1000</v>
      </c>
      <c r="I36" s="15">
        <v>1000</v>
      </c>
      <c r="J36" s="15">
        <v>0</v>
      </c>
      <c r="K36" s="466">
        <f t="shared" si="2"/>
        <v>0</v>
      </c>
    </row>
    <row r="37" spans="1:19" x14ac:dyDescent="0.25">
      <c r="A37" s="13">
        <v>292</v>
      </c>
      <c r="B37" s="14" t="s">
        <v>31</v>
      </c>
      <c r="C37" s="15">
        <v>400</v>
      </c>
      <c r="D37" s="15">
        <v>400</v>
      </c>
      <c r="E37" s="15">
        <v>400</v>
      </c>
      <c r="F37" s="15">
        <v>400</v>
      </c>
      <c r="G37" s="15">
        <v>400</v>
      </c>
      <c r="H37" s="15">
        <v>400</v>
      </c>
      <c r="I37" s="15">
        <v>400</v>
      </c>
      <c r="J37" s="15">
        <v>165</v>
      </c>
      <c r="K37" s="466">
        <f t="shared" si="2"/>
        <v>0.41249999999999998</v>
      </c>
    </row>
    <row r="38" spans="1:19" x14ac:dyDescent="0.25">
      <c r="A38" s="16">
        <v>292</v>
      </c>
      <c r="B38" s="17" t="s">
        <v>176</v>
      </c>
      <c r="C38" s="168">
        <v>0</v>
      </c>
      <c r="D38" s="465">
        <v>2950</v>
      </c>
      <c r="E38" s="168">
        <v>2950</v>
      </c>
      <c r="F38" s="168">
        <v>2950</v>
      </c>
      <c r="G38" s="168">
        <v>2950</v>
      </c>
      <c r="H38" s="168">
        <v>2950</v>
      </c>
      <c r="I38" s="168">
        <v>2950</v>
      </c>
      <c r="J38" s="168">
        <v>2949</v>
      </c>
      <c r="K38" s="466">
        <f t="shared" si="2"/>
        <v>0.99966101694915255</v>
      </c>
    </row>
    <row r="39" spans="1:19" x14ac:dyDescent="0.25">
      <c r="A39" s="16">
        <v>292</v>
      </c>
      <c r="B39" s="17" t="s">
        <v>177</v>
      </c>
      <c r="C39" s="18">
        <v>10000</v>
      </c>
      <c r="D39" s="18">
        <v>10000</v>
      </c>
      <c r="E39" s="18">
        <v>10000</v>
      </c>
      <c r="F39" s="18">
        <v>10000</v>
      </c>
      <c r="G39" s="18">
        <v>10000</v>
      </c>
      <c r="H39" s="18">
        <v>10000</v>
      </c>
      <c r="I39" s="18">
        <v>10000</v>
      </c>
      <c r="J39" s="18">
        <v>255</v>
      </c>
      <c r="K39" s="466">
        <f t="shared" si="2"/>
        <v>2.5499999999999998E-2</v>
      </c>
    </row>
    <row r="40" spans="1:19" x14ac:dyDescent="0.25">
      <c r="A40" s="16">
        <v>292</v>
      </c>
      <c r="B40" s="116" t="s">
        <v>32</v>
      </c>
      <c r="C40" s="171">
        <v>240</v>
      </c>
      <c r="D40" s="460">
        <f t="shared" ref="D40:I40" si="13">240+12</f>
        <v>252</v>
      </c>
      <c r="E40" s="171">
        <f t="shared" si="13"/>
        <v>252</v>
      </c>
      <c r="F40" s="171">
        <f t="shared" si="13"/>
        <v>252</v>
      </c>
      <c r="G40" s="171">
        <f t="shared" si="13"/>
        <v>252</v>
      </c>
      <c r="H40" s="171">
        <f t="shared" si="13"/>
        <v>252</v>
      </c>
      <c r="I40" s="171">
        <f t="shared" si="13"/>
        <v>252</v>
      </c>
      <c r="J40" s="171">
        <v>126</v>
      </c>
      <c r="K40" s="466">
        <f t="shared" si="2"/>
        <v>0.5</v>
      </c>
    </row>
    <row r="41" spans="1:19" x14ac:dyDescent="0.25">
      <c r="A41" s="16">
        <v>292</v>
      </c>
      <c r="B41" s="17" t="s">
        <v>33</v>
      </c>
      <c r="C41" s="18">
        <f>17710-240</f>
        <v>17470</v>
      </c>
      <c r="D41" s="18">
        <f>17710+12-D40</f>
        <v>17470</v>
      </c>
      <c r="E41" s="18">
        <f>17710+12-E40</f>
        <v>17470</v>
      </c>
      <c r="F41" s="477">
        <f>17710+12-F40+3000</f>
        <v>20470</v>
      </c>
      <c r="G41" s="18">
        <f>17710+12-G40+3000</f>
        <v>20470</v>
      </c>
      <c r="H41" s="18">
        <f>17710+12-H40+3000</f>
        <v>20470</v>
      </c>
      <c r="I41" s="477">
        <f>17710+12-I40+3000+2500+2200</f>
        <v>25170</v>
      </c>
      <c r="J41" s="18">
        <f>11025-J40</f>
        <v>10899</v>
      </c>
      <c r="K41" s="466">
        <f t="shared" si="2"/>
        <v>0.532437713727406</v>
      </c>
    </row>
    <row r="42" spans="1:19" ht="15.75" thickBot="1" x14ac:dyDescent="0.3">
      <c r="A42" s="16">
        <v>292</v>
      </c>
      <c r="B42" s="17" t="s">
        <v>235</v>
      </c>
      <c r="C42" s="18">
        <v>140</v>
      </c>
      <c r="D42" s="18">
        <v>140</v>
      </c>
      <c r="E42" s="18">
        <v>140</v>
      </c>
      <c r="F42" s="18">
        <v>140</v>
      </c>
      <c r="G42" s="18">
        <v>140</v>
      </c>
      <c r="H42" s="18">
        <v>140</v>
      </c>
      <c r="I42" s="18">
        <v>140</v>
      </c>
      <c r="J42" s="18">
        <v>140</v>
      </c>
      <c r="K42" s="466">
        <f t="shared" si="2"/>
        <v>1</v>
      </c>
    </row>
    <row r="43" spans="1:19" ht="15.75" thickBot="1" x14ac:dyDescent="0.3">
      <c r="A43" s="19" t="s">
        <v>34</v>
      </c>
      <c r="B43" s="20"/>
      <c r="C43" s="1">
        <f t="shared" ref="C43:J43" si="14">SUM(C44:C67)</f>
        <v>694110</v>
      </c>
      <c r="D43" s="1">
        <f t="shared" si="14"/>
        <v>713823</v>
      </c>
      <c r="E43" s="1">
        <f t="shared" si="14"/>
        <v>720268</v>
      </c>
      <c r="F43" s="1">
        <f t="shared" si="14"/>
        <v>743313</v>
      </c>
      <c r="G43" s="1">
        <f t="shared" si="14"/>
        <v>744024</v>
      </c>
      <c r="H43" s="1">
        <f t="shared" si="14"/>
        <v>765587</v>
      </c>
      <c r="I43" s="1">
        <f t="shared" si="14"/>
        <v>763363</v>
      </c>
      <c r="J43" s="1">
        <f t="shared" si="14"/>
        <v>524955</v>
      </c>
      <c r="K43" s="466">
        <f t="shared" si="2"/>
        <v>0.68568954279526695</v>
      </c>
    </row>
    <row r="44" spans="1:19" x14ac:dyDescent="0.25">
      <c r="A44" s="21">
        <v>311</v>
      </c>
      <c r="B44" s="22" t="s">
        <v>178</v>
      </c>
      <c r="C44" s="23">
        <v>0</v>
      </c>
      <c r="D44" s="23">
        <v>0</v>
      </c>
      <c r="E44" s="23">
        <v>0</v>
      </c>
      <c r="F44" s="461">
        <v>3000</v>
      </c>
      <c r="G44" s="23">
        <v>3000</v>
      </c>
      <c r="H44" s="23">
        <v>3000</v>
      </c>
      <c r="I44" s="23">
        <v>3000</v>
      </c>
      <c r="J44" s="23">
        <v>3000</v>
      </c>
      <c r="K44" s="466">
        <f t="shared" si="2"/>
        <v>1</v>
      </c>
    </row>
    <row r="45" spans="1:19" x14ac:dyDescent="0.25">
      <c r="A45" s="21">
        <v>311</v>
      </c>
      <c r="B45" s="22" t="s">
        <v>212</v>
      </c>
      <c r="C45" s="23">
        <v>0</v>
      </c>
      <c r="D45" s="461">
        <v>460</v>
      </c>
      <c r="E45" s="23">
        <v>460</v>
      </c>
      <c r="F45" s="23">
        <v>460</v>
      </c>
      <c r="G45" s="23">
        <v>460</v>
      </c>
      <c r="H45" s="23">
        <v>460</v>
      </c>
      <c r="I45" s="23">
        <v>460</v>
      </c>
      <c r="J45" s="23">
        <v>460</v>
      </c>
      <c r="K45" s="466">
        <f t="shared" si="2"/>
        <v>1</v>
      </c>
    </row>
    <row r="46" spans="1:19" x14ac:dyDescent="0.25">
      <c r="A46" s="27">
        <v>312</v>
      </c>
      <c r="B46" s="22" t="s">
        <v>443</v>
      </c>
      <c r="C46" s="28">
        <v>0</v>
      </c>
      <c r="D46" s="28">
        <v>0</v>
      </c>
      <c r="E46" s="462">
        <v>6000</v>
      </c>
      <c r="F46" s="28">
        <v>6000</v>
      </c>
      <c r="G46" s="28">
        <v>6000</v>
      </c>
      <c r="H46" s="28">
        <v>6000</v>
      </c>
      <c r="I46" s="28">
        <v>6000</v>
      </c>
      <c r="J46" s="28">
        <v>6000</v>
      </c>
      <c r="K46" s="466">
        <f t="shared" si="2"/>
        <v>1</v>
      </c>
    </row>
    <row r="47" spans="1:19" x14ac:dyDescent="0.25">
      <c r="A47" s="21">
        <v>312</v>
      </c>
      <c r="B47" s="22" t="s">
        <v>236</v>
      </c>
      <c r="C47" s="23">
        <v>8220</v>
      </c>
      <c r="D47" s="23">
        <v>8220</v>
      </c>
      <c r="E47" s="23">
        <v>8220</v>
      </c>
      <c r="F47" s="23">
        <v>8220</v>
      </c>
      <c r="G47" s="23">
        <v>8220</v>
      </c>
      <c r="H47" s="23">
        <v>8220</v>
      </c>
      <c r="I47" s="23">
        <v>8220</v>
      </c>
      <c r="J47" s="23">
        <v>5392</v>
      </c>
      <c r="K47" s="466">
        <f t="shared" si="2"/>
        <v>0.65596107055961073</v>
      </c>
    </row>
    <row r="48" spans="1:19" x14ac:dyDescent="0.25">
      <c r="A48" s="21">
        <v>312</v>
      </c>
      <c r="B48" s="22" t="s">
        <v>35</v>
      </c>
      <c r="C48" s="23">
        <v>4000</v>
      </c>
      <c r="D48" s="461">
        <f>4000+2100</f>
        <v>6100</v>
      </c>
      <c r="E48" s="461">
        <f>4000+2100+145</f>
        <v>6245</v>
      </c>
      <c r="F48" s="461">
        <f>4000+2100+145+5</f>
        <v>6250</v>
      </c>
      <c r="G48" s="23">
        <f>4000+2100+145+5</f>
        <v>6250</v>
      </c>
      <c r="H48" s="23">
        <f>4000+2100+145+5</f>
        <v>6250</v>
      </c>
      <c r="I48" s="23">
        <f>4000+2100+145+5</f>
        <v>6250</v>
      </c>
      <c r="J48" s="23">
        <v>6211</v>
      </c>
      <c r="K48" s="466">
        <f t="shared" si="2"/>
        <v>0.99375999999999998</v>
      </c>
    </row>
    <row r="49" spans="1:11" x14ac:dyDescent="0.25">
      <c r="A49" s="24">
        <v>312</v>
      </c>
      <c r="B49" s="116" t="s">
        <v>568</v>
      </c>
      <c r="C49" s="7">
        <v>7200</v>
      </c>
      <c r="D49" s="7">
        <v>7200</v>
      </c>
      <c r="E49" s="7">
        <v>7200</v>
      </c>
      <c r="F49" s="216">
        <v>7200</v>
      </c>
      <c r="G49" s="216">
        <v>7200</v>
      </c>
      <c r="H49" s="463">
        <f>7200+20000+1457</f>
        <v>28657</v>
      </c>
      <c r="I49" s="216">
        <f>7200+20000+1457</f>
        <v>28657</v>
      </c>
      <c r="J49" s="7">
        <v>25644</v>
      </c>
      <c r="K49" s="466">
        <f t="shared" si="2"/>
        <v>0.89485989461562621</v>
      </c>
    </row>
    <row r="50" spans="1:11" x14ac:dyDescent="0.25">
      <c r="A50" s="24">
        <v>312</v>
      </c>
      <c r="B50" s="116" t="s">
        <v>37</v>
      </c>
      <c r="C50" s="7">
        <v>1000</v>
      </c>
      <c r="D50" s="7">
        <v>1000</v>
      </c>
      <c r="E50" s="7">
        <v>1000</v>
      </c>
      <c r="F50" s="216">
        <v>1000</v>
      </c>
      <c r="G50" s="216">
        <v>1000</v>
      </c>
      <c r="H50" s="216">
        <v>1000</v>
      </c>
      <c r="I50" s="216">
        <v>1000</v>
      </c>
      <c r="J50" s="7">
        <f>8+219</f>
        <v>227</v>
      </c>
      <c r="K50" s="466">
        <f t="shared" si="2"/>
        <v>0.22700000000000001</v>
      </c>
    </row>
    <row r="51" spans="1:11" x14ac:dyDescent="0.25">
      <c r="A51" s="21">
        <v>312</v>
      </c>
      <c r="B51" s="22" t="s">
        <v>402</v>
      </c>
      <c r="C51" s="23">
        <v>0</v>
      </c>
      <c r="D51" s="23">
        <v>0</v>
      </c>
      <c r="E51" s="461">
        <v>300</v>
      </c>
      <c r="F51" s="23">
        <v>300</v>
      </c>
      <c r="G51" s="23">
        <v>300</v>
      </c>
      <c r="H51" s="23">
        <v>300</v>
      </c>
      <c r="I51" s="23">
        <v>300</v>
      </c>
      <c r="J51" s="23">
        <v>300</v>
      </c>
      <c r="K51" s="466">
        <f t="shared" si="2"/>
        <v>1</v>
      </c>
    </row>
    <row r="52" spans="1:11" x14ac:dyDescent="0.25">
      <c r="A52" s="24">
        <v>312</v>
      </c>
      <c r="B52" s="25" t="s">
        <v>166</v>
      </c>
      <c r="C52" s="26">
        <v>14440</v>
      </c>
      <c r="D52" s="26">
        <v>14440</v>
      </c>
      <c r="E52" s="26">
        <v>14440</v>
      </c>
      <c r="F52" s="262">
        <v>14440</v>
      </c>
      <c r="G52" s="262">
        <v>14440</v>
      </c>
      <c r="H52" s="262">
        <v>14440</v>
      </c>
      <c r="I52" s="262">
        <v>14440</v>
      </c>
      <c r="J52" s="26">
        <v>2208</v>
      </c>
      <c r="K52" s="466">
        <f t="shared" si="2"/>
        <v>0.15290858725761772</v>
      </c>
    </row>
    <row r="53" spans="1:11" x14ac:dyDescent="0.25">
      <c r="A53" s="24">
        <v>312</v>
      </c>
      <c r="B53" s="25" t="s">
        <v>238</v>
      </c>
      <c r="C53" s="26">
        <v>3800</v>
      </c>
      <c r="D53" s="26">
        <v>3800</v>
      </c>
      <c r="E53" s="26">
        <v>3800</v>
      </c>
      <c r="F53" s="262">
        <v>3800</v>
      </c>
      <c r="G53" s="262">
        <v>3800</v>
      </c>
      <c r="H53" s="262">
        <v>3800</v>
      </c>
      <c r="I53" s="262">
        <v>3800</v>
      </c>
      <c r="J53" s="26">
        <v>0</v>
      </c>
      <c r="K53" s="466">
        <f t="shared" si="2"/>
        <v>0</v>
      </c>
    </row>
    <row r="54" spans="1:11" x14ac:dyDescent="0.25">
      <c r="A54" s="24">
        <v>312</v>
      </c>
      <c r="B54" s="25" t="s">
        <v>237</v>
      </c>
      <c r="C54" s="26">
        <v>950</v>
      </c>
      <c r="D54" s="26">
        <v>950</v>
      </c>
      <c r="E54" s="26">
        <v>950</v>
      </c>
      <c r="F54" s="262">
        <v>950</v>
      </c>
      <c r="G54" s="262">
        <v>950</v>
      </c>
      <c r="H54" s="262">
        <v>950</v>
      </c>
      <c r="I54" s="262">
        <v>950</v>
      </c>
      <c r="J54" s="26">
        <v>0</v>
      </c>
      <c r="K54" s="466">
        <f t="shared" si="2"/>
        <v>0</v>
      </c>
    </row>
    <row r="55" spans="1:11" x14ac:dyDescent="0.25">
      <c r="A55" s="21">
        <v>312</v>
      </c>
      <c r="B55" s="22" t="s">
        <v>349</v>
      </c>
      <c r="C55" s="23">
        <v>0</v>
      </c>
      <c r="D55" s="461">
        <v>30</v>
      </c>
      <c r="E55" s="23">
        <v>30</v>
      </c>
      <c r="F55" s="23">
        <v>30</v>
      </c>
      <c r="G55" s="23">
        <v>30</v>
      </c>
      <c r="H55" s="23">
        <v>30</v>
      </c>
      <c r="I55" s="23">
        <v>30</v>
      </c>
      <c r="J55" s="23">
        <v>30</v>
      </c>
      <c r="K55" s="466">
        <f t="shared" si="2"/>
        <v>1</v>
      </c>
    </row>
    <row r="56" spans="1:11" x14ac:dyDescent="0.25">
      <c r="A56" s="24">
        <v>312</v>
      </c>
      <c r="B56" s="25" t="s">
        <v>38</v>
      </c>
      <c r="C56" s="7">
        <v>18300</v>
      </c>
      <c r="D56" s="7">
        <v>18300</v>
      </c>
      <c r="E56" s="7">
        <v>18300</v>
      </c>
      <c r="F56" s="216">
        <v>18300</v>
      </c>
      <c r="G56" s="216">
        <v>18300</v>
      </c>
      <c r="H56" s="216">
        <v>18300</v>
      </c>
      <c r="I56" s="463">
        <f>18300+1700</f>
        <v>20000</v>
      </c>
      <c r="J56" s="7">
        <v>14275</v>
      </c>
      <c r="K56" s="466">
        <f t="shared" si="2"/>
        <v>0.7800546448087432</v>
      </c>
    </row>
    <row r="57" spans="1:11" x14ac:dyDescent="0.25">
      <c r="A57" s="24">
        <v>312</v>
      </c>
      <c r="B57" s="25" t="s">
        <v>39</v>
      </c>
      <c r="C57" s="7">
        <v>8700</v>
      </c>
      <c r="D57" s="7">
        <v>8700</v>
      </c>
      <c r="E57" s="7">
        <v>8700</v>
      </c>
      <c r="F57" s="7">
        <v>8700</v>
      </c>
      <c r="G57" s="7">
        <v>8700</v>
      </c>
      <c r="H57" s="7">
        <v>8700</v>
      </c>
      <c r="I57" s="7">
        <v>8700</v>
      </c>
      <c r="J57" s="7">
        <v>6525</v>
      </c>
      <c r="K57" s="466">
        <f t="shared" si="2"/>
        <v>0.75</v>
      </c>
    </row>
    <row r="58" spans="1:11" x14ac:dyDescent="0.25">
      <c r="A58" s="24">
        <v>312</v>
      </c>
      <c r="B58" s="25" t="s">
        <v>40</v>
      </c>
      <c r="C58" s="7">
        <v>7900</v>
      </c>
      <c r="D58" s="7">
        <v>7900</v>
      </c>
      <c r="E58" s="7">
        <v>7900</v>
      </c>
      <c r="F58" s="463">
        <f>7900+200</f>
        <v>8100</v>
      </c>
      <c r="G58" s="216">
        <f>7900+200</f>
        <v>8100</v>
      </c>
      <c r="H58" s="216">
        <f>7900+200</f>
        <v>8100</v>
      </c>
      <c r="I58" s="216">
        <f>7900+200</f>
        <v>8100</v>
      </c>
      <c r="J58" s="7">
        <v>4020</v>
      </c>
      <c r="K58" s="466">
        <f t="shared" si="2"/>
        <v>0.49629629629629629</v>
      </c>
    </row>
    <row r="59" spans="1:11" x14ac:dyDescent="0.25">
      <c r="A59" s="24">
        <v>312</v>
      </c>
      <c r="B59" s="25" t="s">
        <v>499</v>
      </c>
      <c r="C59" s="7">
        <v>0</v>
      </c>
      <c r="D59" s="7">
        <v>0</v>
      </c>
      <c r="E59" s="7">
        <v>0</v>
      </c>
      <c r="F59" s="463">
        <f>2000+1500</f>
        <v>3500</v>
      </c>
      <c r="G59" s="216">
        <f>2000+1500</f>
        <v>3500</v>
      </c>
      <c r="H59" s="216">
        <f>2000+1500</f>
        <v>3500</v>
      </c>
      <c r="I59" s="216">
        <f>2000+1500</f>
        <v>3500</v>
      </c>
      <c r="J59" s="7">
        <v>3500</v>
      </c>
      <c r="K59" s="466">
        <f t="shared" si="2"/>
        <v>1</v>
      </c>
    </row>
    <row r="60" spans="1:11" x14ac:dyDescent="0.25">
      <c r="A60" s="24">
        <v>312</v>
      </c>
      <c r="B60" s="25" t="s">
        <v>41</v>
      </c>
      <c r="C60" s="7">
        <v>3000</v>
      </c>
      <c r="D60" s="7">
        <v>3000</v>
      </c>
      <c r="E60" s="7">
        <v>3000</v>
      </c>
      <c r="F60" s="7">
        <v>3000</v>
      </c>
      <c r="G60" s="216">
        <v>3000</v>
      </c>
      <c r="H60" s="216">
        <v>3000</v>
      </c>
      <c r="I60" s="216">
        <v>3000</v>
      </c>
      <c r="J60" s="7">
        <v>3000</v>
      </c>
      <c r="K60" s="466">
        <f t="shared" si="2"/>
        <v>1</v>
      </c>
    </row>
    <row r="61" spans="1:11" x14ac:dyDescent="0.25">
      <c r="A61" s="27">
        <v>312</v>
      </c>
      <c r="B61" s="22" t="s">
        <v>180</v>
      </c>
      <c r="C61" s="28">
        <v>0</v>
      </c>
      <c r="D61" s="462">
        <f>2000+2000</f>
        <v>4000</v>
      </c>
      <c r="E61" s="28">
        <f>2000+2000</f>
        <v>4000</v>
      </c>
      <c r="F61" s="462">
        <f>2000+2000+1900+2000+2200+2000+8000</f>
        <v>20100</v>
      </c>
      <c r="G61" s="28">
        <f>2000+2000+1900+2000+2200+2000+8000</f>
        <v>20100</v>
      </c>
      <c r="H61" s="28">
        <f>2000+2000+1900+2000+2200+2000+8000</f>
        <v>20100</v>
      </c>
      <c r="I61" s="462">
        <f>2000+2000+1900+2000+2200+2000+8000-6100</f>
        <v>14000</v>
      </c>
      <c r="J61" s="28">
        <v>14000</v>
      </c>
      <c r="K61" s="466">
        <f t="shared" si="2"/>
        <v>0.69651741293532343</v>
      </c>
    </row>
    <row r="62" spans="1:11" x14ac:dyDescent="0.25">
      <c r="A62" s="29">
        <v>312</v>
      </c>
      <c r="B62" s="116" t="s">
        <v>42</v>
      </c>
      <c r="C62" s="170">
        <v>4430</v>
      </c>
      <c r="D62" s="464">
        <f>4430-130</f>
        <v>4300</v>
      </c>
      <c r="E62" s="170">
        <f>4430-130</f>
        <v>4300</v>
      </c>
      <c r="F62" s="464">
        <f>4430-130+440</f>
        <v>4740</v>
      </c>
      <c r="G62" s="170">
        <f>4430-130+440</f>
        <v>4740</v>
      </c>
      <c r="H62" s="170">
        <f>4430-130+440</f>
        <v>4740</v>
      </c>
      <c r="I62" s="170">
        <f>4430-130+440</f>
        <v>4740</v>
      </c>
      <c r="J62" s="170">
        <v>4569</v>
      </c>
      <c r="K62" s="466">
        <f t="shared" si="2"/>
        <v>0.96392405063291142</v>
      </c>
    </row>
    <row r="63" spans="1:11" x14ac:dyDescent="0.25">
      <c r="A63" s="29">
        <v>312</v>
      </c>
      <c r="B63" s="126" t="s">
        <v>43</v>
      </c>
      <c r="C63" s="9">
        <v>3700</v>
      </c>
      <c r="D63" s="459">
        <f>3700-200</f>
        <v>3500</v>
      </c>
      <c r="E63" s="9">
        <f>3700-200</f>
        <v>3500</v>
      </c>
      <c r="F63" s="459">
        <f>3700-200-200</f>
        <v>3300</v>
      </c>
      <c r="G63" s="9">
        <f>3700-200-200</f>
        <v>3300</v>
      </c>
      <c r="H63" s="9">
        <f>3700-200-200</f>
        <v>3300</v>
      </c>
      <c r="I63" s="9">
        <f>3700-200-200</f>
        <v>3300</v>
      </c>
      <c r="J63" s="9">
        <v>3259</v>
      </c>
      <c r="K63" s="466">
        <f t="shared" si="2"/>
        <v>0.98757575757575755</v>
      </c>
    </row>
    <row r="64" spans="1:11" x14ac:dyDescent="0.25">
      <c r="A64" s="29">
        <v>312</v>
      </c>
      <c r="B64" s="30" t="s">
        <v>44</v>
      </c>
      <c r="C64" s="170">
        <v>3000</v>
      </c>
      <c r="D64" s="464">
        <f t="shared" ref="D64:I64" si="15">3000-470</f>
        <v>2530</v>
      </c>
      <c r="E64" s="170">
        <f t="shared" si="15"/>
        <v>2530</v>
      </c>
      <c r="F64" s="170">
        <f t="shared" si="15"/>
        <v>2530</v>
      </c>
      <c r="G64" s="170">
        <f t="shared" si="15"/>
        <v>2530</v>
      </c>
      <c r="H64" s="170">
        <f t="shared" si="15"/>
        <v>2530</v>
      </c>
      <c r="I64" s="170">
        <f t="shared" si="15"/>
        <v>2530</v>
      </c>
      <c r="J64" s="170">
        <v>1685</v>
      </c>
      <c r="K64" s="466">
        <f t="shared" si="2"/>
        <v>0.66600790513833996</v>
      </c>
    </row>
    <row r="65" spans="1:19" ht="15.75" customHeight="1" x14ac:dyDescent="0.25">
      <c r="A65" s="24">
        <v>312</v>
      </c>
      <c r="B65" s="25" t="s">
        <v>181</v>
      </c>
      <c r="C65" s="216">
        <v>102200</v>
      </c>
      <c r="D65" s="216">
        <v>102200</v>
      </c>
      <c r="E65" s="216">
        <v>102200</v>
      </c>
      <c r="F65" s="216">
        <v>102200</v>
      </c>
      <c r="G65" s="216">
        <v>102200</v>
      </c>
      <c r="H65" s="216">
        <v>102200</v>
      </c>
      <c r="I65" s="216">
        <v>102200</v>
      </c>
      <c r="J65" s="216">
        <v>28189</v>
      </c>
      <c r="K65" s="466">
        <f t="shared" si="2"/>
        <v>0.27582191780821919</v>
      </c>
    </row>
    <row r="66" spans="1:19" x14ac:dyDescent="0.25">
      <c r="A66" s="24">
        <v>312</v>
      </c>
      <c r="B66" s="25" t="s">
        <v>239</v>
      </c>
      <c r="C66" s="216">
        <v>31000</v>
      </c>
      <c r="D66" s="463">
        <f t="shared" ref="D66:I66" si="16">31000+104</f>
        <v>31104</v>
      </c>
      <c r="E66" s="216">
        <f t="shared" si="16"/>
        <v>31104</v>
      </c>
      <c r="F66" s="216">
        <f t="shared" si="16"/>
        <v>31104</v>
      </c>
      <c r="G66" s="216">
        <f t="shared" si="16"/>
        <v>31104</v>
      </c>
      <c r="H66" s="216">
        <f t="shared" si="16"/>
        <v>31104</v>
      </c>
      <c r="I66" s="216">
        <f t="shared" si="16"/>
        <v>31104</v>
      </c>
      <c r="J66" s="216">
        <v>23328</v>
      </c>
      <c r="K66" s="466">
        <f t="shared" ref="K66:K75" si="17">J66/H66</f>
        <v>0.75</v>
      </c>
    </row>
    <row r="67" spans="1:19" ht="16.5" thickBot="1" x14ac:dyDescent="0.3">
      <c r="A67" s="241">
        <v>312</v>
      </c>
      <c r="B67" s="242" t="s">
        <v>270</v>
      </c>
      <c r="C67" s="218">
        <f>440000+32270</f>
        <v>472270</v>
      </c>
      <c r="D67" s="218">
        <f>440000+32270+13819</f>
        <v>486089</v>
      </c>
      <c r="E67" s="218">
        <f>440000+32270+13819</f>
        <v>486089</v>
      </c>
      <c r="F67" s="218">
        <f>440000+32270+13819</f>
        <v>486089</v>
      </c>
      <c r="G67" s="218">
        <f>440000+32270+13819+711</f>
        <v>486800</v>
      </c>
      <c r="H67" s="571">
        <f>440000+32270+13819+711+106</f>
        <v>486906</v>
      </c>
      <c r="I67" s="571">
        <f>440000+32270+13819+711+106+2176</f>
        <v>489082</v>
      </c>
      <c r="J67" s="218">
        <v>369133</v>
      </c>
      <c r="K67" s="466">
        <f t="shared" si="17"/>
        <v>0.75811963705520158</v>
      </c>
      <c r="L67" s="123"/>
    </row>
    <row r="68" spans="1:19" ht="16.5" thickBot="1" x14ac:dyDescent="0.3">
      <c r="A68" s="31" t="s">
        <v>45</v>
      </c>
      <c r="B68" s="127"/>
      <c r="C68" s="32">
        <f t="shared" ref="C68:J68" si="18">SUM(C4+C12+C33+C35+C43)</f>
        <v>2092580</v>
      </c>
      <c r="D68" s="32">
        <f t="shared" si="18"/>
        <v>2136130</v>
      </c>
      <c r="E68" s="32">
        <f t="shared" si="18"/>
        <v>2143075</v>
      </c>
      <c r="F68" s="32">
        <f t="shared" si="18"/>
        <v>2172120</v>
      </c>
      <c r="G68" s="32">
        <f t="shared" si="18"/>
        <v>2213831</v>
      </c>
      <c r="H68" s="32">
        <f t="shared" si="18"/>
        <v>2221994</v>
      </c>
      <c r="I68" s="32">
        <f t="shared" si="18"/>
        <v>2220570</v>
      </c>
      <c r="J68" s="32">
        <f t="shared" si="18"/>
        <v>1597933</v>
      </c>
      <c r="K68" s="466">
        <f t="shared" si="17"/>
        <v>0.71914370605861222</v>
      </c>
      <c r="L68" s="123">
        <f>D68-C68</f>
        <v>43550</v>
      </c>
      <c r="M68" s="123">
        <f t="shared" ref="M68:Q68" si="19">E68-D68</f>
        <v>6945</v>
      </c>
      <c r="N68" s="123">
        <f t="shared" si="19"/>
        <v>29045</v>
      </c>
      <c r="O68" s="123">
        <f t="shared" si="19"/>
        <v>41711</v>
      </c>
      <c r="P68" s="123">
        <f t="shared" si="19"/>
        <v>8163</v>
      </c>
      <c r="Q68" s="123">
        <f t="shared" si="19"/>
        <v>-1424</v>
      </c>
      <c r="R68" s="123"/>
      <c r="S68" s="123"/>
    </row>
    <row r="69" spans="1:19" x14ac:dyDescent="0.25">
      <c r="A69" s="243" t="s">
        <v>46</v>
      </c>
      <c r="B69" s="244" t="s">
        <v>269</v>
      </c>
      <c r="C69" s="217">
        <v>3000</v>
      </c>
      <c r="D69" s="217">
        <v>3000</v>
      </c>
      <c r="E69" s="217">
        <v>3000</v>
      </c>
      <c r="F69" s="217">
        <v>3000</v>
      </c>
      <c r="G69" s="217">
        <v>3000</v>
      </c>
      <c r="H69" s="492">
        <f>3000+4330</f>
        <v>7330</v>
      </c>
      <c r="I69" s="217">
        <f>3000+4330</f>
        <v>7330</v>
      </c>
      <c r="J69" s="217">
        <f>1275+121+171+12+275+310+3634</f>
        <v>5798</v>
      </c>
      <c r="K69" s="466">
        <f t="shared" si="17"/>
        <v>0.79099590723055935</v>
      </c>
      <c r="L69" s="123">
        <f>J69+J70+J73</f>
        <v>13765</v>
      </c>
      <c r="M69" s="123"/>
      <c r="N69" s="123"/>
    </row>
    <row r="70" spans="1:19" ht="15.75" customHeight="1" x14ac:dyDescent="0.25">
      <c r="A70" s="359" t="s">
        <v>46</v>
      </c>
      <c r="B70" s="244" t="s">
        <v>263</v>
      </c>
      <c r="C70" s="360">
        <v>1320</v>
      </c>
      <c r="D70" s="360">
        <v>1320</v>
      </c>
      <c r="E70" s="360">
        <v>1320</v>
      </c>
      <c r="F70" s="360">
        <v>1320</v>
      </c>
      <c r="G70" s="360">
        <v>1320</v>
      </c>
      <c r="H70" s="360">
        <v>1320</v>
      </c>
      <c r="I70" s="360">
        <v>1320</v>
      </c>
      <c r="J70" s="360">
        <f>369+357</f>
        <v>726</v>
      </c>
      <c r="K70" s="466">
        <f t="shared" si="17"/>
        <v>0.55000000000000004</v>
      </c>
      <c r="L70" s="123"/>
      <c r="M70" s="123"/>
      <c r="N70" s="123"/>
    </row>
    <row r="71" spans="1:19" ht="15.75" customHeight="1" thickBot="1" x14ac:dyDescent="0.3">
      <c r="A71" s="245" t="s">
        <v>46</v>
      </c>
      <c r="B71" s="246" t="s">
        <v>229</v>
      </c>
      <c r="C71" s="234">
        <v>54240</v>
      </c>
      <c r="D71" s="234">
        <v>54240</v>
      </c>
      <c r="E71" s="234">
        <v>54240</v>
      </c>
      <c r="F71" s="234">
        <v>54240</v>
      </c>
      <c r="G71" s="234">
        <v>54240</v>
      </c>
      <c r="H71" s="234">
        <v>54240</v>
      </c>
      <c r="I71" s="234">
        <v>54240</v>
      </c>
      <c r="J71" s="234">
        <v>32683</v>
      </c>
      <c r="K71" s="466">
        <f t="shared" si="17"/>
        <v>0.60256268436578175</v>
      </c>
      <c r="L71" s="123"/>
      <c r="M71" s="123"/>
      <c r="N71" s="123"/>
    </row>
    <row r="72" spans="1:19" ht="15.75" thickBot="1" x14ac:dyDescent="0.3">
      <c r="A72" s="668" t="s">
        <v>277</v>
      </c>
      <c r="B72" s="669"/>
      <c r="C72" s="369">
        <f t="shared" ref="C72:F72" si="20">SUM(C69:C71)</f>
        <v>58560</v>
      </c>
      <c r="D72" s="369">
        <f t="shared" si="20"/>
        <v>58560</v>
      </c>
      <c r="E72" s="369">
        <f t="shared" si="20"/>
        <v>58560</v>
      </c>
      <c r="F72" s="369">
        <f t="shared" si="20"/>
        <v>58560</v>
      </c>
      <c r="G72" s="369">
        <f t="shared" ref="G72:H72" si="21">SUM(G69:G71)</f>
        <v>58560</v>
      </c>
      <c r="H72" s="369">
        <f t="shared" si="21"/>
        <v>62890</v>
      </c>
      <c r="I72" s="369">
        <f t="shared" ref="I72" si="22">SUM(I69:I71)</f>
        <v>62890</v>
      </c>
      <c r="J72" s="369">
        <f t="shared" ref="J72" si="23">SUM(J69:J71)</f>
        <v>39207</v>
      </c>
      <c r="K72" s="466">
        <f t="shared" si="17"/>
        <v>0.62342184767053588</v>
      </c>
      <c r="L72" s="123">
        <f t="shared" ref="L72:Q75" si="24">D72-C72</f>
        <v>0</v>
      </c>
      <c r="M72" s="123">
        <f t="shared" si="24"/>
        <v>0</v>
      </c>
      <c r="N72" s="123">
        <f t="shared" si="24"/>
        <v>0</v>
      </c>
      <c r="O72" s="123">
        <f t="shared" si="24"/>
        <v>0</v>
      </c>
      <c r="P72" s="123">
        <f t="shared" si="24"/>
        <v>4330</v>
      </c>
      <c r="Q72" s="123">
        <f t="shared" si="24"/>
        <v>0</v>
      </c>
    </row>
    <row r="73" spans="1:19" ht="14.25" customHeight="1" thickBot="1" x14ac:dyDescent="0.3">
      <c r="A73" s="267" t="s">
        <v>46</v>
      </c>
      <c r="B73" s="268" t="s">
        <v>278</v>
      </c>
      <c r="C73" s="269">
        <v>9770</v>
      </c>
      <c r="D73" s="269">
        <v>9770</v>
      </c>
      <c r="E73" s="269">
        <v>9770</v>
      </c>
      <c r="F73" s="269">
        <v>9770</v>
      </c>
      <c r="G73" s="269">
        <v>9770</v>
      </c>
      <c r="H73" s="568">
        <f>9770+1260</f>
        <v>11030</v>
      </c>
      <c r="I73" s="269">
        <f>9770+1260</f>
        <v>11030</v>
      </c>
      <c r="J73" s="269">
        <v>7241</v>
      </c>
      <c r="K73" s="466">
        <f t="shared" si="17"/>
        <v>0.65648232094288306</v>
      </c>
      <c r="L73" s="123">
        <f t="shared" si="24"/>
        <v>0</v>
      </c>
      <c r="M73" s="123">
        <f t="shared" si="24"/>
        <v>0</v>
      </c>
      <c r="N73" s="123">
        <f t="shared" si="24"/>
        <v>0</v>
      </c>
      <c r="O73" s="123">
        <f t="shared" si="24"/>
        <v>0</v>
      </c>
      <c r="P73" s="123">
        <f t="shared" si="24"/>
        <v>1260</v>
      </c>
      <c r="Q73" s="123">
        <f t="shared" si="24"/>
        <v>0</v>
      </c>
    </row>
    <row r="74" spans="1:19" ht="17.25" customHeight="1" thickBot="1" x14ac:dyDescent="0.3">
      <c r="A74" s="670" t="s">
        <v>182</v>
      </c>
      <c r="B74" s="671"/>
      <c r="C74" s="235">
        <f t="shared" ref="C74:H74" si="25">C72+C73</f>
        <v>68330</v>
      </c>
      <c r="D74" s="235">
        <f t="shared" si="25"/>
        <v>68330</v>
      </c>
      <c r="E74" s="235">
        <f t="shared" si="25"/>
        <v>68330</v>
      </c>
      <c r="F74" s="235">
        <f t="shared" si="25"/>
        <v>68330</v>
      </c>
      <c r="G74" s="235">
        <f t="shared" si="25"/>
        <v>68330</v>
      </c>
      <c r="H74" s="235">
        <f t="shared" si="25"/>
        <v>73920</v>
      </c>
      <c r="I74" s="235">
        <f t="shared" ref="I74:J74" si="26">I72+I73</f>
        <v>73920</v>
      </c>
      <c r="J74" s="235">
        <f t="shared" si="26"/>
        <v>46448</v>
      </c>
      <c r="K74" s="466">
        <f t="shared" si="17"/>
        <v>0.62835497835497833</v>
      </c>
      <c r="L74" s="123">
        <f t="shared" si="24"/>
        <v>0</v>
      </c>
      <c r="M74" s="123">
        <f t="shared" si="24"/>
        <v>0</v>
      </c>
      <c r="N74" s="123">
        <f t="shared" si="24"/>
        <v>0</v>
      </c>
      <c r="O74" s="123">
        <f t="shared" si="24"/>
        <v>0</v>
      </c>
      <c r="P74" s="123">
        <f t="shared" si="24"/>
        <v>5590</v>
      </c>
      <c r="Q74" s="123">
        <f t="shared" si="24"/>
        <v>0</v>
      </c>
    </row>
    <row r="75" spans="1:19" ht="27" customHeight="1" thickBot="1" x14ac:dyDescent="0.3">
      <c r="A75" s="31" t="s">
        <v>47</v>
      </c>
      <c r="B75" s="20"/>
      <c r="C75" s="32">
        <f t="shared" ref="C75:J75" si="27">C68+C74</f>
        <v>2160910</v>
      </c>
      <c r="D75" s="32">
        <f t="shared" si="27"/>
        <v>2204460</v>
      </c>
      <c r="E75" s="32">
        <f t="shared" si="27"/>
        <v>2211405</v>
      </c>
      <c r="F75" s="32">
        <f t="shared" si="27"/>
        <v>2240450</v>
      </c>
      <c r="G75" s="32">
        <f t="shared" si="27"/>
        <v>2282161</v>
      </c>
      <c r="H75" s="32">
        <f t="shared" si="27"/>
        <v>2295914</v>
      </c>
      <c r="I75" s="32">
        <f t="shared" ref="I75" si="28">I68+I74</f>
        <v>2294490</v>
      </c>
      <c r="J75" s="32">
        <f t="shared" si="27"/>
        <v>1644381</v>
      </c>
      <c r="K75" s="466">
        <f t="shared" si="17"/>
        <v>0.71622064241082206</v>
      </c>
      <c r="L75" s="123">
        <f t="shared" si="24"/>
        <v>43550</v>
      </c>
      <c r="M75" s="123">
        <f t="shared" si="24"/>
        <v>6945</v>
      </c>
      <c r="N75" s="123">
        <f t="shared" si="24"/>
        <v>29045</v>
      </c>
      <c r="O75" s="123">
        <f t="shared" si="24"/>
        <v>41711</v>
      </c>
      <c r="P75" s="123">
        <f t="shared" si="24"/>
        <v>13753</v>
      </c>
      <c r="Q75" s="123">
        <f t="shared" si="24"/>
        <v>-1424</v>
      </c>
    </row>
    <row r="76" spans="1:19" ht="45.75" customHeight="1" x14ac:dyDescent="0.25">
      <c r="C76" s="214"/>
      <c r="D76" s="214"/>
      <c r="E76" s="214"/>
      <c r="F76" s="214"/>
      <c r="G76" s="214"/>
      <c r="H76" s="214"/>
      <c r="I76" s="214"/>
      <c r="J76" s="214"/>
      <c r="K76" s="35"/>
    </row>
    <row r="77" spans="1:19" ht="46.5" customHeight="1" x14ac:dyDescent="0.25">
      <c r="A77" s="33"/>
      <c r="B77" s="34"/>
      <c r="C77" s="35"/>
      <c r="D77" s="35"/>
      <c r="E77" s="35"/>
      <c r="F77" s="35"/>
      <c r="G77" s="35"/>
      <c r="H77" s="35"/>
      <c r="I77" s="35"/>
      <c r="J77" s="35"/>
    </row>
    <row r="78" spans="1:19" ht="15" customHeight="1" thickBot="1" x14ac:dyDescent="0.3">
      <c r="A78" s="672" t="s">
        <v>48</v>
      </c>
      <c r="B78" s="673"/>
      <c r="C78" s="673"/>
      <c r="D78" s="673"/>
      <c r="E78" s="673"/>
      <c r="F78" s="673"/>
      <c r="G78" s="673"/>
      <c r="H78" s="673"/>
      <c r="I78" s="673"/>
      <c r="J78" s="673"/>
    </row>
    <row r="79" spans="1:19" ht="15" customHeight="1" x14ac:dyDescent="0.25">
      <c r="A79" s="644" t="s">
        <v>1</v>
      </c>
      <c r="B79" s="645"/>
      <c r="C79" s="638" t="s">
        <v>323</v>
      </c>
      <c r="D79" s="638" t="s">
        <v>562</v>
      </c>
      <c r="E79" s="638" t="s">
        <v>563</v>
      </c>
      <c r="F79" s="638" t="s">
        <v>564</v>
      </c>
      <c r="G79" s="638" t="s">
        <v>565</v>
      </c>
      <c r="H79" s="638" t="s">
        <v>566</v>
      </c>
      <c r="I79" s="638" t="s">
        <v>567</v>
      </c>
      <c r="J79" s="638" t="s">
        <v>599</v>
      </c>
      <c r="K79" s="666" t="s">
        <v>354</v>
      </c>
    </row>
    <row r="80" spans="1:19" ht="15.75" thickBot="1" x14ac:dyDescent="0.3">
      <c r="A80" s="646"/>
      <c r="B80" s="647"/>
      <c r="C80" s="639"/>
      <c r="D80" s="639"/>
      <c r="E80" s="639"/>
      <c r="F80" s="639"/>
      <c r="G80" s="639"/>
      <c r="H80" s="639"/>
      <c r="I80" s="639"/>
      <c r="J80" s="639"/>
      <c r="K80" s="667"/>
    </row>
    <row r="81" spans="1:11" ht="15.75" thickBot="1" x14ac:dyDescent="0.3">
      <c r="A81" s="36" t="s">
        <v>49</v>
      </c>
      <c r="B81" s="37"/>
      <c r="C81" s="38">
        <f t="shared" ref="C81:H81" si="29">SUM(C82:C86)</f>
        <v>269300</v>
      </c>
      <c r="D81" s="38">
        <f t="shared" si="29"/>
        <v>272000</v>
      </c>
      <c r="E81" s="38">
        <f t="shared" si="29"/>
        <v>270845</v>
      </c>
      <c r="F81" s="38">
        <f t="shared" si="29"/>
        <v>273290</v>
      </c>
      <c r="G81" s="38">
        <f t="shared" si="29"/>
        <v>279290</v>
      </c>
      <c r="H81" s="38">
        <f t="shared" si="29"/>
        <v>279290</v>
      </c>
      <c r="I81" s="38">
        <f t="shared" ref="I81:J81" si="30">SUM(I82:I86)</f>
        <v>279290</v>
      </c>
      <c r="J81" s="38">
        <f t="shared" si="30"/>
        <v>145612</v>
      </c>
      <c r="K81" s="466">
        <f>J81/H81</f>
        <v>0.52136488954133697</v>
      </c>
    </row>
    <row r="82" spans="1:11" x14ac:dyDescent="0.25">
      <c r="A82" s="135" t="s">
        <v>50</v>
      </c>
      <c r="B82" s="39" t="s">
        <v>51</v>
      </c>
      <c r="C82" s="169">
        <v>121700</v>
      </c>
      <c r="D82" s="492">
        <f>121700+300</f>
        <v>122000</v>
      </c>
      <c r="E82" s="169">
        <f>121700+300</f>
        <v>122000</v>
      </c>
      <c r="F82" s="169">
        <f>121700+300</f>
        <v>122000</v>
      </c>
      <c r="G82" s="492">
        <f>121700+300+6000</f>
        <v>128000</v>
      </c>
      <c r="H82" s="169">
        <f>121700+300+6000</f>
        <v>128000</v>
      </c>
      <c r="I82" s="169">
        <f>121700+300+6000</f>
        <v>128000</v>
      </c>
      <c r="J82" s="169">
        <v>59806</v>
      </c>
      <c r="K82" s="466">
        <f t="shared" ref="K82:K145" si="31">J82/H82</f>
        <v>0.46723437499999998</v>
      </c>
    </row>
    <row r="83" spans="1:11" x14ac:dyDescent="0.25">
      <c r="A83" s="136" t="s">
        <v>52</v>
      </c>
      <c r="B83" s="25" t="s">
        <v>173</v>
      </c>
      <c r="C83" s="168">
        <v>86600</v>
      </c>
      <c r="D83" s="465">
        <f>86600+300</f>
        <v>86900</v>
      </c>
      <c r="E83" s="465">
        <f>86600+300-1300</f>
        <v>85600</v>
      </c>
      <c r="F83" s="168">
        <f>86600+300-1300</f>
        <v>85600</v>
      </c>
      <c r="G83" s="168">
        <f>86600+300-1300</f>
        <v>85600</v>
      </c>
      <c r="H83" s="168">
        <f>86600+300-1300</f>
        <v>85600</v>
      </c>
      <c r="I83" s="168">
        <f>86600+300-1300</f>
        <v>85600</v>
      </c>
      <c r="J83" s="168">
        <v>48574</v>
      </c>
      <c r="K83" s="466">
        <f t="shared" si="31"/>
        <v>0.56745327102803733</v>
      </c>
    </row>
    <row r="84" spans="1:11" x14ac:dyDescent="0.25">
      <c r="A84" s="136" t="s">
        <v>53</v>
      </c>
      <c r="B84" s="25" t="s">
        <v>172</v>
      </c>
      <c r="C84" s="168">
        <v>4000</v>
      </c>
      <c r="D84" s="168">
        <v>4000</v>
      </c>
      <c r="E84" s="168">
        <f>4000</f>
        <v>4000</v>
      </c>
      <c r="F84" s="465">
        <f>4000+2000</f>
        <v>6000</v>
      </c>
      <c r="G84" s="168">
        <f>4000+2000</f>
        <v>6000</v>
      </c>
      <c r="H84" s="168">
        <f>4000+2000</f>
        <v>6000</v>
      </c>
      <c r="I84" s="168">
        <f>4000+2000</f>
        <v>6000</v>
      </c>
      <c r="J84" s="168">
        <v>4027</v>
      </c>
      <c r="K84" s="466">
        <f t="shared" si="31"/>
        <v>0.67116666666666669</v>
      </c>
    </row>
    <row r="85" spans="1:11" x14ac:dyDescent="0.25">
      <c r="A85" s="137" t="s">
        <v>54</v>
      </c>
      <c r="B85" s="25" t="s">
        <v>356</v>
      </c>
      <c r="C85" s="168">
        <v>53000</v>
      </c>
      <c r="D85" s="168">
        <f>53000</f>
        <v>53000</v>
      </c>
      <c r="E85" s="168">
        <f>53000</f>
        <v>53000</v>
      </c>
      <c r="F85" s="465">
        <f>53000+440</f>
        <v>53440</v>
      </c>
      <c r="G85" s="168">
        <f>53000+440</f>
        <v>53440</v>
      </c>
      <c r="H85" s="168">
        <f>53000+440</f>
        <v>53440</v>
      </c>
      <c r="I85" s="168">
        <f>53000+440</f>
        <v>53440</v>
      </c>
      <c r="J85" s="168">
        <v>26994</v>
      </c>
      <c r="K85" s="466">
        <f t="shared" si="31"/>
        <v>0.50512724550898203</v>
      </c>
    </row>
    <row r="86" spans="1:11" ht="15.75" thickBot="1" x14ac:dyDescent="0.3">
      <c r="A86" s="138" t="s">
        <v>56</v>
      </c>
      <c r="B86" s="3" t="s">
        <v>57</v>
      </c>
      <c r="C86" s="42">
        <v>4000</v>
      </c>
      <c r="D86" s="454">
        <f>4000+2100</f>
        <v>6100</v>
      </c>
      <c r="E86" s="454">
        <f>4000+2100+145</f>
        <v>6245</v>
      </c>
      <c r="F86" s="454">
        <f>4000+2100+145+5</f>
        <v>6250</v>
      </c>
      <c r="G86" s="50">
        <f>4000+2100+145+5</f>
        <v>6250</v>
      </c>
      <c r="H86" s="50">
        <f>4000+2100+145+5</f>
        <v>6250</v>
      </c>
      <c r="I86" s="50">
        <f>4000+2100+145+5</f>
        <v>6250</v>
      </c>
      <c r="J86" s="42">
        <v>6211</v>
      </c>
      <c r="K86" s="466">
        <f t="shared" si="31"/>
        <v>0.99375999999999998</v>
      </c>
    </row>
    <row r="87" spans="1:11" ht="15.75" thickBot="1" x14ac:dyDescent="0.3">
      <c r="A87" s="43" t="s">
        <v>58</v>
      </c>
      <c r="B87" s="44"/>
      <c r="C87" s="38">
        <f t="shared" ref="C87:I87" si="32">SUM(C88)</f>
        <v>1660</v>
      </c>
      <c r="D87" s="38">
        <f t="shared" si="32"/>
        <v>1672</v>
      </c>
      <c r="E87" s="38">
        <f t="shared" si="32"/>
        <v>1672</v>
      </c>
      <c r="F87" s="38">
        <f t="shared" si="32"/>
        <v>1672</v>
      </c>
      <c r="G87" s="38">
        <f t="shared" si="32"/>
        <v>1672</v>
      </c>
      <c r="H87" s="38">
        <f t="shared" si="32"/>
        <v>1672</v>
      </c>
      <c r="I87" s="38">
        <f t="shared" si="32"/>
        <v>1672</v>
      </c>
      <c r="J87" s="38">
        <f t="shared" ref="J87" si="33">SUM(J88)</f>
        <v>1466</v>
      </c>
      <c r="K87" s="466">
        <f t="shared" si="31"/>
        <v>0.87679425837320579</v>
      </c>
    </row>
    <row r="88" spans="1:11" ht="15.75" thickBot="1" x14ac:dyDescent="0.3">
      <c r="A88" s="139" t="s">
        <v>59</v>
      </c>
      <c r="B88" s="34" t="s">
        <v>60</v>
      </c>
      <c r="C88" s="180">
        <v>1660</v>
      </c>
      <c r="D88" s="476">
        <f t="shared" ref="D88:I88" si="34">1660+12</f>
        <v>1672</v>
      </c>
      <c r="E88" s="180">
        <f t="shared" si="34"/>
        <v>1672</v>
      </c>
      <c r="F88" s="180">
        <f t="shared" si="34"/>
        <v>1672</v>
      </c>
      <c r="G88" s="180">
        <f t="shared" si="34"/>
        <v>1672</v>
      </c>
      <c r="H88" s="180">
        <f t="shared" si="34"/>
        <v>1672</v>
      </c>
      <c r="I88" s="180">
        <f t="shared" si="34"/>
        <v>1672</v>
      </c>
      <c r="J88" s="180">
        <v>1466</v>
      </c>
      <c r="K88" s="466">
        <f t="shared" si="31"/>
        <v>0.87679425837320579</v>
      </c>
    </row>
    <row r="89" spans="1:11" ht="15.75" thickBot="1" x14ac:dyDescent="0.3">
      <c r="A89" s="43" t="s">
        <v>61</v>
      </c>
      <c r="B89" s="44"/>
      <c r="C89" s="38">
        <f t="shared" ref="C89:H89" si="35">SUM(C90:C91)</f>
        <v>14900</v>
      </c>
      <c r="D89" s="38">
        <f t="shared" si="35"/>
        <v>14900</v>
      </c>
      <c r="E89" s="38">
        <f t="shared" si="35"/>
        <v>16200</v>
      </c>
      <c r="F89" s="38">
        <f t="shared" si="35"/>
        <v>14900</v>
      </c>
      <c r="G89" s="38">
        <f t="shared" si="35"/>
        <v>14900</v>
      </c>
      <c r="H89" s="38">
        <f t="shared" si="35"/>
        <v>14900</v>
      </c>
      <c r="I89" s="38">
        <f t="shared" ref="I89" si="36">SUM(I90:I91)</f>
        <v>14900</v>
      </c>
      <c r="J89" s="38">
        <f t="shared" ref="J89" si="37">SUM(J90:J91)</f>
        <v>6373</v>
      </c>
      <c r="K89" s="466">
        <f t="shared" si="31"/>
        <v>0.42771812080536914</v>
      </c>
    </row>
    <row r="90" spans="1:11" x14ac:dyDescent="0.25">
      <c r="A90" s="45" t="s">
        <v>62</v>
      </c>
      <c r="B90" s="46" t="s">
        <v>63</v>
      </c>
      <c r="C90" s="47">
        <v>13600</v>
      </c>
      <c r="D90" s="47">
        <v>13600</v>
      </c>
      <c r="E90" s="478">
        <f>13600+1300</f>
        <v>14900</v>
      </c>
      <c r="F90" s="478">
        <f>13600+1300-1300</f>
        <v>13600</v>
      </c>
      <c r="G90" s="47">
        <f>13600+1300-1300</f>
        <v>13600</v>
      </c>
      <c r="H90" s="47">
        <f>13600+1300-1300</f>
        <v>13600</v>
      </c>
      <c r="I90" s="47">
        <f>13600+1300-1300</f>
        <v>13600</v>
      </c>
      <c r="J90" s="47">
        <v>5425</v>
      </c>
      <c r="K90" s="466">
        <f t="shared" si="31"/>
        <v>0.39889705882352944</v>
      </c>
    </row>
    <row r="91" spans="1:11" ht="15.75" thickBot="1" x14ac:dyDescent="0.3">
      <c r="A91" s="48" t="s">
        <v>64</v>
      </c>
      <c r="B91" s="49" t="s">
        <v>65</v>
      </c>
      <c r="C91" s="50">
        <v>1300</v>
      </c>
      <c r="D91" s="50">
        <v>1300</v>
      </c>
      <c r="E91" s="50">
        <v>1300</v>
      </c>
      <c r="F91" s="50">
        <v>1300</v>
      </c>
      <c r="G91" s="50">
        <v>1300</v>
      </c>
      <c r="H91" s="50">
        <v>1300</v>
      </c>
      <c r="I91" s="50">
        <v>1300</v>
      </c>
      <c r="J91" s="50">
        <v>948</v>
      </c>
      <c r="K91" s="466">
        <f t="shared" si="31"/>
        <v>0.72923076923076924</v>
      </c>
    </row>
    <row r="92" spans="1:11" ht="15.75" thickBot="1" x14ac:dyDescent="0.3">
      <c r="A92" s="36" t="s">
        <v>66</v>
      </c>
      <c r="B92" s="140"/>
      <c r="C92" s="38">
        <f t="shared" ref="C92:H92" si="38">SUM(C93:C96)</f>
        <v>66150</v>
      </c>
      <c r="D92" s="38">
        <f t="shared" si="38"/>
        <v>81870</v>
      </c>
      <c r="E92" s="38">
        <f t="shared" si="38"/>
        <v>79870</v>
      </c>
      <c r="F92" s="38">
        <f t="shared" si="38"/>
        <v>79170</v>
      </c>
      <c r="G92" s="38">
        <f t="shared" si="38"/>
        <v>73170</v>
      </c>
      <c r="H92" s="38">
        <f t="shared" si="38"/>
        <v>72670</v>
      </c>
      <c r="I92" s="38">
        <f t="shared" ref="I92" si="39">SUM(I93:I96)</f>
        <v>75170</v>
      </c>
      <c r="J92" s="38">
        <f t="shared" ref="J92" si="40">SUM(J93:J96)</f>
        <v>37236</v>
      </c>
      <c r="K92" s="466">
        <f t="shared" si="31"/>
        <v>0.51239851382964086</v>
      </c>
    </row>
    <row r="93" spans="1:11" x14ac:dyDescent="0.25">
      <c r="A93" s="51" t="s">
        <v>67</v>
      </c>
      <c r="B93" s="14" t="s">
        <v>68</v>
      </c>
      <c r="C93" s="15">
        <v>20200</v>
      </c>
      <c r="D93" s="15">
        <v>20200</v>
      </c>
      <c r="E93" s="15">
        <v>20200</v>
      </c>
      <c r="F93" s="15">
        <v>20200</v>
      </c>
      <c r="G93" s="15">
        <v>20200</v>
      </c>
      <c r="H93" s="15">
        <v>20200</v>
      </c>
      <c r="I93" s="15">
        <f>20200</f>
        <v>20200</v>
      </c>
      <c r="J93" s="15">
        <v>9633</v>
      </c>
      <c r="K93" s="466">
        <f t="shared" si="31"/>
        <v>0.47688118811881186</v>
      </c>
    </row>
    <row r="94" spans="1:11" x14ac:dyDescent="0.25">
      <c r="A94" s="137" t="s">
        <v>69</v>
      </c>
      <c r="B94" s="25" t="s">
        <v>70</v>
      </c>
      <c r="C94" s="41">
        <v>20800</v>
      </c>
      <c r="D94" s="477">
        <f>20800+17000-1500</f>
        <v>36300</v>
      </c>
      <c r="E94" s="477">
        <f>20800+17000-1500-2000</f>
        <v>34300</v>
      </c>
      <c r="F94" s="18">
        <f>20800+17000-1500-2000</f>
        <v>34300</v>
      </c>
      <c r="G94" s="18">
        <f>20800+17000-1500-2000</f>
        <v>34300</v>
      </c>
      <c r="H94" s="18">
        <f>20800+17000-1500-2000</f>
        <v>34300</v>
      </c>
      <c r="I94" s="18">
        <f>20800+17000-1500-2000</f>
        <v>34300</v>
      </c>
      <c r="J94" s="18">
        <v>18440</v>
      </c>
      <c r="K94" s="466">
        <f t="shared" si="31"/>
        <v>0.5376093294460641</v>
      </c>
    </row>
    <row r="95" spans="1:11" x14ac:dyDescent="0.25">
      <c r="A95" s="137" t="s">
        <v>71</v>
      </c>
      <c r="B95" s="25" t="s">
        <v>72</v>
      </c>
      <c r="C95" s="18">
        <v>25000</v>
      </c>
      <c r="D95" s="18">
        <v>25000</v>
      </c>
      <c r="E95" s="18">
        <v>25000</v>
      </c>
      <c r="F95" s="477">
        <f>25000-700</f>
        <v>24300</v>
      </c>
      <c r="G95" s="477">
        <f>25000-700-6000</f>
        <v>18300</v>
      </c>
      <c r="H95" s="477">
        <f>25000-700-6000-500</f>
        <v>17800</v>
      </c>
      <c r="I95" s="477">
        <f>25000-700-6000-500+2500</f>
        <v>20300</v>
      </c>
      <c r="J95" s="18">
        <v>9163</v>
      </c>
      <c r="K95" s="466">
        <f t="shared" si="31"/>
        <v>0.51477528089887636</v>
      </c>
    </row>
    <row r="96" spans="1:11" ht="15.75" thickBot="1" x14ac:dyDescent="0.3">
      <c r="A96" s="137" t="s">
        <v>73</v>
      </c>
      <c r="B96" s="25" t="s">
        <v>74</v>
      </c>
      <c r="C96" s="18">
        <v>150</v>
      </c>
      <c r="D96" s="477">
        <f t="shared" ref="D96:I96" si="41">150+220</f>
        <v>370</v>
      </c>
      <c r="E96" s="18">
        <f t="shared" si="41"/>
        <v>370</v>
      </c>
      <c r="F96" s="18">
        <f t="shared" si="41"/>
        <v>370</v>
      </c>
      <c r="G96" s="18">
        <f t="shared" si="41"/>
        <v>370</v>
      </c>
      <c r="H96" s="18">
        <f t="shared" si="41"/>
        <v>370</v>
      </c>
      <c r="I96" s="18">
        <f t="shared" si="41"/>
        <v>370</v>
      </c>
      <c r="J96" s="18">
        <v>0</v>
      </c>
      <c r="K96" s="466">
        <f t="shared" si="31"/>
        <v>0</v>
      </c>
    </row>
    <row r="97" spans="1:11" ht="15.75" thickBot="1" x14ac:dyDescent="0.3">
      <c r="A97" s="652" t="s">
        <v>75</v>
      </c>
      <c r="B97" s="653"/>
      <c r="C97" s="38">
        <f t="shared" ref="C97:H97" si="42">SUM(C98:C101)</f>
        <v>112450</v>
      </c>
      <c r="D97" s="38">
        <f t="shared" si="42"/>
        <v>108600</v>
      </c>
      <c r="E97" s="38">
        <f t="shared" si="42"/>
        <v>108600</v>
      </c>
      <c r="F97" s="38">
        <f t="shared" si="42"/>
        <v>108600</v>
      </c>
      <c r="G97" s="38">
        <f t="shared" si="42"/>
        <v>108600</v>
      </c>
      <c r="H97" s="38">
        <f t="shared" si="42"/>
        <v>108600</v>
      </c>
      <c r="I97" s="38">
        <f t="shared" ref="I97" si="43">SUM(I98:I101)</f>
        <v>108600</v>
      </c>
      <c r="J97" s="38">
        <f t="shared" ref="J97" si="44">SUM(J98:J101)</f>
        <v>69535</v>
      </c>
      <c r="K97" s="466">
        <f t="shared" si="31"/>
        <v>0.64028545119705338</v>
      </c>
    </row>
    <row r="98" spans="1:11" x14ac:dyDescent="0.25">
      <c r="A98" s="141" t="s">
        <v>76</v>
      </c>
      <c r="B98" s="52" t="s">
        <v>260</v>
      </c>
      <c r="C98" s="53">
        <v>66000</v>
      </c>
      <c r="D98" s="478">
        <f t="shared" ref="D98:I98" si="45">66000+150</f>
        <v>66150</v>
      </c>
      <c r="E98" s="47">
        <f t="shared" si="45"/>
        <v>66150</v>
      </c>
      <c r="F98" s="47">
        <f t="shared" si="45"/>
        <v>66150</v>
      </c>
      <c r="G98" s="47">
        <f t="shared" si="45"/>
        <v>66150</v>
      </c>
      <c r="H98" s="47">
        <f t="shared" si="45"/>
        <v>66150</v>
      </c>
      <c r="I98" s="47">
        <f t="shared" si="45"/>
        <v>66150</v>
      </c>
      <c r="J98" s="53">
        <v>40899</v>
      </c>
      <c r="K98" s="466">
        <f t="shared" si="31"/>
        <v>0.61827664399092974</v>
      </c>
    </row>
    <row r="99" spans="1:11" x14ac:dyDescent="0.25">
      <c r="A99" s="137" t="s">
        <v>77</v>
      </c>
      <c r="B99" s="467" t="s">
        <v>78</v>
      </c>
      <c r="C99" s="41">
        <v>36800</v>
      </c>
      <c r="D99" s="479">
        <f t="shared" ref="D99:I99" si="46">36800-4000</f>
        <v>32800</v>
      </c>
      <c r="E99" s="320">
        <f t="shared" si="46"/>
        <v>32800</v>
      </c>
      <c r="F99" s="320">
        <f t="shared" si="46"/>
        <v>32800</v>
      </c>
      <c r="G99" s="320">
        <f t="shared" si="46"/>
        <v>32800</v>
      </c>
      <c r="H99" s="320">
        <f t="shared" si="46"/>
        <v>32800</v>
      </c>
      <c r="I99" s="320">
        <f t="shared" si="46"/>
        <v>32800</v>
      </c>
      <c r="J99" s="41">
        <v>24194</v>
      </c>
      <c r="K99" s="466">
        <f t="shared" si="31"/>
        <v>0.73762195121951224</v>
      </c>
    </row>
    <row r="100" spans="1:11" x14ac:dyDescent="0.25">
      <c r="A100" s="139" t="s">
        <v>79</v>
      </c>
      <c r="B100" s="468" t="s">
        <v>80</v>
      </c>
      <c r="C100" s="55">
        <v>1450</v>
      </c>
      <c r="D100" s="308">
        <v>1450</v>
      </c>
      <c r="E100" s="499">
        <v>1450</v>
      </c>
      <c r="F100" s="499">
        <v>1450</v>
      </c>
      <c r="G100" s="499">
        <v>1450</v>
      </c>
      <c r="H100" s="499">
        <v>1450</v>
      </c>
      <c r="I100" s="499">
        <v>1450</v>
      </c>
      <c r="J100" s="306">
        <v>1038</v>
      </c>
      <c r="K100" s="466">
        <f t="shared" si="31"/>
        <v>0.7158620689655173</v>
      </c>
    </row>
    <row r="101" spans="1:11" ht="15.75" thickBot="1" x14ac:dyDescent="0.3">
      <c r="A101" s="142" t="s">
        <v>81</v>
      </c>
      <c r="B101" s="469" t="s">
        <v>170</v>
      </c>
      <c r="C101" s="57">
        <v>8200</v>
      </c>
      <c r="D101" s="309">
        <v>8200</v>
      </c>
      <c r="E101" s="309">
        <v>8200</v>
      </c>
      <c r="F101" s="309">
        <v>8200</v>
      </c>
      <c r="G101" s="309">
        <v>8200</v>
      </c>
      <c r="H101" s="309">
        <v>8200</v>
      </c>
      <c r="I101" s="309">
        <v>8200</v>
      </c>
      <c r="J101" s="309">
        <v>3404</v>
      </c>
      <c r="K101" s="466">
        <f t="shared" si="31"/>
        <v>0.41512195121951218</v>
      </c>
    </row>
    <row r="102" spans="1:11" ht="15.75" thickBot="1" x14ac:dyDescent="0.3">
      <c r="A102" s="36" t="s">
        <v>82</v>
      </c>
      <c r="B102" s="470"/>
      <c r="C102" s="38">
        <f t="shared" ref="C102:H102" si="47">SUM(C103:C105)</f>
        <v>167335</v>
      </c>
      <c r="D102" s="310">
        <f t="shared" si="47"/>
        <v>165110</v>
      </c>
      <c r="E102" s="310">
        <f t="shared" si="47"/>
        <v>165110</v>
      </c>
      <c r="F102" s="310">
        <f t="shared" si="47"/>
        <v>166710</v>
      </c>
      <c r="G102" s="310">
        <f t="shared" si="47"/>
        <v>168710</v>
      </c>
      <c r="H102" s="310">
        <f t="shared" si="47"/>
        <v>169210</v>
      </c>
      <c r="I102" s="310">
        <f t="shared" ref="I102" si="48">SUM(I103:I105)</f>
        <v>169210</v>
      </c>
      <c r="J102" s="310">
        <f t="shared" ref="J102" si="49">SUM(J103:J105)</f>
        <v>84502</v>
      </c>
      <c r="K102" s="466">
        <f t="shared" si="31"/>
        <v>0.49939128893091422</v>
      </c>
    </row>
    <row r="103" spans="1:11" x14ac:dyDescent="0.25">
      <c r="A103" s="51" t="s">
        <v>83</v>
      </c>
      <c r="B103" s="471" t="s">
        <v>84</v>
      </c>
      <c r="C103" s="178">
        <v>128035</v>
      </c>
      <c r="D103" s="483">
        <f>128035-2000</f>
        <v>126035</v>
      </c>
      <c r="E103" s="319">
        <f>128035-2000</f>
        <v>126035</v>
      </c>
      <c r="F103" s="319">
        <f>128035-2000</f>
        <v>126035</v>
      </c>
      <c r="G103" s="483">
        <f>128035-2000+2000</f>
        <v>128035</v>
      </c>
      <c r="H103" s="319">
        <f>128035-2000+2000</f>
        <v>128035</v>
      </c>
      <c r="I103" s="319">
        <f>128035-2000+2000</f>
        <v>128035</v>
      </c>
      <c r="J103" s="319">
        <v>63146</v>
      </c>
      <c r="K103" s="466">
        <f t="shared" si="31"/>
        <v>0.49319326746592729</v>
      </c>
    </row>
    <row r="104" spans="1:11" x14ac:dyDescent="0.25">
      <c r="A104" s="58" t="s">
        <v>85</v>
      </c>
      <c r="B104" s="467" t="s">
        <v>86</v>
      </c>
      <c r="C104" s="41">
        <v>20800</v>
      </c>
      <c r="D104" s="479">
        <f t="shared" ref="D104:I104" si="50">20800-3000</f>
        <v>17800</v>
      </c>
      <c r="E104" s="320">
        <f t="shared" si="50"/>
        <v>17800</v>
      </c>
      <c r="F104" s="320">
        <f t="shared" si="50"/>
        <v>17800</v>
      </c>
      <c r="G104" s="320">
        <f t="shared" si="50"/>
        <v>17800</v>
      </c>
      <c r="H104" s="320">
        <f t="shared" si="50"/>
        <v>17800</v>
      </c>
      <c r="I104" s="320">
        <f t="shared" si="50"/>
        <v>17800</v>
      </c>
      <c r="J104" s="320">
        <v>12532</v>
      </c>
      <c r="K104" s="466">
        <f t="shared" si="31"/>
        <v>0.70404494382022476</v>
      </c>
    </row>
    <row r="105" spans="1:11" ht="15.75" thickBot="1" x14ac:dyDescent="0.3">
      <c r="A105" s="59" t="s">
        <v>87</v>
      </c>
      <c r="B105" s="469" t="s">
        <v>88</v>
      </c>
      <c r="C105" s="181">
        <v>18500</v>
      </c>
      <c r="D105" s="480">
        <f>18500+2400+375</f>
        <v>21275</v>
      </c>
      <c r="E105" s="312">
        <f>18500+2400+375</f>
        <v>21275</v>
      </c>
      <c r="F105" s="480">
        <f>18500+2400+375+1600</f>
        <v>22875</v>
      </c>
      <c r="G105" s="312">
        <f>18500+2400+375+1600</f>
        <v>22875</v>
      </c>
      <c r="H105" s="480">
        <f>18500+2400+375+1600+500</f>
        <v>23375</v>
      </c>
      <c r="I105" s="312">
        <f>18500+2400+375+1600+500</f>
        <v>23375</v>
      </c>
      <c r="J105" s="312">
        <v>8824</v>
      </c>
      <c r="K105" s="466">
        <f t="shared" si="31"/>
        <v>0.37749732620320858</v>
      </c>
    </row>
    <row r="106" spans="1:11" ht="15.75" thickBot="1" x14ac:dyDescent="0.3">
      <c r="A106" s="60" t="s">
        <v>89</v>
      </c>
      <c r="B106" s="472"/>
      <c r="C106" s="61">
        <f t="shared" ref="C106:F106" si="51">SUM(C107:C110)</f>
        <v>700</v>
      </c>
      <c r="D106" s="313">
        <f t="shared" si="51"/>
        <v>1000</v>
      </c>
      <c r="E106" s="313">
        <f t="shared" si="51"/>
        <v>1000</v>
      </c>
      <c r="F106" s="313">
        <f t="shared" si="51"/>
        <v>1000</v>
      </c>
      <c r="G106" s="313">
        <f t="shared" ref="G106:H106" si="52">SUM(G107:G110)</f>
        <v>1000</v>
      </c>
      <c r="H106" s="313">
        <f t="shared" si="52"/>
        <v>1000</v>
      </c>
      <c r="I106" s="313">
        <f t="shared" ref="I106" si="53">SUM(I107:I110)</f>
        <v>1000</v>
      </c>
      <c r="J106" s="313">
        <f t="shared" ref="J106" si="54">SUM(J107:J110)</f>
        <v>830</v>
      </c>
      <c r="K106" s="466">
        <f t="shared" si="31"/>
        <v>0.83</v>
      </c>
    </row>
    <row r="107" spans="1:11" x14ac:dyDescent="0.25">
      <c r="A107" s="45" t="s">
        <v>90</v>
      </c>
      <c r="B107" s="473" t="s">
        <v>91</v>
      </c>
      <c r="C107" s="53">
        <v>50</v>
      </c>
      <c r="D107" s="53">
        <v>50</v>
      </c>
      <c r="E107" s="53">
        <v>50</v>
      </c>
      <c r="F107" s="53">
        <v>50</v>
      </c>
      <c r="G107" s="53">
        <v>50</v>
      </c>
      <c r="H107" s="53">
        <v>50</v>
      </c>
      <c r="I107" s="53">
        <v>50</v>
      </c>
      <c r="J107" s="314">
        <v>40</v>
      </c>
      <c r="K107" s="466">
        <f t="shared" si="31"/>
        <v>0.8</v>
      </c>
    </row>
    <row r="108" spans="1:11" x14ac:dyDescent="0.25">
      <c r="A108" s="58" t="s">
        <v>92</v>
      </c>
      <c r="B108" s="467" t="s">
        <v>93</v>
      </c>
      <c r="C108" s="179">
        <v>50</v>
      </c>
      <c r="D108" s="179">
        <v>50</v>
      </c>
      <c r="E108" s="179">
        <v>50</v>
      </c>
      <c r="F108" s="179">
        <v>50</v>
      </c>
      <c r="G108" s="179">
        <v>50</v>
      </c>
      <c r="H108" s="179">
        <v>50</v>
      </c>
      <c r="I108" s="179">
        <v>50</v>
      </c>
      <c r="J108" s="321">
        <v>24</v>
      </c>
      <c r="K108" s="466">
        <f t="shared" si="31"/>
        <v>0.48</v>
      </c>
    </row>
    <row r="109" spans="1:11" ht="15.75" thickBot="1" x14ac:dyDescent="0.3">
      <c r="A109" s="59" t="s">
        <v>94</v>
      </c>
      <c r="B109" s="469" t="s">
        <v>358</v>
      </c>
      <c r="C109" s="57">
        <v>300</v>
      </c>
      <c r="D109" s="481">
        <f t="shared" ref="D109:I109" si="55">300+300</f>
        <v>600</v>
      </c>
      <c r="E109" s="181">
        <f t="shared" si="55"/>
        <v>600</v>
      </c>
      <c r="F109" s="181">
        <f t="shared" si="55"/>
        <v>600</v>
      </c>
      <c r="G109" s="181">
        <f t="shared" si="55"/>
        <v>600</v>
      </c>
      <c r="H109" s="181">
        <f t="shared" si="55"/>
        <v>600</v>
      </c>
      <c r="I109" s="181">
        <f t="shared" si="55"/>
        <v>600</v>
      </c>
      <c r="J109" s="309">
        <v>466</v>
      </c>
      <c r="K109" s="466">
        <f t="shared" si="31"/>
        <v>0.77666666666666662</v>
      </c>
    </row>
    <row r="110" spans="1:11" ht="15.75" thickBot="1" x14ac:dyDescent="0.3">
      <c r="A110" s="279" t="s">
        <v>242</v>
      </c>
      <c r="B110" s="474" t="s">
        <v>261</v>
      </c>
      <c r="C110" s="42">
        <v>300</v>
      </c>
      <c r="D110" s="42">
        <v>300</v>
      </c>
      <c r="E110" s="42">
        <v>300</v>
      </c>
      <c r="F110" s="42">
        <v>300</v>
      </c>
      <c r="G110" s="42">
        <v>300</v>
      </c>
      <c r="H110" s="42">
        <v>300</v>
      </c>
      <c r="I110" s="42">
        <v>300</v>
      </c>
      <c r="J110" s="316">
        <v>300</v>
      </c>
      <c r="K110" s="466">
        <f t="shared" si="31"/>
        <v>1</v>
      </c>
    </row>
    <row r="111" spans="1:11" ht="15.75" thickBot="1" x14ac:dyDescent="0.3">
      <c r="A111" s="62" t="s">
        <v>96</v>
      </c>
      <c r="B111" s="475"/>
      <c r="C111" s="64">
        <f t="shared" ref="C111:H111" si="56">SUM(C112:C116)</f>
        <v>132750</v>
      </c>
      <c r="D111" s="317">
        <f t="shared" si="56"/>
        <v>147184</v>
      </c>
      <c r="E111" s="317">
        <f t="shared" si="56"/>
        <v>153184</v>
      </c>
      <c r="F111" s="317">
        <f t="shared" si="56"/>
        <v>173884</v>
      </c>
      <c r="G111" s="317">
        <f t="shared" si="56"/>
        <v>168984</v>
      </c>
      <c r="H111" s="317">
        <f t="shared" si="56"/>
        <v>168984</v>
      </c>
      <c r="I111" s="317">
        <f t="shared" ref="I111" si="57">SUM(I112:I116)</f>
        <v>161584</v>
      </c>
      <c r="J111" s="317">
        <f t="shared" ref="J111" si="58">SUM(J112:J116)</f>
        <v>109523</v>
      </c>
      <c r="K111" s="466">
        <f t="shared" si="31"/>
        <v>0.64812644984140511</v>
      </c>
    </row>
    <row r="112" spans="1:11" x14ac:dyDescent="0.25">
      <c r="A112" s="141" t="s">
        <v>97</v>
      </c>
      <c r="B112" s="52" t="s">
        <v>359</v>
      </c>
      <c r="C112" s="47">
        <v>20700</v>
      </c>
      <c r="D112" s="478">
        <f>20700+500+904</f>
        <v>22104</v>
      </c>
      <c r="E112" s="47">
        <f>20700+500+904</f>
        <v>22104</v>
      </c>
      <c r="F112" s="478">
        <f>20700+500+904-800-1300</f>
        <v>20004</v>
      </c>
      <c r="G112" s="47">
        <f>20700+500+904-800-1300</f>
        <v>20004</v>
      </c>
      <c r="H112" s="47">
        <f>20700+500+904-800-1300</f>
        <v>20004</v>
      </c>
      <c r="I112" s="47">
        <f>20700+500+904-800-1300</f>
        <v>20004</v>
      </c>
      <c r="J112" s="322">
        <v>13349</v>
      </c>
      <c r="K112" s="466">
        <f t="shared" si="31"/>
        <v>0.66731653669266144</v>
      </c>
    </row>
    <row r="113" spans="1:15" x14ac:dyDescent="0.25">
      <c r="A113" s="144" t="s">
        <v>99</v>
      </c>
      <c r="B113" s="65" t="s">
        <v>198</v>
      </c>
      <c r="C113" s="15">
        <v>81800</v>
      </c>
      <c r="D113" s="482">
        <f>81800+2400+4600</f>
        <v>88800</v>
      </c>
      <c r="E113" s="15">
        <f>81800+2400+4600</f>
        <v>88800</v>
      </c>
      <c r="F113" s="482">
        <f>81800+2400+4600+2250+2000+3000+50+2800+3000</f>
        <v>101900</v>
      </c>
      <c r="G113" s="482">
        <f>81800+2400+4600+2250+2000+3000+50+2800+3000-1500-2400-1000</f>
        <v>97000</v>
      </c>
      <c r="H113" s="482">
        <f>81800+2400+4600+2250+2000+3000+50+2800+3000-1500-2400-1000+150</f>
        <v>97150</v>
      </c>
      <c r="I113" s="482">
        <f>81800+2400+4600+2250+2000+3000+50+2800+3000-1500-2400-1000+150-7800</f>
        <v>89350</v>
      </c>
      <c r="J113" s="323">
        <v>71644</v>
      </c>
      <c r="K113" s="466">
        <f t="shared" si="31"/>
        <v>0.73745753988677298</v>
      </c>
    </row>
    <row r="114" spans="1:15" x14ac:dyDescent="0.25">
      <c r="A114" s="144" t="s">
        <v>100</v>
      </c>
      <c r="B114" s="39" t="s">
        <v>101</v>
      </c>
      <c r="C114" s="15">
        <v>3950</v>
      </c>
      <c r="D114" s="15">
        <v>3950</v>
      </c>
      <c r="E114" s="15">
        <v>3950</v>
      </c>
      <c r="F114" s="15">
        <v>3950</v>
      </c>
      <c r="G114" s="15">
        <v>3950</v>
      </c>
      <c r="H114" s="15">
        <v>3950</v>
      </c>
      <c r="I114" s="15">
        <v>3950</v>
      </c>
      <c r="J114" s="15">
        <v>2918</v>
      </c>
      <c r="K114" s="466">
        <f t="shared" si="31"/>
        <v>0.73873417721518986</v>
      </c>
    </row>
    <row r="115" spans="1:15" x14ac:dyDescent="0.25">
      <c r="A115" s="144" t="s">
        <v>102</v>
      </c>
      <c r="B115" s="39" t="s">
        <v>103</v>
      </c>
      <c r="C115" s="15">
        <v>16300</v>
      </c>
      <c r="D115" s="482">
        <f t="shared" ref="D115:I115" si="59">16300+30</f>
        <v>16330</v>
      </c>
      <c r="E115" s="15">
        <f t="shared" si="59"/>
        <v>16330</v>
      </c>
      <c r="F115" s="15">
        <f t="shared" si="59"/>
        <v>16330</v>
      </c>
      <c r="G115" s="15">
        <f t="shared" si="59"/>
        <v>16330</v>
      </c>
      <c r="H115" s="15">
        <f t="shared" si="59"/>
        <v>16330</v>
      </c>
      <c r="I115" s="15">
        <f t="shared" si="59"/>
        <v>16330</v>
      </c>
      <c r="J115" s="15">
        <v>6592</v>
      </c>
      <c r="K115" s="466">
        <f t="shared" si="31"/>
        <v>0.40367421922841396</v>
      </c>
    </row>
    <row r="116" spans="1:15" ht="15.75" thickBot="1" x14ac:dyDescent="0.3">
      <c r="A116" s="142" t="s">
        <v>104</v>
      </c>
      <c r="B116" s="56" t="s">
        <v>361</v>
      </c>
      <c r="C116" s="181">
        <v>10000</v>
      </c>
      <c r="D116" s="481">
        <f>10000+6000</f>
        <v>16000</v>
      </c>
      <c r="E116" s="481">
        <f>10000+6000+6000</f>
        <v>22000</v>
      </c>
      <c r="F116" s="481">
        <f>10000+6000+6000+8800+700+200</f>
        <v>31700</v>
      </c>
      <c r="G116" s="181">
        <f>10000+6000+6000+8800+700+200</f>
        <v>31700</v>
      </c>
      <c r="H116" s="481">
        <f>10000+6000+6000+8800+700+200-150</f>
        <v>31550</v>
      </c>
      <c r="I116" s="481">
        <f>10000+6000+6000+8800+700+200-150-1660+2260-200</f>
        <v>31950</v>
      </c>
      <c r="J116" s="181">
        <v>15020</v>
      </c>
      <c r="K116" s="466">
        <f t="shared" si="31"/>
        <v>0.47606973058637087</v>
      </c>
    </row>
    <row r="117" spans="1:15" ht="15.75" thickBot="1" x14ac:dyDescent="0.3">
      <c r="A117" s="43" t="s">
        <v>105</v>
      </c>
      <c r="B117" s="44"/>
      <c r="C117" s="38">
        <f t="shared" ref="C117:G117" si="60">SUM(C118:C126)</f>
        <v>309800</v>
      </c>
      <c r="D117" s="38">
        <f t="shared" si="60"/>
        <v>309800</v>
      </c>
      <c r="E117" s="38">
        <f t="shared" si="60"/>
        <v>311800</v>
      </c>
      <c r="F117" s="38">
        <f t="shared" si="60"/>
        <v>314800</v>
      </c>
      <c r="G117" s="38">
        <f t="shared" si="60"/>
        <v>323700</v>
      </c>
      <c r="H117" s="38">
        <f t="shared" ref="H117:I117" si="61">SUM(H118:H126)</f>
        <v>331757</v>
      </c>
      <c r="I117" s="38">
        <f t="shared" si="61"/>
        <v>332557</v>
      </c>
      <c r="J117" s="38">
        <f t="shared" ref="J117" si="62">SUM(J118:J126)</f>
        <v>205858</v>
      </c>
      <c r="K117" s="466">
        <f t="shared" si="31"/>
        <v>0.62050838414863896</v>
      </c>
    </row>
    <row r="118" spans="1:15" x14ac:dyDescent="0.25">
      <c r="A118" s="66" t="s">
        <v>106</v>
      </c>
      <c r="B118" s="67" t="s">
        <v>107</v>
      </c>
      <c r="C118" s="86">
        <v>149400</v>
      </c>
      <c r="D118" s="86">
        <f>149400</f>
        <v>149400</v>
      </c>
      <c r="E118" s="86">
        <f>149400</f>
        <v>149400</v>
      </c>
      <c r="F118" s="506">
        <f>149400+3000</f>
        <v>152400</v>
      </c>
      <c r="G118" s="506">
        <f>149400+3000+1700+4500</f>
        <v>158600</v>
      </c>
      <c r="H118" s="86">
        <f>149400+3000+1700+4500</f>
        <v>158600</v>
      </c>
      <c r="I118" s="86">
        <f>149400+3000+1700+4500</f>
        <v>158600</v>
      </c>
      <c r="J118" s="86">
        <v>101795</v>
      </c>
      <c r="K118" s="466">
        <f t="shared" si="31"/>
        <v>0.64183480453972253</v>
      </c>
    </row>
    <row r="119" spans="1:15" x14ac:dyDescent="0.25">
      <c r="A119" s="505" t="s">
        <v>444</v>
      </c>
      <c r="B119" s="14" t="s">
        <v>446</v>
      </c>
      <c r="C119" s="169">
        <v>0</v>
      </c>
      <c r="D119" s="169">
        <v>0</v>
      </c>
      <c r="E119" s="492">
        <v>1000</v>
      </c>
      <c r="F119" s="169">
        <v>1000</v>
      </c>
      <c r="G119" s="169">
        <v>1000</v>
      </c>
      <c r="H119" s="169">
        <v>1000</v>
      </c>
      <c r="I119" s="492">
        <f>1000+400</f>
        <v>1400</v>
      </c>
      <c r="J119" s="168">
        <v>0</v>
      </c>
      <c r="K119" s="466">
        <f t="shared" si="31"/>
        <v>0</v>
      </c>
    </row>
    <row r="120" spans="1:15" x14ac:dyDescent="0.25">
      <c r="A120" s="505" t="s">
        <v>445</v>
      </c>
      <c r="B120" s="14" t="s">
        <v>447</v>
      </c>
      <c r="C120" s="169">
        <v>0</v>
      </c>
      <c r="D120" s="169">
        <v>0</v>
      </c>
      <c r="E120" s="492">
        <v>1000</v>
      </c>
      <c r="F120" s="169">
        <v>1000</v>
      </c>
      <c r="G120" s="169">
        <v>1000</v>
      </c>
      <c r="H120" s="169">
        <v>1000</v>
      </c>
      <c r="I120" s="492">
        <f>1000+400</f>
        <v>1400</v>
      </c>
      <c r="J120" s="168">
        <v>0</v>
      </c>
      <c r="K120" s="466">
        <f t="shared" si="31"/>
        <v>0</v>
      </c>
    </row>
    <row r="121" spans="1:15" x14ac:dyDescent="0.25">
      <c r="A121" s="68" t="s">
        <v>108</v>
      </c>
      <c r="B121" s="17" t="s">
        <v>196</v>
      </c>
      <c r="C121" s="168">
        <v>3000</v>
      </c>
      <c r="D121" s="168">
        <v>3000</v>
      </c>
      <c r="E121" s="168">
        <v>3000</v>
      </c>
      <c r="F121" s="168">
        <v>3000</v>
      </c>
      <c r="G121" s="168">
        <v>3000</v>
      </c>
      <c r="H121" s="168">
        <v>3000</v>
      </c>
      <c r="I121" s="168">
        <v>3000</v>
      </c>
      <c r="J121" s="168">
        <v>1418</v>
      </c>
      <c r="K121" s="466">
        <f t="shared" si="31"/>
        <v>0.47266666666666668</v>
      </c>
    </row>
    <row r="122" spans="1:15" x14ac:dyDescent="0.25">
      <c r="A122" s="68" t="s">
        <v>109</v>
      </c>
      <c r="B122" s="17" t="s">
        <v>110</v>
      </c>
      <c r="C122" s="168">
        <v>27800</v>
      </c>
      <c r="D122" s="168">
        <v>27800</v>
      </c>
      <c r="E122" s="168">
        <f>27800-300+300</f>
        <v>27800</v>
      </c>
      <c r="F122" s="168">
        <f>27800-300+300</f>
        <v>27800</v>
      </c>
      <c r="G122" s="465">
        <f>27800-300+300+570</f>
        <v>28370</v>
      </c>
      <c r="H122" s="465">
        <f>27800-300+300+570+1220</f>
        <v>29590</v>
      </c>
      <c r="I122" s="465">
        <f>27800-300+300+570+1220-700</f>
        <v>28890</v>
      </c>
      <c r="J122" s="168">
        <v>17404</v>
      </c>
      <c r="K122" s="466">
        <f t="shared" si="31"/>
        <v>0.58817167962149375</v>
      </c>
    </row>
    <row r="123" spans="1:15" x14ac:dyDescent="0.25">
      <c r="A123" s="68" t="s">
        <v>111</v>
      </c>
      <c r="B123" s="17" t="s">
        <v>112</v>
      </c>
      <c r="C123" s="18">
        <v>41200</v>
      </c>
      <c r="D123" s="18">
        <v>41200</v>
      </c>
      <c r="E123" s="18">
        <f t="shared" ref="E123:F124" si="63">41200-400+400</f>
        <v>41200</v>
      </c>
      <c r="F123" s="18">
        <f t="shared" si="63"/>
        <v>41200</v>
      </c>
      <c r="G123" s="477">
        <f>41200-400+400+780</f>
        <v>41980</v>
      </c>
      <c r="H123" s="477">
        <f>41200-400+400+780-600</f>
        <v>41380</v>
      </c>
      <c r="I123" s="18">
        <f>41200-400+400+780-600</f>
        <v>41380</v>
      </c>
      <c r="J123" s="18">
        <v>25439</v>
      </c>
      <c r="K123" s="466">
        <f t="shared" si="31"/>
        <v>0.61476558724021269</v>
      </c>
    </row>
    <row r="124" spans="1:15" x14ac:dyDescent="0.25">
      <c r="A124" s="68" t="s">
        <v>113</v>
      </c>
      <c r="B124" s="17" t="s">
        <v>114</v>
      </c>
      <c r="C124" s="18">
        <v>41200</v>
      </c>
      <c r="D124" s="18">
        <v>41200</v>
      </c>
      <c r="E124" s="18">
        <f t="shared" si="63"/>
        <v>41200</v>
      </c>
      <c r="F124" s="18">
        <f t="shared" si="63"/>
        <v>41200</v>
      </c>
      <c r="G124" s="477">
        <f>41200-400+400+780</f>
        <v>41980</v>
      </c>
      <c r="H124" s="477">
        <f>41200-400+400+780+6020</f>
        <v>48000</v>
      </c>
      <c r="I124" s="477">
        <f>41200-400+400+780+6020+700</f>
        <v>48700</v>
      </c>
      <c r="J124" s="18">
        <v>26423</v>
      </c>
      <c r="K124" s="466">
        <f t="shared" si="31"/>
        <v>0.55047916666666663</v>
      </c>
    </row>
    <row r="125" spans="1:15" x14ac:dyDescent="0.25">
      <c r="A125" s="69" t="s">
        <v>115</v>
      </c>
      <c r="B125" s="17" t="s">
        <v>362</v>
      </c>
      <c r="C125" s="70">
        <v>43900</v>
      </c>
      <c r="D125" s="70">
        <v>43900</v>
      </c>
      <c r="E125" s="70">
        <f>43900+1100-1100</f>
        <v>43900</v>
      </c>
      <c r="F125" s="70">
        <f>43900+1100-1100</f>
        <v>43900</v>
      </c>
      <c r="G125" s="561">
        <f>43900+1100-1100+570</f>
        <v>44470</v>
      </c>
      <c r="H125" s="561">
        <f>43900+1100-1100+570+1417</f>
        <v>45887</v>
      </c>
      <c r="I125" s="70">
        <f>43900+1100-1100+570+1417</f>
        <v>45887</v>
      </c>
      <c r="J125" s="70">
        <v>30178</v>
      </c>
      <c r="K125" s="466">
        <f t="shared" si="31"/>
        <v>0.65765903196983899</v>
      </c>
      <c r="M125" s="123"/>
      <c r="N125" s="123"/>
      <c r="O125" s="123"/>
    </row>
    <row r="126" spans="1:15" ht="15.75" thickBot="1" x14ac:dyDescent="0.3">
      <c r="A126" s="68" t="s">
        <v>117</v>
      </c>
      <c r="B126" s="17" t="s">
        <v>118</v>
      </c>
      <c r="C126" s="70">
        <v>3300</v>
      </c>
      <c r="D126" s="70">
        <v>3300</v>
      </c>
      <c r="E126" s="70">
        <v>3300</v>
      </c>
      <c r="F126" s="70">
        <v>3300</v>
      </c>
      <c r="G126" s="70">
        <v>3300</v>
      </c>
      <c r="H126" s="70">
        <v>3300</v>
      </c>
      <c r="I126" s="70">
        <v>3300</v>
      </c>
      <c r="J126" s="70">
        <v>3201</v>
      </c>
      <c r="K126" s="466">
        <f t="shared" si="31"/>
        <v>0.97</v>
      </c>
    </row>
    <row r="127" spans="1:15" ht="15.75" thickBot="1" x14ac:dyDescent="0.3">
      <c r="A127" s="36" t="s">
        <v>119</v>
      </c>
      <c r="B127" s="37"/>
      <c r="C127" s="38">
        <f t="shared" ref="C127:G127" si="64">SUM(C128:C132)</f>
        <v>307100</v>
      </c>
      <c r="D127" s="38">
        <f t="shared" si="64"/>
        <v>309680</v>
      </c>
      <c r="E127" s="38">
        <f t="shared" si="64"/>
        <v>310480</v>
      </c>
      <c r="F127" s="38">
        <f t="shared" si="64"/>
        <v>310480</v>
      </c>
      <c r="G127" s="38">
        <f t="shared" si="64"/>
        <v>345480</v>
      </c>
      <c r="H127" s="38">
        <f t="shared" ref="H127:I127" si="65">SUM(H128:H132)</f>
        <v>345480</v>
      </c>
      <c r="I127" s="38">
        <f t="shared" si="65"/>
        <v>345980</v>
      </c>
      <c r="J127" s="38">
        <f t="shared" ref="J127" si="66">SUM(J128:J132)</f>
        <v>149518</v>
      </c>
      <c r="K127" s="466">
        <f t="shared" si="31"/>
        <v>0.43278337385666321</v>
      </c>
    </row>
    <row r="128" spans="1:15" x14ac:dyDescent="0.25">
      <c r="A128" s="144" t="s">
        <v>120</v>
      </c>
      <c r="B128" s="39" t="s">
        <v>262</v>
      </c>
      <c r="C128" s="15">
        <v>276500</v>
      </c>
      <c r="D128" s="482">
        <f>276500+1080+1500</f>
        <v>279080</v>
      </c>
      <c r="E128" s="15">
        <f>276500+1080+1500</f>
        <v>279080</v>
      </c>
      <c r="F128" s="15">
        <f>276500+1080+1500</f>
        <v>279080</v>
      </c>
      <c r="G128" s="482">
        <f>276500+1080+1500+31000</f>
        <v>310080</v>
      </c>
      <c r="H128" s="15">
        <f>276500+1080+1500+31000</f>
        <v>310080</v>
      </c>
      <c r="I128" s="15">
        <f>276500+1080+1500+31000</f>
        <v>310080</v>
      </c>
      <c r="J128" s="15">
        <v>137824</v>
      </c>
      <c r="K128" s="466">
        <f t="shared" si="31"/>
        <v>0.44447884416924666</v>
      </c>
    </row>
    <row r="129" spans="1:17" x14ac:dyDescent="0.25">
      <c r="A129" s="144" t="s">
        <v>121</v>
      </c>
      <c r="B129" s="39" t="s">
        <v>167</v>
      </c>
      <c r="C129" s="15">
        <v>8200</v>
      </c>
      <c r="D129" s="15">
        <v>8200</v>
      </c>
      <c r="E129" s="15">
        <v>8200</v>
      </c>
      <c r="F129" s="15">
        <v>8200</v>
      </c>
      <c r="G129" s="15">
        <v>8200</v>
      </c>
      <c r="H129" s="15">
        <v>8200</v>
      </c>
      <c r="I129" s="15">
        <v>8200</v>
      </c>
      <c r="J129" s="40">
        <v>3241</v>
      </c>
      <c r="K129" s="466">
        <f t="shared" si="31"/>
        <v>0.39524390243902441</v>
      </c>
    </row>
    <row r="130" spans="1:17" x14ac:dyDescent="0.25">
      <c r="A130" s="137" t="s">
        <v>122</v>
      </c>
      <c r="B130" s="25" t="s">
        <v>168</v>
      </c>
      <c r="C130" s="41">
        <v>21400</v>
      </c>
      <c r="D130" s="41">
        <v>21400</v>
      </c>
      <c r="E130" s="477">
        <f>21400+500</f>
        <v>21900</v>
      </c>
      <c r="F130" s="18">
        <f>21400+500</f>
        <v>21900</v>
      </c>
      <c r="G130" s="477">
        <f>21400+500+4000</f>
        <v>25900</v>
      </c>
      <c r="H130" s="18">
        <f>21400+500+4000</f>
        <v>25900</v>
      </c>
      <c r="I130" s="477">
        <f>21400+500+4000+500</f>
        <v>26400</v>
      </c>
      <c r="J130" s="41">
        <v>8153</v>
      </c>
      <c r="K130" s="466">
        <f t="shared" si="31"/>
        <v>0.31478764478764476</v>
      </c>
      <c r="N130" s="123"/>
    </row>
    <row r="131" spans="1:17" x14ac:dyDescent="0.25">
      <c r="A131" s="137" t="s">
        <v>123</v>
      </c>
      <c r="B131" s="25" t="s">
        <v>124</v>
      </c>
      <c r="C131" s="41">
        <v>500</v>
      </c>
      <c r="D131" s="41">
        <v>500</v>
      </c>
      <c r="E131" s="41">
        <v>500</v>
      </c>
      <c r="F131" s="18">
        <v>500</v>
      </c>
      <c r="G131" s="18">
        <v>500</v>
      </c>
      <c r="H131" s="18">
        <v>500</v>
      </c>
      <c r="I131" s="18">
        <v>500</v>
      </c>
      <c r="J131" s="41">
        <v>0</v>
      </c>
      <c r="K131" s="466">
        <f t="shared" si="31"/>
        <v>0</v>
      </c>
    </row>
    <row r="132" spans="1:17" ht="15.75" thickBot="1" x14ac:dyDescent="0.3">
      <c r="A132" s="142" t="s">
        <v>125</v>
      </c>
      <c r="B132" s="56" t="s">
        <v>126</v>
      </c>
      <c r="C132" s="57">
        <v>500</v>
      </c>
      <c r="D132" s="57">
        <v>500</v>
      </c>
      <c r="E132" s="481">
        <f>500+300</f>
        <v>800</v>
      </c>
      <c r="F132" s="181">
        <f>500+300</f>
        <v>800</v>
      </c>
      <c r="G132" s="181">
        <f>500+300</f>
        <v>800</v>
      </c>
      <c r="H132" s="181">
        <f>500+300</f>
        <v>800</v>
      </c>
      <c r="I132" s="181">
        <f>500+300</f>
        <v>800</v>
      </c>
      <c r="J132" s="57">
        <v>300</v>
      </c>
      <c r="K132" s="466">
        <f t="shared" si="31"/>
        <v>0.375</v>
      </c>
      <c r="L132" s="123"/>
      <c r="M132" s="123"/>
    </row>
    <row r="133" spans="1:17" ht="21.75" customHeight="1" thickBot="1" x14ac:dyDescent="0.3">
      <c r="A133" s="71" t="s">
        <v>127</v>
      </c>
      <c r="B133" s="143"/>
      <c r="C133" s="72">
        <f t="shared" ref="C133:H133" si="67">SUM(C81+C87+C89+C92+C97+C102+C106+C111+C117+C127)</f>
        <v>1382145</v>
      </c>
      <c r="D133" s="72">
        <f t="shared" si="67"/>
        <v>1411816</v>
      </c>
      <c r="E133" s="72">
        <f t="shared" si="67"/>
        <v>1418761</v>
      </c>
      <c r="F133" s="72">
        <f t="shared" si="67"/>
        <v>1444506</v>
      </c>
      <c r="G133" s="72">
        <f t="shared" si="67"/>
        <v>1485506</v>
      </c>
      <c r="H133" s="72">
        <f t="shared" si="67"/>
        <v>1493563</v>
      </c>
      <c r="I133" s="72">
        <f t="shared" ref="I133:J133" si="68">SUM(I81+I87+I89+I92+I97+I102+I106+I111+I117+I127)</f>
        <v>1489963</v>
      </c>
      <c r="J133" s="72">
        <f t="shared" si="68"/>
        <v>810453</v>
      </c>
      <c r="K133" s="466">
        <f t="shared" si="31"/>
        <v>0.54263060881931324</v>
      </c>
      <c r="L133" s="123">
        <f>D133-C133</f>
        <v>29671</v>
      </c>
      <c r="M133" s="123">
        <f t="shared" ref="M133:Q133" si="69">E133-D133</f>
        <v>6945</v>
      </c>
      <c r="N133" s="123">
        <f t="shared" si="69"/>
        <v>25745</v>
      </c>
      <c r="O133" s="123">
        <f t="shared" si="69"/>
        <v>41000</v>
      </c>
      <c r="P133" s="123">
        <f t="shared" si="69"/>
        <v>8057</v>
      </c>
      <c r="Q133" s="123">
        <f t="shared" si="69"/>
        <v>-3600</v>
      </c>
    </row>
    <row r="134" spans="1:17" x14ac:dyDescent="0.25">
      <c r="A134" s="247" t="s">
        <v>231</v>
      </c>
      <c r="B134" s="248" t="s">
        <v>264</v>
      </c>
      <c r="C134" s="249">
        <f t="shared" ref="C134:H134" si="70">C67</f>
        <v>472270</v>
      </c>
      <c r="D134" s="249">
        <f t="shared" si="70"/>
        <v>486089</v>
      </c>
      <c r="E134" s="249">
        <f t="shared" si="70"/>
        <v>486089</v>
      </c>
      <c r="F134" s="249">
        <f t="shared" si="70"/>
        <v>486089</v>
      </c>
      <c r="G134" s="249">
        <f t="shared" si="70"/>
        <v>486800</v>
      </c>
      <c r="H134" s="249">
        <f t="shared" si="70"/>
        <v>486906</v>
      </c>
      <c r="I134" s="249">
        <f t="shared" ref="I134:J134" si="71">I67</f>
        <v>489082</v>
      </c>
      <c r="J134" s="249">
        <f t="shared" si="71"/>
        <v>369133</v>
      </c>
      <c r="K134" s="466">
        <f t="shared" si="31"/>
        <v>0.75811963705520158</v>
      </c>
      <c r="L134" s="123"/>
      <c r="M134" s="123"/>
      <c r="N134" s="123"/>
    </row>
    <row r="135" spans="1:17" ht="16.5" customHeight="1" x14ac:dyDescent="0.25">
      <c r="A135" s="263" t="s">
        <v>231</v>
      </c>
      <c r="B135" s="264" t="s">
        <v>225</v>
      </c>
      <c r="C135" s="265">
        <f t="shared" ref="C135:H135" si="72">C69</f>
        <v>3000</v>
      </c>
      <c r="D135" s="265">
        <f t="shared" si="72"/>
        <v>3000</v>
      </c>
      <c r="E135" s="265">
        <f t="shared" si="72"/>
        <v>3000</v>
      </c>
      <c r="F135" s="265">
        <f t="shared" si="72"/>
        <v>3000</v>
      </c>
      <c r="G135" s="265">
        <f t="shared" si="72"/>
        <v>3000</v>
      </c>
      <c r="H135" s="265">
        <f t="shared" si="72"/>
        <v>7330</v>
      </c>
      <c r="I135" s="265">
        <f t="shared" ref="I135:J135" si="73">I69</f>
        <v>7330</v>
      </c>
      <c r="J135" s="265">
        <f t="shared" si="73"/>
        <v>5798</v>
      </c>
      <c r="K135" s="466">
        <f t="shared" si="31"/>
        <v>0.79099590723055935</v>
      </c>
      <c r="L135" s="123"/>
      <c r="M135" s="123"/>
      <c r="N135" s="123"/>
    </row>
    <row r="136" spans="1:17" ht="16.5" customHeight="1" x14ac:dyDescent="0.25">
      <c r="A136" s="263" t="s">
        <v>231</v>
      </c>
      <c r="B136" s="264" t="s">
        <v>265</v>
      </c>
      <c r="C136" s="265">
        <v>54240</v>
      </c>
      <c r="D136" s="265">
        <v>54240</v>
      </c>
      <c r="E136" s="265">
        <v>54240</v>
      </c>
      <c r="F136" s="265">
        <v>54240</v>
      </c>
      <c r="G136" s="265">
        <v>54240</v>
      </c>
      <c r="H136" s="265">
        <v>54240</v>
      </c>
      <c r="I136" s="265">
        <v>54240</v>
      </c>
      <c r="J136" s="265">
        <f>J71</f>
        <v>32683</v>
      </c>
      <c r="K136" s="466">
        <f t="shared" si="31"/>
        <v>0.60256268436578175</v>
      </c>
      <c r="L136" s="123"/>
      <c r="M136" s="123"/>
      <c r="N136" s="123"/>
    </row>
    <row r="137" spans="1:17" ht="15.75" thickBot="1" x14ac:dyDescent="0.3">
      <c r="A137" s="364" t="s">
        <v>231</v>
      </c>
      <c r="B137" s="365" t="s">
        <v>266</v>
      </c>
      <c r="C137" s="366">
        <v>2855</v>
      </c>
      <c r="D137" s="366">
        <v>2855</v>
      </c>
      <c r="E137" s="366">
        <v>2855</v>
      </c>
      <c r="F137" s="366">
        <v>2855</v>
      </c>
      <c r="G137" s="366">
        <v>2855</v>
      </c>
      <c r="H137" s="366">
        <v>2855</v>
      </c>
      <c r="I137" s="366">
        <v>2855</v>
      </c>
      <c r="J137" s="366">
        <v>2702</v>
      </c>
      <c r="K137" s="466">
        <f t="shared" si="31"/>
        <v>0.94640980735551661</v>
      </c>
      <c r="L137" s="123"/>
      <c r="M137" s="123"/>
      <c r="N137" s="123"/>
    </row>
    <row r="138" spans="1:17" x14ac:dyDescent="0.25">
      <c r="A138" s="361" t="s">
        <v>108</v>
      </c>
      <c r="B138" s="362" t="s">
        <v>267</v>
      </c>
      <c r="C138" s="363">
        <v>22500</v>
      </c>
      <c r="D138" s="363">
        <v>22500</v>
      </c>
      <c r="E138" s="363">
        <v>22500</v>
      </c>
      <c r="F138" s="363">
        <v>22500</v>
      </c>
      <c r="G138" s="363">
        <v>22500</v>
      </c>
      <c r="H138" s="363">
        <v>22500</v>
      </c>
      <c r="I138" s="363">
        <v>22500</v>
      </c>
      <c r="J138" s="363">
        <f>5625*3</f>
        <v>16875</v>
      </c>
      <c r="K138" s="466">
        <f t="shared" si="31"/>
        <v>0.75</v>
      </c>
      <c r="L138" s="123"/>
      <c r="M138" s="123"/>
      <c r="N138" s="123"/>
    </row>
    <row r="139" spans="1:17" ht="15" customHeight="1" thickBot="1" x14ac:dyDescent="0.3">
      <c r="A139" s="263" t="s">
        <v>108</v>
      </c>
      <c r="B139" s="264" t="s">
        <v>268</v>
      </c>
      <c r="C139" s="265">
        <f t="shared" ref="C139:H139" si="74">C70</f>
        <v>1320</v>
      </c>
      <c r="D139" s="265">
        <f t="shared" si="74"/>
        <v>1320</v>
      </c>
      <c r="E139" s="265">
        <f t="shared" si="74"/>
        <v>1320</v>
      </c>
      <c r="F139" s="265">
        <f t="shared" si="74"/>
        <v>1320</v>
      </c>
      <c r="G139" s="265">
        <f t="shared" si="74"/>
        <v>1320</v>
      </c>
      <c r="H139" s="265">
        <f t="shared" si="74"/>
        <v>1320</v>
      </c>
      <c r="I139" s="265">
        <f t="shared" ref="I139:J139" si="75">I70</f>
        <v>1320</v>
      </c>
      <c r="J139" s="265">
        <f t="shared" si="75"/>
        <v>726</v>
      </c>
      <c r="K139" s="466">
        <f t="shared" si="31"/>
        <v>0.55000000000000004</v>
      </c>
      <c r="L139" s="123">
        <f>J135+J137+J138+J139-1275</f>
        <v>24826</v>
      </c>
      <c r="M139" s="123"/>
      <c r="N139" s="123"/>
    </row>
    <row r="140" spans="1:17" ht="14.25" customHeight="1" thickBot="1" x14ac:dyDescent="0.3">
      <c r="A140" s="654" t="s">
        <v>183</v>
      </c>
      <c r="B140" s="655"/>
      <c r="C140" s="128">
        <f t="shared" ref="C140:F140" si="76">SUM(C134:C139)</f>
        <v>556185</v>
      </c>
      <c r="D140" s="128">
        <f t="shared" si="76"/>
        <v>570004</v>
      </c>
      <c r="E140" s="128">
        <f t="shared" si="76"/>
        <v>570004</v>
      </c>
      <c r="F140" s="128">
        <f t="shared" si="76"/>
        <v>570004</v>
      </c>
      <c r="G140" s="128">
        <f t="shared" ref="G140:H140" si="77">SUM(G134:G139)</f>
        <v>570715</v>
      </c>
      <c r="H140" s="128">
        <f t="shared" si="77"/>
        <v>575151</v>
      </c>
      <c r="I140" s="128">
        <f t="shared" ref="I140" si="78">SUM(I134:I139)</f>
        <v>577327</v>
      </c>
      <c r="J140" s="128">
        <f t="shared" ref="J140" si="79">SUM(J134:J139)</f>
        <v>427917</v>
      </c>
      <c r="K140" s="466">
        <f t="shared" si="31"/>
        <v>0.74400809526541722</v>
      </c>
      <c r="L140" s="123">
        <f>D140-C140</f>
        <v>13819</v>
      </c>
      <c r="M140" s="123">
        <f t="shared" ref="M140:Q140" si="80">E140-D140</f>
        <v>0</v>
      </c>
      <c r="N140" s="123">
        <f t="shared" si="80"/>
        <v>0</v>
      </c>
      <c r="O140" s="123">
        <f t="shared" si="80"/>
        <v>711</v>
      </c>
      <c r="P140" s="123">
        <f t="shared" si="80"/>
        <v>4436</v>
      </c>
      <c r="Q140" s="123">
        <f t="shared" si="80"/>
        <v>2176</v>
      </c>
    </row>
    <row r="141" spans="1:17" x14ac:dyDescent="0.25">
      <c r="A141" s="250" t="s">
        <v>108</v>
      </c>
      <c r="B141" s="251" t="s">
        <v>227</v>
      </c>
      <c r="C141" s="221">
        <f t="shared" ref="C141:I141" si="81">190500+13510</f>
        <v>204010</v>
      </c>
      <c r="D141" s="221">
        <f t="shared" si="81"/>
        <v>204010</v>
      </c>
      <c r="E141" s="221">
        <f t="shared" si="81"/>
        <v>204010</v>
      </c>
      <c r="F141" s="221">
        <f t="shared" si="81"/>
        <v>204010</v>
      </c>
      <c r="G141" s="221">
        <f t="shared" si="81"/>
        <v>204010</v>
      </c>
      <c r="H141" s="221">
        <f t="shared" si="81"/>
        <v>204010</v>
      </c>
      <c r="I141" s="221">
        <f t="shared" si="81"/>
        <v>204010</v>
      </c>
      <c r="J141" s="221">
        <f>17000*9</f>
        <v>153000</v>
      </c>
      <c r="K141" s="466">
        <f t="shared" si="31"/>
        <v>0.74996323709622081</v>
      </c>
      <c r="L141" s="123"/>
      <c r="M141" s="123"/>
      <c r="N141" s="123"/>
    </row>
    <row r="142" spans="1:17" ht="17.25" customHeight="1" thickBot="1" x14ac:dyDescent="0.3">
      <c r="A142" s="266" t="s">
        <v>108</v>
      </c>
      <c r="B142" s="244" t="s">
        <v>228</v>
      </c>
      <c r="C142" s="217">
        <f t="shared" ref="C142:H142" si="82">C73</f>
        <v>9770</v>
      </c>
      <c r="D142" s="217">
        <f t="shared" si="82"/>
        <v>9770</v>
      </c>
      <c r="E142" s="217">
        <f t="shared" si="82"/>
        <v>9770</v>
      </c>
      <c r="F142" s="217">
        <f t="shared" si="82"/>
        <v>9770</v>
      </c>
      <c r="G142" s="217">
        <f t="shared" si="82"/>
        <v>9770</v>
      </c>
      <c r="H142" s="217">
        <f t="shared" si="82"/>
        <v>11030</v>
      </c>
      <c r="I142" s="217">
        <f t="shared" ref="I142:J142" si="83">I73</f>
        <v>11030</v>
      </c>
      <c r="J142" s="217">
        <f t="shared" si="83"/>
        <v>7241</v>
      </c>
      <c r="K142" s="466">
        <f t="shared" si="31"/>
        <v>0.65648232094288306</v>
      </c>
      <c r="L142" s="123"/>
      <c r="M142" s="123"/>
      <c r="N142" s="123"/>
    </row>
    <row r="143" spans="1:17" ht="16.5" customHeight="1" thickBot="1" x14ac:dyDescent="0.3">
      <c r="A143" s="656" t="s">
        <v>226</v>
      </c>
      <c r="B143" s="657"/>
      <c r="C143" s="367">
        <f t="shared" ref="C143:H143" si="84">SUM(C141:C142)</f>
        <v>213780</v>
      </c>
      <c r="D143" s="367">
        <f t="shared" si="84"/>
        <v>213780</v>
      </c>
      <c r="E143" s="367">
        <f t="shared" si="84"/>
        <v>213780</v>
      </c>
      <c r="F143" s="367">
        <f t="shared" si="84"/>
        <v>213780</v>
      </c>
      <c r="G143" s="367">
        <f t="shared" si="84"/>
        <v>213780</v>
      </c>
      <c r="H143" s="367">
        <f t="shared" si="84"/>
        <v>215040</v>
      </c>
      <c r="I143" s="367">
        <f t="shared" ref="I143:J143" si="85">SUM(I141:I142)</f>
        <v>215040</v>
      </c>
      <c r="J143" s="367">
        <f t="shared" si="85"/>
        <v>160241</v>
      </c>
      <c r="K143" s="466">
        <f t="shared" si="31"/>
        <v>0.74516834077380956</v>
      </c>
      <c r="L143" s="123">
        <f t="shared" ref="L143:L145" si="86">D143-C143</f>
        <v>0</v>
      </c>
      <c r="M143" s="123">
        <f t="shared" ref="M143:M145" si="87">E143-D143</f>
        <v>0</v>
      </c>
      <c r="N143" s="123">
        <f t="shared" ref="N143:N145" si="88">F143-E143</f>
        <v>0</v>
      </c>
      <c r="O143" s="123">
        <f t="shared" ref="O143:O145" si="89">G143-F143</f>
        <v>0</v>
      </c>
      <c r="P143" s="123">
        <f t="shared" ref="P143:P145" si="90">H143-G143</f>
        <v>1260</v>
      </c>
      <c r="Q143" s="123">
        <f t="shared" ref="Q143:Q145" si="91">I143-H143</f>
        <v>0</v>
      </c>
    </row>
    <row r="144" spans="1:17" ht="18.75" customHeight="1" thickBot="1" x14ac:dyDescent="0.3">
      <c r="A144" s="658" t="s">
        <v>220</v>
      </c>
      <c r="B144" s="659"/>
      <c r="C144" s="368">
        <f t="shared" ref="C144:H144" si="92">C140+C143</f>
        <v>769965</v>
      </c>
      <c r="D144" s="368">
        <f t="shared" si="92"/>
        <v>783784</v>
      </c>
      <c r="E144" s="368">
        <f t="shared" si="92"/>
        <v>783784</v>
      </c>
      <c r="F144" s="368">
        <f t="shared" si="92"/>
        <v>783784</v>
      </c>
      <c r="G144" s="368">
        <f t="shared" si="92"/>
        <v>784495</v>
      </c>
      <c r="H144" s="368">
        <f t="shared" si="92"/>
        <v>790191</v>
      </c>
      <c r="I144" s="368">
        <f t="shared" ref="I144:J144" si="93">I140+I143</f>
        <v>792367</v>
      </c>
      <c r="J144" s="368">
        <f t="shared" si="93"/>
        <v>588158</v>
      </c>
      <c r="K144" s="466">
        <f t="shared" si="31"/>
        <v>0.74432384069168089</v>
      </c>
      <c r="L144" s="123">
        <f t="shared" si="86"/>
        <v>13819</v>
      </c>
      <c r="M144" s="123">
        <f t="shared" si="87"/>
        <v>0</v>
      </c>
      <c r="N144" s="123">
        <f t="shared" si="88"/>
        <v>0</v>
      </c>
      <c r="O144" s="123">
        <f t="shared" si="89"/>
        <v>711</v>
      </c>
      <c r="P144" s="123">
        <f t="shared" si="90"/>
        <v>5696</v>
      </c>
      <c r="Q144" s="123">
        <f t="shared" si="91"/>
        <v>2176</v>
      </c>
    </row>
    <row r="145" spans="1:19" ht="30.75" customHeight="1" thickBot="1" x14ac:dyDescent="0.3">
      <c r="A145" s="73" t="s">
        <v>184</v>
      </c>
      <c r="B145" s="140"/>
      <c r="C145" s="74">
        <f t="shared" ref="C145:J145" si="94">C133+C144</f>
        <v>2152110</v>
      </c>
      <c r="D145" s="74">
        <f t="shared" si="94"/>
        <v>2195600</v>
      </c>
      <c r="E145" s="74">
        <f t="shared" si="94"/>
        <v>2202545</v>
      </c>
      <c r="F145" s="74">
        <f t="shared" si="94"/>
        <v>2228290</v>
      </c>
      <c r="G145" s="74">
        <f t="shared" si="94"/>
        <v>2270001</v>
      </c>
      <c r="H145" s="74">
        <f t="shared" si="94"/>
        <v>2283754</v>
      </c>
      <c r="I145" s="74">
        <f t="shared" ref="I145" si="95">I133+I144</f>
        <v>2282330</v>
      </c>
      <c r="J145" s="74">
        <f t="shared" si="94"/>
        <v>1398611</v>
      </c>
      <c r="K145" s="466">
        <f t="shared" si="31"/>
        <v>0.61241753709024704</v>
      </c>
      <c r="L145" s="123">
        <f t="shared" si="86"/>
        <v>43490</v>
      </c>
      <c r="M145" s="123">
        <f t="shared" si="87"/>
        <v>6945</v>
      </c>
      <c r="N145" s="123">
        <f t="shared" si="88"/>
        <v>25745</v>
      </c>
      <c r="O145" s="123">
        <f t="shared" si="89"/>
        <v>41711</v>
      </c>
      <c r="P145" s="123">
        <f t="shared" si="90"/>
        <v>13753</v>
      </c>
      <c r="Q145" s="123">
        <f t="shared" si="91"/>
        <v>-1424</v>
      </c>
    </row>
    <row r="147" spans="1:19" ht="53.25" customHeight="1" x14ac:dyDescent="0.25">
      <c r="O147" s="123"/>
    </row>
    <row r="148" spans="1:19" ht="18.75" thickBot="1" x14ac:dyDescent="0.3">
      <c r="A148" s="660" t="s">
        <v>128</v>
      </c>
      <c r="B148" s="661"/>
      <c r="C148" s="661"/>
      <c r="D148" s="661"/>
      <c r="E148" s="661"/>
      <c r="F148" s="661"/>
      <c r="G148" s="661"/>
      <c r="H148" s="661"/>
      <c r="I148" s="661"/>
      <c r="J148" s="661"/>
      <c r="O148" s="123"/>
      <c r="P148" s="123"/>
      <c r="Q148" s="123"/>
    </row>
    <row r="149" spans="1:19" ht="15" customHeight="1" x14ac:dyDescent="0.25">
      <c r="A149" s="644" t="s">
        <v>1</v>
      </c>
      <c r="B149" s="645"/>
      <c r="C149" s="638" t="s">
        <v>323</v>
      </c>
      <c r="D149" s="638" t="s">
        <v>562</v>
      </c>
      <c r="E149" s="638" t="s">
        <v>563</v>
      </c>
      <c r="F149" s="638" t="s">
        <v>564</v>
      </c>
      <c r="G149" s="638" t="s">
        <v>565</v>
      </c>
      <c r="H149" s="638" t="s">
        <v>566</v>
      </c>
      <c r="I149" s="638" t="s">
        <v>567</v>
      </c>
      <c r="J149" s="638" t="s">
        <v>599</v>
      </c>
      <c r="K149" s="640" t="s">
        <v>352</v>
      </c>
      <c r="N149" s="123"/>
      <c r="R149" s="123"/>
      <c r="S149" s="123"/>
    </row>
    <row r="150" spans="1:19" ht="15.75" thickBot="1" x14ac:dyDescent="0.3">
      <c r="A150" s="646"/>
      <c r="B150" s="647"/>
      <c r="C150" s="639"/>
      <c r="D150" s="639"/>
      <c r="E150" s="639"/>
      <c r="F150" s="639"/>
      <c r="G150" s="639"/>
      <c r="H150" s="639"/>
      <c r="I150" s="639"/>
      <c r="J150" s="639"/>
      <c r="K150" s="641"/>
      <c r="L150" s="123"/>
      <c r="M150" s="123"/>
    </row>
    <row r="151" spans="1:19" ht="16.5" thickBot="1" x14ac:dyDescent="0.3">
      <c r="A151" s="648" t="s">
        <v>129</v>
      </c>
      <c r="B151" s="649"/>
      <c r="C151" s="328">
        <f t="shared" ref="C151:H151" si="96">SUM(C152:C157)</f>
        <v>620702</v>
      </c>
      <c r="D151" s="328">
        <f t="shared" si="96"/>
        <v>635220</v>
      </c>
      <c r="E151" s="328">
        <f t="shared" si="96"/>
        <v>635220</v>
      </c>
      <c r="F151" s="328">
        <f t="shared" si="96"/>
        <v>561520</v>
      </c>
      <c r="G151" s="328">
        <f t="shared" si="96"/>
        <v>519520</v>
      </c>
      <c r="H151" s="328">
        <f t="shared" si="96"/>
        <v>519520</v>
      </c>
      <c r="I151" s="328">
        <f t="shared" ref="I151:J151" si="97">SUM(I152:I157)</f>
        <v>519520</v>
      </c>
      <c r="J151" s="75">
        <f t="shared" si="97"/>
        <v>70218</v>
      </c>
      <c r="K151" s="466">
        <f>J151/H151</f>
        <v>0.13515937788728058</v>
      </c>
      <c r="L151" s="123">
        <f>D151-C151</f>
        <v>14518</v>
      </c>
      <c r="M151" s="123">
        <f t="shared" ref="M151:Q151" si="98">E151-D151</f>
        <v>0</v>
      </c>
      <c r="N151" s="123">
        <f t="shared" si="98"/>
        <v>-73700</v>
      </c>
      <c r="O151" s="123">
        <f t="shared" si="98"/>
        <v>-42000</v>
      </c>
      <c r="P151" s="123">
        <f t="shared" si="98"/>
        <v>0</v>
      </c>
      <c r="Q151" s="123">
        <f t="shared" si="98"/>
        <v>0</v>
      </c>
    </row>
    <row r="152" spans="1:19" ht="15.75" thickBot="1" x14ac:dyDescent="0.3">
      <c r="A152" s="176">
        <v>233</v>
      </c>
      <c r="B152" s="56" t="s">
        <v>130</v>
      </c>
      <c r="C152" s="329">
        <v>1000</v>
      </c>
      <c r="D152" s="329">
        <v>1000</v>
      </c>
      <c r="E152" s="329">
        <v>1000</v>
      </c>
      <c r="F152" s="539">
        <f>1000+2000</f>
        <v>3000</v>
      </c>
      <c r="G152" s="334">
        <f>1000+2000</f>
        <v>3000</v>
      </c>
      <c r="H152" s="334">
        <f>1000+2000</f>
        <v>3000</v>
      </c>
      <c r="I152" s="334">
        <f>1000+2000</f>
        <v>3000</v>
      </c>
      <c r="J152" s="329">
        <v>2696</v>
      </c>
      <c r="K152" s="466">
        <f t="shared" ref="K152:K182" si="99">J152/H152</f>
        <v>0.89866666666666661</v>
      </c>
    </row>
    <row r="153" spans="1:19" x14ac:dyDescent="0.25">
      <c r="A153" s="540">
        <v>322</v>
      </c>
      <c r="B153" s="541" t="s">
        <v>468</v>
      </c>
      <c r="C153" s="542">
        <v>0</v>
      </c>
      <c r="D153" s="542">
        <v>0</v>
      </c>
      <c r="E153" s="542">
        <v>0</v>
      </c>
      <c r="F153" s="543">
        <v>42000</v>
      </c>
      <c r="G153" s="543">
        <f>42000-42000</f>
        <v>0</v>
      </c>
      <c r="H153" s="569">
        <f>42000-42000</f>
        <v>0</v>
      </c>
      <c r="I153" s="569">
        <f>42000-42000</f>
        <v>0</v>
      </c>
      <c r="J153" s="542"/>
      <c r="K153" s="466">
        <v>0</v>
      </c>
    </row>
    <row r="154" spans="1:19" x14ac:dyDescent="0.25">
      <c r="A154" s="102">
        <v>322</v>
      </c>
      <c r="B154" s="25" t="s">
        <v>241</v>
      </c>
      <c r="C154" s="331">
        <v>183255</v>
      </c>
      <c r="D154" s="485">
        <f t="shared" ref="D154:H154" si="100">183255+18815</f>
        <v>202070</v>
      </c>
      <c r="E154" s="335">
        <f t="shared" si="100"/>
        <v>202070</v>
      </c>
      <c r="F154" s="335">
        <f t="shared" si="100"/>
        <v>202070</v>
      </c>
      <c r="G154" s="335">
        <f t="shared" si="100"/>
        <v>202070</v>
      </c>
      <c r="H154" s="335">
        <f t="shared" si="100"/>
        <v>202070</v>
      </c>
      <c r="I154" s="485">
        <f>183255+18815-93750</f>
        <v>108320</v>
      </c>
      <c r="J154" s="331">
        <v>0</v>
      </c>
      <c r="K154" s="466">
        <f t="shared" si="99"/>
        <v>0</v>
      </c>
      <c r="P154" s="123"/>
      <c r="Q154" s="123"/>
      <c r="R154" s="123"/>
      <c r="S154" s="123"/>
    </row>
    <row r="155" spans="1:19" x14ac:dyDescent="0.25">
      <c r="A155" s="175">
        <v>322</v>
      </c>
      <c r="B155" s="39" t="s">
        <v>240</v>
      </c>
      <c r="C155" s="330">
        <v>120047</v>
      </c>
      <c r="D155" s="487">
        <f>120047+2253</f>
        <v>122300</v>
      </c>
      <c r="E155" s="333">
        <f>120047+2253</f>
        <v>122300</v>
      </c>
      <c r="F155" s="487">
        <f>120047+2253-55000</f>
        <v>67300</v>
      </c>
      <c r="G155" s="333">
        <f>120047+2253-55000</f>
        <v>67300</v>
      </c>
      <c r="H155" s="333">
        <f>120047+2253-55000</f>
        <v>67300</v>
      </c>
      <c r="I155" s="487">
        <f>120047+2253-55000+30700</f>
        <v>98000</v>
      </c>
      <c r="J155" s="333">
        <v>0</v>
      </c>
      <c r="K155" s="466">
        <f t="shared" si="99"/>
        <v>0</v>
      </c>
      <c r="N155" s="123"/>
      <c r="O155" s="123"/>
    </row>
    <row r="156" spans="1:19" x14ac:dyDescent="0.25">
      <c r="A156" s="102">
        <v>322</v>
      </c>
      <c r="B156" s="25" t="s">
        <v>160</v>
      </c>
      <c r="C156" s="331">
        <v>121400</v>
      </c>
      <c r="D156" s="485">
        <f>121400-6550</f>
        <v>114850</v>
      </c>
      <c r="E156" s="335">
        <f>121400-6550</f>
        <v>114850</v>
      </c>
      <c r="F156" s="485">
        <f>121400-6550-61200</f>
        <v>53650</v>
      </c>
      <c r="G156" s="335">
        <f>121400-6550-61200</f>
        <v>53650</v>
      </c>
      <c r="H156" s="335">
        <f>121400-6550-61200</f>
        <v>53650</v>
      </c>
      <c r="I156" s="485">
        <f>121400-6550-61200+63050</f>
        <v>116700</v>
      </c>
      <c r="J156" s="331">
        <v>67522</v>
      </c>
      <c r="K156" s="466">
        <f t="shared" si="99"/>
        <v>1.25856477166822</v>
      </c>
    </row>
    <row r="157" spans="1:19" ht="15.75" thickBot="1" x14ac:dyDescent="0.3">
      <c r="A157" s="102">
        <v>322</v>
      </c>
      <c r="B157" s="25" t="s">
        <v>162</v>
      </c>
      <c r="C157" s="331">
        <v>195000</v>
      </c>
      <c r="D157" s="331">
        <v>195000</v>
      </c>
      <c r="E157" s="331">
        <v>195000</v>
      </c>
      <c r="F157" s="485">
        <f>195000-1500</f>
        <v>193500</v>
      </c>
      <c r="G157" s="335">
        <f>195000-1500</f>
        <v>193500</v>
      </c>
      <c r="H157" s="335">
        <f>195000-1500</f>
        <v>193500</v>
      </c>
      <c r="I157" s="335">
        <f>195000-1500</f>
        <v>193500</v>
      </c>
      <c r="J157" s="331">
        <v>0</v>
      </c>
      <c r="K157" s="466">
        <f t="shared" si="99"/>
        <v>0</v>
      </c>
      <c r="L157" s="123">
        <f>SUM(C153:C157)</f>
        <v>619702</v>
      </c>
      <c r="M157" s="123">
        <f t="shared" ref="M157:Q157" si="101">SUM(D153:D157)</f>
        <v>634220</v>
      </c>
      <c r="N157" s="123">
        <f t="shared" si="101"/>
        <v>634220</v>
      </c>
      <c r="O157" s="123">
        <f t="shared" si="101"/>
        <v>558520</v>
      </c>
      <c r="P157" s="123">
        <f t="shared" si="101"/>
        <v>516520</v>
      </c>
      <c r="Q157" s="123">
        <f t="shared" si="101"/>
        <v>516520</v>
      </c>
    </row>
    <row r="158" spans="1:19" ht="16.5" thickBot="1" x14ac:dyDescent="0.3">
      <c r="A158" s="648" t="s">
        <v>131</v>
      </c>
      <c r="B158" s="649"/>
      <c r="C158" s="328">
        <f t="shared" ref="C158:H158" si="102">SUM(C159:C182)</f>
        <v>1020702</v>
      </c>
      <c r="D158" s="328">
        <f t="shared" si="102"/>
        <v>1035220</v>
      </c>
      <c r="E158" s="328">
        <f t="shared" si="102"/>
        <v>1035220</v>
      </c>
      <c r="F158" s="328">
        <f t="shared" si="102"/>
        <v>1086320</v>
      </c>
      <c r="G158" s="328">
        <f t="shared" si="102"/>
        <v>1044320</v>
      </c>
      <c r="H158" s="328">
        <f t="shared" si="102"/>
        <v>1044320</v>
      </c>
      <c r="I158" s="328">
        <f t="shared" ref="I158:J158" si="103">SUM(I159:I182)</f>
        <v>1044320</v>
      </c>
      <c r="J158" s="328">
        <f t="shared" si="103"/>
        <v>147527</v>
      </c>
      <c r="K158" s="466">
        <f t="shared" si="99"/>
        <v>0.14126608702313467</v>
      </c>
      <c r="L158" s="123">
        <f>D158-C158</f>
        <v>14518</v>
      </c>
      <c r="M158" s="123">
        <f t="shared" ref="M158:Q158" si="104">E158-D158</f>
        <v>0</v>
      </c>
      <c r="N158" s="123">
        <f t="shared" si="104"/>
        <v>51100</v>
      </c>
      <c r="O158" s="123">
        <f t="shared" si="104"/>
        <v>-42000</v>
      </c>
      <c r="P158" s="123">
        <f t="shared" si="104"/>
        <v>0</v>
      </c>
      <c r="Q158" s="123">
        <f t="shared" si="104"/>
        <v>0</v>
      </c>
    </row>
    <row r="159" spans="1:19" x14ac:dyDescent="0.25">
      <c r="A159" s="210" t="s">
        <v>50</v>
      </c>
      <c r="B159" s="211" t="s">
        <v>158</v>
      </c>
      <c r="C159" s="303">
        <v>127047</v>
      </c>
      <c r="D159" s="486">
        <f t="shared" ref="D159:H159" si="105">127047+2403</f>
        <v>129450</v>
      </c>
      <c r="E159" s="303">
        <f t="shared" si="105"/>
        <v>129450</v>
      </c>
      <c r="F159" s="303">
        <f t="shared" si="105"/>
        <v>129450</v>
      </c>
      <c r="G159" s="303">
        <f t="shared" si="105"/>
        <v>129450</v>
      </c>
      <c r="H159" s="303">
        <f t="shared" si="105"/>
        <v>129450</v>
      </c>
      <c r="I159" s="486">
        <f>127047+2403+6000</f>
        <v>135450</v>
      </c>
      <c r="J159" s="303">
        <v>0</v>
      </c>
      <c r="K159" s="466">
        <f t="shared" si="99"/>
        <v>0</v>
      </c>
      <c r="N159" s="123"/>
      <c r="O159" s="123"/>
      <c r="P159" s="123"/>
      <c r="Q159" s="123"/>
    </row>
    <row r="160" spans="1:19" x14ac:dyDescent="0.25">
      <c r="A160" s="174" t="s">
        <v>50</v>
      </c>
      <c r="B160" s="152" t="s">
        <v>404</v>
      </c>
      <c r="C160" s="230">
        <v>15000</v>
      </c>
      <c r="D160" s="230">
        <v>15000</v>
      </c>
      <c r="E160" s="488">
        <f>15000+29000</f>
        <v>44000</v>
      </c>
      <c r="F160" s="488">
        <f>15000+29000-6500</f>
        <v>37500</v>
      </c>
      <c r="G160" s="230">
        <f>15000+29000-6500</f>
        <v>37500</v>
      </c>
      <c r="H160" s="230">
        <f>15000+29000-6500</f>
        <v>37500</v>
      </c>
      <c r="I160" s="488">
        <f>15000+29000-6500-12500</f>
        <v>25000</v>
      </c>
      <c r="J160" s="230">
        <v>0</v>
      </c>
      <c r="K160" s="466">
        <f t="shared" si="99"/>
        <v>0</v>
      </c>
      <c r="O160" s="123"/>
      <c r="P160" s="123"/>
      <c r="Q160" s="123"/>
      <c r="R160" s="123"/>
      <c r="S160" s="123"/>
    </row>
    <row r="161" spans="1:23" ht="15.75" thickBot="1" x14ac:dyDescent="0.3">
      <c r="A161" s="358" t="s">
        <v>50</v>
      </c>
      <c r="B161" s="108" t="s">
        <v>253</v>
      </c>
      <c r="C161" s="228">
        <v>10000</v>
      </c>
      <c r="D161" s="484">
        <f>10000+27600</f>
        <v>37600</v>
      </c>
      <c r="E161" s="484">
        <f>10000+27600-11160</f>
        <v>26440</v>
      </c>
      <c r="F161" s="228">
        <f>10000+27600-11160</f>
        <v>26440</v>
      </c>
      <c r="G161" s="228">
        <f>10000+27600-11160</f>
        <v>26440</v>
      </c>
      <c r="H161" s="228">
        <f>10000+27600-11160</f>
        <v>26440</v>
      </c>
      <c r="I161" s="228">
        <f>10000+27600-11160</f>
        <v>26440</v>
      </c>
      <c r="J161" s="228">
        <v>26434</v>
      </c>
      <c r="K161" s="466">
        <f t="shared" si="99"/>
        <v>0.99977307110438729</v>
      </c>
      <c r="L161" s="123">
        <f>SUM(C159:C161)</f>
        <v>152047</v>
      </c>
      <c r="M161" s="123">
        <f t="shared" ref="M161:Q161" si="106">SUM(D159:D161)</f>
        <v>182050</v>
      </c>
      <c r="N161" s="123">
        <f t="shared" si="106"/>
        <v>199890</v>
      </c>
      <c r="O161" s="123">
        <f t="shared" si="106"/>
        <v>193390</v>
      </c>
      <c r="P161" s="123">
        <f t="shared" si="106"/>
        <v>193390</v>
      </c>
      <c r="Q161" s="123">
        <f t="shared" si="106"/>
        <v>193390</v>
      </c>
    </row>
    <row r="162" spans="1:23" x14ac:dyDescent="0.25">
      <c r="A162" s="210" t="s">
        <v>62</v>
      </c>
      <c r="B162" s="211" t="s">
        <v>254</v>
      </c>
      <c r="C162" s="303">
        <v>10000</v>
      </c>
      <c r="D162" s="486">
        <f t="shared" ref="D162:I162" si="107">10000+20000</f>
        <v>30000</v>
      </c>
      <c r="E162" s="303">
        <f t="shared" si="107"/>
        <v>30000</v>
      </c>
      <c r="F162" s="303">
        <f t="shared" si="107"/>
        <v>30000</v>
      </c>
      <c r="G162" s="303">
        <f t="shared" si="107"/>
        <v>30000</v>
      </c>
      <c r="H162" s="303">
        <f t="shared" si="107"/>
        <v>30000</v>
      </c>
      <c r="I162" s="303">
        <f t="shared" si="107"/>
        <v>30000</v>
      </c>
      <c r="J162" s="303">
        <v>0</v>
      </c>
      <c r="K162" s="466">
        <f t="shared" si="99"/>
        <v>0</v>
      </c>
      <c r="O162" s="123"/>
      <c r="R162" s="123"/>
      <c r="S162" s="123"/>
      <c r="T162" s="123"/>
    </row>
    <row r="163" spans="1:23" ht="15.75" thickBot="1" x14ac:dyDescent="0.3">
      <c r="A163" s="357" t="s">
        <v>64</v>
      </c>
      <c r="B163" s="130" t="s">
        <v>465</v>
      </c>
      <c r="C163" s="231">
        <v>0</v>
      </c>
      <c r="D163" s="231">
        <v>0</v>
      </c>
      <c r="E163" s="231">
        <v>0</v>
      </c>
      <c r="F163" s="489">
        <v>45000</v>
      </c>
      <c r="G163" s="489">
        <f>45000-45000</f>
        <v>0</v>
      </c>
      <c r="H163" s="231">
        <f>45000-45000</f>
        <v>0</v>
      </c>
      <c r="I163" s="231">
        <f>45000-45000</f>
        <v>0</v>
      </c>
      <c r="J163" s="231">
        <v>0</v>
      </c>
      <c r="K163" s="466">
        <v>0</v>
      </c>
      <c r="O163" s="123"/>
    </row>
    <row r="164" spans="1:23" x14ac:dyDescent="0.25">
      <c r="A164" s="129" t="s">
        <v>69</v>
      </c>
      <c r="B164" s="76" t="s">
        <v>186</v>
      </c>
      <c r="C164" s="229">
        <v>6870</v>
      </c>
      <c r="D164" s="229">
        <v>6870</v>
      </c>
      <c r="E164" s="229">
        <v>6870</v>
      </c>
      <c r="F164" s="229">
        <v>6870</v>
      </c>
      <c r="G164" s="229">
        <v>6870</v>
      </c>
      <c r="H164" s="229">
        <v>6870</v>
      </c>
      <c r="I164" s="229">
        <v>6870</v>
      </c>
      <c r="J164" s="229">
        <v>0</v>
      </c>
      <c r="K164" s="466">
        <f t="shared" si="99"/>
        <v>0</v>
      </c>
    </row>
    <row r="165" spans="1:23" ht="15.75" thickBot="1" x14ac:dyDescent="0.3">
      <c r="A165" s="358" t="s">
        <v>71</v>
      </c>
      <c r="B165" s="108" t="s">
        <v>255</v>
      </c>
      <c r="C165" s="228">
        <v>30000</v>
      </c>
      <c r="D165" s="484">
        <f t="shared" ref="D165:I165" si="108">30000-25000</f>
        <v>5000</v>
      </c>
      <c r="E165" s="228">
        <f t="shared" si="108"/>
        <v>5000</v>
      </c>
      <c r="F165" s="228">
        <f t="shared" si="108"/>
        <v>5000</v>
      </c>
      <c r="G165" s="228">
        <f t="shared" si="108"/>
        <v>5000</v>
      </c>
      <c r="H165" s="228">
        <f t="shared" si="108"/>
        <v>5000</v>
      </c>
      <c r="I165" s="228">
        <f t="shared" si="108"/>
        <v>5000</v>
      </c>
      <c r="J165" s="228">
        <v>0</v>
      </c>
      <c r="K165" s="466">
        <f t="shared" si="99"/>
        <v>0</v>
      </c>
      <c r="L165" s="123"/>
      <c r="M165" s="123"/>
      <c r="O165" s="123"/>
    </row>
    <row r="166" spans="1:23" x14ac:dyDescent="0.25">
      <c r="A166" s="174" t="s">
        <v>77</v>
      </c>
      <c r="B166" s="133" t="s">
        <v>164</v>
      </c>
      <c r="C166" s="230">
        <v>206000</v>
      </c>
      <c r="D166" s="230">
        <v>206000</v>
      </c>
      <c r="E166" s="230">
        <v>206000</v>
      </c>
      <c r="F166" s="488">
        <f>206000-2300</f>
        <v>203700</v>
      </c>
      <c r="G166" s="230">
        <f>206000-2300</f>
        <v>203700</v>
      </c>
      <c r="H166" s="230">
        <f>206000-2300</f>
        <v>203700</v>
      </c>
      <c r="I166" s="488">
        <f>206000-2300+1500</f>
        <v>205200</v>
      </c>
      <c r="J166" s="230">
        <v>0</v>
      </c>
      <c r="K166" s="466">
        <f t="shared" si="99"/>
        <v>0</v>
      </c>
      <c r="L166" s="123"/>
      <c r="M166" s="123"/>
      <c r="O166" s="123"/>
    </row>
    <row r="167" spans="1:23" ht="15.75" thickBot="1" x14ac:dyDescent="0.3">
      <c r="A167" s="173" t="s">
        <v>81</v>
      </c>
      <c r="B167" s="134" t="s">
        <v>195</v>
      </c>
      <c r="C167" s="231">
        <v>10000</v>
      </c>
      <c r="D167" s="231">
        <v>10000</v>
      </c>
      <c r="E167" s="231">
        <v>10000</v>
      </c>
      <c r="F167" s="231">
        <v>10000</v>
      </c>
      <c r="G167" s="231">
        <v>10000</v>
      </c>
      <c r="H167" s="231">
        <v>10000</v>
      </c>
      <c r="I167" s="231">
        <v>10000</v>
      </c>
      <c r="J167" s="231">
        <v>0</v>
      </c>
      <c r="K167" s="466">
        <f t="shared" si="99"/>
        <v>0</v>
      </c>
      <c r="O167" s="123"/>
      <c r="Q167" s="123"/>
      <c r="V167" s="123"/>
      <c r="W167" s="123"/>
    </row>
    <row r="168" spans="1:23" x14ac:dyDescent="0.25">
      <c r="A168" s="146" t="s">
        <v>132</v>
      </c>
      <c r="B168" s="147" t="s">
        <v>159</v>
      </c>
      <c r="C168" s="232">
        <v>6000</v>
      </c>
      <c r="D168" s="232">
        <v>6000</v>
      </c>
      <c r="E168" s="232">
        <v>6000</v>
      </c>
      <c r="F168" s="232">
        <v>6000</v>
      </c>
      <c r="G168" s="232">
        <v>6000</v>
      </c>
      <c r="H168" s="232">
        <v>6000</v>
      </c>
      <c r="I168" s="232">
        <f>6000</f>
        <v>6000</v>
      </c>
      <c r="J168" s="232">
        <v>0</v>
      </c>
      <c r="K168" s="466">
        <f t="shared" si="99"/>
        <v>0</v>
      </c>
      <c r="O168" s="123"/>
      <c r="P168" s="123"/>
      <c r="R168" s="123"/>
    </row>
    <row r="169" spans="1:23" ht="15.75" customHeight="1" x14ac:dyDescent="0.25">
      <c r="A169" s="188" t="s">
        <v>132</v>
      </c>
      <c r="B169" s="133" t="s">
        <v>215</v>
      </c>
      <c r="C169" s="230">
        <v>75730</v>
      </c>
      <c r="D169" s="488">
        <f>75730-9060</f>
        <v>66670</v>
      </c>
      <c r="E169" s="230">
        <f>75730-9060-17840</f>
        <v>48830</v>
      </c>
      <c r="F169" s="488">
        <f>75730-9060-17840+9800</f>
        <v>58630</v>
      </c>
      <c r="G169" s="488">
        <f>75730-9060-17840+9800+3000</f>
        <v>61630</v>
      </c>
      <c r="H169" s="230">
        <f>75730-9060-17840+9800+3000</f>
        <v>61630</v>
      </c>
      <c r="I169" s="488">
        <f>75730-9060-17840+9800+3000-2270</f>
        <v>59360</v>
      </c>
      <c r="J169" s="230">
        <v>5637</v>
      </c>
      <c r="K169" s="466">
        <f t="shared" si="99"/>
        <v>9.1465195521661533E-2</v>
      </c>
      <c r="L169" s="123"/>
      <c r="O169" s="123"/>
    </row>
    <row r="170" spans="1:23" ht="15.75" customHeight="1" x14ac:dyDescent="0.25">
      <c r="A170" s="188" t="s">
        <v>83</v>
      </c>
      <c r="B170" s="133" t="s">
        <v>219</v>
      </c>
      <c r="C170" s="230">
        <v>2000</v>
      </c>
      <c r="D170" s="230">
        <v>2000</v>
      </c>
      <c r="E170" s="230">
        <v>2000</v>
      </c>
      <c r="F170" s="230">
        <v>2000</v>
      </c>
      <c r="G170" s="230">
        <v>2000</v>
      </c>
      <c r="H170" s="230">
        <v>2000</v>
      </c>
      <c r="I170" s="230">
        <v>2000</v>
      </c>
      <c r="J170" s="230">
        <v>0</v>
      </c>
      <c r="K170" s="466">
        <f t="shared" si="99"/>
        <v>0</v>
      </c>
      <c r="L170" s="123"/>
    </row>
    <row r="171" spans="1:23" x14ac:dyDescent="0.25">
      <c r="A171" s="188" t="s">
        <v>83</v>
      </c>
      <c r="B171" s="133" t="s">
        <v>256</v>
      </c>
      <c r="C171" s="230">
        <v>10000</v>
      </c>
      <c r="D171" s="230">
        <v>10000</v>
      </c>
      <c r="E171" s="230">
        <v>10000</v>
      </c>
      <c r="F171" s="230">
        <v>10000</v>
      </c>
      <c r="G171" s="230">
        <v>10000</v>
      </c>
      <c r="H171" s="230">
        <v>10000</v>
      </c>
      <c r="I171" s="230">
        <v>10000</v>
      </c>
      <c r="J171" s="230">
        <v>0</v>
      </c>
      <c r="K171" s="466">
        <f t="shared" si="99"/>
        <v>0</v>
      </c>
      <c r="L171" s="123"/>
    </row>
    <row r="172" spans="1:23" ht="15" customHeight="1" x14ac:dyDescent="0.25">
      <c r="A172" s="188" t="s">
        <v>83</v>
      </c>
      <c r="B172" s="133" t="s">
        <v>221</v>
      </c>
      <c r="C172" s="230">
        <v>47000</v>
      </c>
      <c r="D172" s="488">
        <f>47000-12270</f>
        <v>34730</v>
      </c>
      <c r="E172" s="230">
        <f>47000-12270</f>
        <v>34730</v>
      </c>
      <c r="F172" s="488">
        <f>47000-12270+1800</f>
        <v>36530</v>
      </c>
      <c r="G172" s="230">
        <f>47000-12270+1800</f>
        <v>36530</v>
      </c>
      <c r="H172" s="230">
        <f>47000-12270+1800</f>
        <v>36530</v>
      </c>
      <c r="I172" s="230">
        <f>47000-12270+1800</f>
        <v>36530</v>
      </c>
      <c r="J172" s="230">
        <v>36425</v>
      </c>
      <c r="K172" s="466">
        <f t="shared" si="99"/>
        <v>0.9971256501505612</v>
      </c>
      <c r="L172" s="123"/>
      <c r="M172" s="123"/>
    </row>
    <row r="173" spans="1:23" ht="16.5" customHeight="1" thickBot="1" x14ac:dyDescent="0.3">
      <c r="A173" s="145" t="s">
        <v>85</v>
      </c>
      <c r="B173" s="131" t="s">
        <v>194</v>
      </c>
      <c r="C173" s="228">
        <v>10000</v>
      </c>
      <c r="D173" s="228">
        <v>10000</v>
      </c>
      <c r="E173" s="228">
        <v>10000</v>
      </c>
      <c r="F173" s="228">
        <v>10000</v>
      </c>
      <c r="G173" s="228">
        <v>10000</v>
      </c>
      <c r="H173" s="228">
        <v>10000</v>
      </c>
      <c r="I173" s="484">
        <f>10000+2500</f>
        <v>12500</v>
      </c>
      <c r="J173" s="228">
        <v>0</v>
      </c>
      <c r="K173" s="466">
        <f t="shared" si="99"/>
        <v>0</v>
      </c>
      <c r="Q173" s="123"/>
      <c r="V173" s="123"/>
      <c r="W173" s="123"/>
    </row>
    <row r="174" spans="1:23" x14ac:dyDescent="0.25">
      <c r="A174" s="149" t="s">
        <v>97</v>
      </c>
      <c r="B174" s="106" t="s">
        <v>171</v>
      </c>
      <c r="C174" s="229">
        <v>31000</v>
      </c>
      <c r="D174" s="229">
        <v>31000</v>
      </c>
      <c r="E174" s="229">
        <v>31000</v>
      </c>
      <c r="F174" s="229">
        <v>31000</v>
      </c>
      <c r="G174" s="229">
        <v>31000</v>
      </c>
      <c r="H174" s="229">
        <v>31000</v>
      </c>
      <c r="I174" s="229">
        <v>31000</v>
      </c>
      <c r="J174" s="229">
        <v>0</v>
      </c>
      <c r="K174" s="466">
        <f t="shared" si="99"/>
        <v>0</v>
      </c>
      <c r="Q174" s="123"/>
      <c r="R174" s="123"/>
      <c r="S174" s="123"/>
      <c r="T174" s="123"/>
      <c r="U174" s="123"/>
      <c r="V174" s="123"/>
      <c r="W174" s="123"/>
    </row>
    <row r="175" spans="1:23" x14ac:dyDescent="0.25">
      <c r="A175" s="148" t="s">
        <v>97</v>
      </c>
      <c r="B175" s="105" t="s">
        <v>193</v>
      </c>
      <c r="C175" s="233">
        <v>20000</v>
      </c>
      <c r="D175" s="233">
        <v>20000</v>
      </c>
      <c r="E175" s="233">
        <v>20000</v>
      </c>
      <c r="F175" s="233">
        <v>20000</v>
      </c>
      <c r="G175" s="233">
        <v>20000</v>
      </c>
      <c r="H175" s="233">
        <v>20000</v>
      </c>
      <c r="I175" s="233">
        <v>20000</v>
      </c>
      <c r="J175" s="233">
        <v>0</v>
      </c>
      <c r="K175" s="466">
        <f t="shared" si="99"/>
        <v>0</v>
      </c>
      <c r="O175" s="123"/>
      <c r="P175" s="123"/>
    </row>
    <row r="176" spans="1:23" x14ac:dyDescent="0.25">
      <c r="A176" s="148" t="s">
        <v>97</v>
      </c>
      <c r="B176" s="105" t="s">
        <v>507</v>
      </c>
      <c r="C176" s="233">
        <v>0</v>
      </c>
      <c r="D176" s="233">
        <v>0</v>
      </c>
      <c r="E176" s="233">
        <v>0</v>
      </c>
      <c r="F176" s="554">
        <v>3300</v>
      </c>
      <c r="G176" s="233">
        <v>3300</v>
      </c>
      <c r="H176" s="233">
        <v>3300</v>
      </c>
      <c r="I176" s="233">
        <v>3300</v>
      </c>
      <c r="J176" s="233">
        <v>3300</v>
      </c>
      <c r="K176" s="466">
        <f t="shared" si="99"/>
        <v>1</v>
      </c>
      <c r="O176" s="123"/>
    </row>
    <row r="177" spans="1:23" x14ac:dyDescent="0.25">
      <c r="A177" s="151" t="s">
        <v>102</v>
      </c>
      <c r="B177" s="152" t="s">
        <v>373</v>
      </c>
      <c r="C177" s="230">
        <v>45000</v>
      </c>
      <c r="D177" s="230">
        <v>45000</v>
      </c>
      <c r="E177" s="230">
        <v>45000</v>
      </c>
      <c r="F177" s="230">
        <v>45000</v>
      </c>
      <c r="G177" s="230">
        <v>45000</v>
      </c>
      <c r="H177" s="230">
        <v>45000</v>
      </c>
      <c r="I177" s="230">
        <v>45000</v>
      </c>
      <c r="J177" s="230">
        <v>0</v>
      </c>
      <c r="K177" s="466">
        <f t="shared" si="99"/>
        <v>0</v>
      </c>
      <c r="L177" s="123"/>
      <c r="M177" s="123"/>
    </row>
    <row r="178" spans="1:23" ht="15.75" thickBot="1" x14ac:dyDescent="0.3">
      <c r="A178" s="153" t="s">
        <v>102</v>
      </c>
      <c r="B178" s="130" t="s">
        <v>342</v>
      </c>
      <c r="C178" s="231">
        <v>35000</v>
      </c>
      <c r="D178" s="231">
        <v>35000</v>
      </c>
      <c r="E178" s="231">
        <v>35000</v>
      </c>
      <c r="F178" s="231">
        <v>35000</v>
      </c>
      <c r="G178" s="231">
        <v>35000</v>
      </c>
      <c r="H178" s="231">
        <v>35000</v>
      </c>
      <c r="I178" s="231">
        <v>35000</v>
      </c>
      <c r="J178" s="231">
        <v>0</v>
      </c>
      <c r="K178" s="466">
        <f t="shared" si="99"/>
        <v>0</v>
      </c>
    </row>
    <row r="179" spans="1:23" ht="15.75" thickBot="1" x14ac:dyDescent="0.3">
      <c r="A179" s="213" t="s">
        <v>106</v>
      </c>
      <c r="B179" s="211" t="s">
        <v>165</v>
      </c>
      <c r="C179" s="303">
        <v>127800</v>
      </c>
      <c r="D179" s="486">
        <f t="shared" ref="D179:H179" si="109">127800-800</f>
        <v>127000</v>
      </c>
      <c r="E179" s="303">
        <f t="shared" si="109"/>
        <v>127000</v>
      </c>
      <c r="F179" s="303">
        <f t="shared" si="109"/>
        <v>127000</v>
      </c>
      <c r="G179" s="303">
        <f t="shared" si="109"/>
        <v>127000</v>
      </c>
      <c r="H179" s="303">
        <f t="shared" si="109"/>
        <v>127000</v>
      </c>
      <c r="I179" s="486">
        <f>127800-800-1800</f>
        <v>125200</v>
      </c>
      <c r="J179" s="303">
        <v>73343</v>
      </c>
      <c r="K179" s="466">
        <f t="shared" si="99"/>
        <v>0.57750393700787406</v>
      </c>
    </row>
    <row r="180" spans="1:23" x14ac:dyDescent="0.25">
      <c r="A180" s="213" t="s">
        <v>445</v>
      </c>
      <c r="B180" s="211" t="s">
        <v>590</v>
      </c>
      <c r="C180" s="303">
        <v>0</v>
      </c>
      <c r="D180" s="303">
        <v>0</v>
      </c>
      <c r="E180" s="303">
        <v>0</v>
      </c>
      <c r="F180" s="303">
        <v>0</v>
      </c>
      <c r="G180" s="303">
        <v>0</v>
      </c>
      <c r="H180" s="303">
        <v>0</v>
      </c>
      <c r="I180" s="486">
        <v>10000</v>
      </c>
      <c r="J180" s="303">
        <v>0</v>
      </c>
      <c r="K180" s="466">
        <v>0</v>
      </c>
    </row>
    <row r="181" spans="1:23" ht="15" customHeight="1" thickBot="1" x14ac:dyDescent="0.3">
      <c r="A181" s="153" t="s">
        <v>115</v>
      </c>
      <c r="B181" s="130" t="s">
        <v>246</v>
      </c>
      <c r="C181" s="231">
        <v>3000</v>
      </c>
      <c r="D181" s="489">
        <f t="shared" ref="D181:H181" si="110">3000+600</f>
        <v>3600</v>
      </c>
      <c r="E181" s="231">
        <f t="shared" si="110"/>
        <v>3600</v>
      </c>
      <c r="F181" s="231">
        <f t="shared" si="110"/>
        <v>3600</v>
      </c>
      <c r="G181" s="231">
        <f t="shared" si="110"/>
        <v>3600</v>
      </c>
      <c r="H181" s="231">
        <f t="shared" si="110"/>
        <v>3600</v>
      </c>
      <c r="I181" s="489">
        <f>3000+600-1200</f>
        <v>2400</v>
      </c>
      <c r="J181" s="231">
        <v>2388</v>
      </c>
      <c r="K181" s="466">
        <f t="shared" si="99"/>
        <v>0.66333333333333333</v>
      </c>
      <c r="L181" s="123"/>
      <c r="M181" s="123"/>
      <c r="Q181" s="123"/>
      <c r="R181" s="123"/>
    </row>
    <row r="182" spans="1:23" ht="15.75" thickBot="1" x14ac:dyDescent="0.3">
      <c r="A182" s="356" t="s">
        <v>248</v>
      </c>
      <c r="B182" s="108" t="s">
        <v>247</v>
      </c>
      <c r="C182" s="228">
        <v>193255</v>
      </c>
      <c r="D182" s="484">
        <f t="shared" ref="D182:H182" si="111">193255+11045</f>
        <v>204300</v>
      </c>
      <c r="E182" s="228">
        <f t="shared" si="111"/>
        <v>204300</v>
      </c>
      <c r="F182" s="228">
        <f t="shared" si="111"/>
        <v>204300</v>
      </c>
      <c r="G182" s="228">
        <f t="shared" si="111"/>
        <v>204300</v>
      </c>
      <c r="H182" s="228">
        <f t="shared" si="111"/>
        <v>204300</v>
      </c>
      <c r="I182" s="484">
        <f>193255+11045-2230</f>
        <v>202070</v>
      </c>
      <c r="J182" s="228">
        <v>0</v>
      </c>
      <c r="K182" s="466">
        <f t="shared" si="99"/>
        <v>0</v>
      </c>
      <c r="P182" s="123"/>
      <c r="Q182" s="123"/>
    </row>
    <row r="183" spans="1:23" ht="15" customHeight="1" x14ac:dyDescent="0.25">
      <c r="A183" s="155"/>
      <c r="B183" s="156"/>
      <c r="C183" s="79"/>
      <c r="D183" s="79"/>
      <c r="E183" s="79"/>
      <c r="F183" s="79"/>
      <c r="G183" s="79"/>
      <c r="H183" s="79"/>
      <c r="I183" s="79"/>
      <c r="J183" s="79"/>
      <c r="K183" s="81"/>
      <c r="O183" s="123"/>
      <c r="P183" s="123"/>
      <c r="Q183" s="123"/>
      <c r="V183" s="123"/>
      <c r="W183" s="123"/>
    </row>
    <row r="184" spans="1:23" x14ac:dyDescent="0.25">
      <c r="A184" s="154"/>
      <c r="B184" s="80"/>
      <c r="C184" s="81"/>
      <c r="D184" s="81"/>
      <c r="E184" s="81"/>
      <c r="F184" s="81"/>
      <c r="G184" s="81"/>
      <c r="H184" s="81"/>
      <c r="I184" s="81"/>
      <c r="J184" s="81"/>
      <c r="N184" s="123"/>
      <c r="O184" s="123"/>
      <c r="R184" s="123"/>
      <c r="S184" s="123"/>
      <c r="T184" s="123"/>
      <c r="U184" s="123"/>
    </row>
    <row r="185" spans="1:23" ht="18.75" thickBot="1" x14ac:dyDescent="0.3">
      <c r="A185" s="650" t="s">
        <v>133</v>
      </c>
      <c r="B185" s="651"/>
      <c r="C185" s="651"/>
      <c r="D185" s="651"/>
      <c r="E185" s="651"/>
      <c r="F185" s="651"/>
      <c r="G185" s="651"/>
      <c r="H185" s="651"/>
      <c r="I185" s="651"/>
      <c r="J185" s="651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</row>
    <row r="186" spans="1:23" ht="15.75" customHeight="1" x14ac:dyDescent="0.25">
      <c r="A186" s="644" t="s">
        <v>1</v>
      </c>
      <c r="B186" s="645"/>
      <c r="C186" s="638" t="s">
        <v>323</v>
      </c>
      <c r="D186" s="638" t="s">
        <v>562</v>
      </c>
      <c r="E186" s="638" t="s">
        <v>563</v>
      </c>
      <c r="F186" s="638" t="s">
        <v>564</v>
      </c>
      <c r="G186" s="638" t="s">
        <v>565</v>
      </c>
      <c r="H186" s="638" t="s">
        <v>566</v>
      </c>
      <c r="I186" s="638" t="s">
        <v>567</v>
      </c>
      <c r="J186" s="638" t="s">
        <v>599</v>
      </c>
      <c r="K186" s="640" t="s">
        <v>352</v>
      </c>
      <c r="O186" s="123"/>
      <c r="P186" s="123"/>
      <c r="Q186" s="123"/>
    </row>
    <row r="187" spans="1:23" ht="15" customHeight="1" thickBot="1" x14ac:dyDescent="0.3">
      <c r="A187" s="646"/>
      <c r="B187" s="647"/>
      <c r="C187" s="639"/>
      <c r="D187" s="639"/>
      <c r="E187" s="639"/>
      <c r="F187" s="639"/>
      <c r="G187" s="639"/>
      <c r="H187" s="639"/>
      <c r="I187" s="639"/>
      <c r="J187" s="639"/>
      <c r="K187" s="641"/>
      <c r="L187" s="123"/>
      <c r="M187" s="123"/>
      <c r="N187" s="123"/>
      <c r="O187" s="123"/>
      <c r="Q187" s="123"/>
    </row>
    <row r="188" spans="1:23" ht="16.5" thickBot="1" x14ac:dyDescent="0.3">
      <c r="A188" s="82" t="s">
        <v>134</v>
      </c>
      <c r="B188" s="83"/>
      <c r="C188" s="84">
        <f t="shared" ref="C188:H188" si="112">SUM(C189:C193)</f>
        <v>402140</v>
      </c>
      <c r="D188" s="84">
        <f t="shared" si="112"/>
        <v>402140</v>
      </c>
      <c r="E188" s="84">
        <f t="shared" si="112"/>
        <v>402140</v>
      </c>
      <c r="F188" s="84">
        <f t="shared" si="112"/>
        <v>523640</v>
      </c>
      <c r="G188" s="84">
        <f t="shared" si="112"/>
        <v>523640</v>
      </c>
      <c r="H188" s="84">
        <f t="shared" si="112"/>
        <v>523640</v>
      </c>
      <c r="I188" s="84">
        <f t="shared" ref="I188" si="113">SUM(I189:I193)</f>
        <v>523640</v>
      </c>
      <c r="J188" s="84">
        <f t="shared" ref="J188" si="114">SUM(J189:J193)</f>
        <v>145563</v>
      </c>
      <c r="K188" s="466">
        <f>J188/H188</f>
        <v>0.27798296539607364</v>
      </c>
      <c r="L188" s="123">
        <f>D188-C188</f>
        <v>0</v>
      </c>
      <c r="M188" s="123">
        <f t="shared" ref="M188:Q188" si="115">E188-D188</f>
        <v>0</v>
      </c>
      <c r="N188" s="123">
        <f t="shared" si="115"/>
        <v>121500</v>
      </c>
      <c r="O188" s="123">
        <f t="shared" si="115"/>
        <v>0</v>
      </c>
      <c r="P188" s="123">
        <f t="shared" si="115"/>
        <v>0</v>
      </c>
      <c r="Q188" s="123">
        <f t="shared" si="115"/>
        <v>0</v>
      </c>
      <c r="R188" s="123"/>
    </row>
    <row r="189" spans="1:23" ht="15" customHeight="1" x14ac:dyDescent="0.25">
      <c r="A189" s="158">
        <v>453</v>
      </c>
      <c r="B189" s="159" t="s">
        <v>355</v>
      </c>
      <c r="C189" s="172">
        <v>1000</v>
      </c>
      <c r="D189" s="172">
        <v>1000</v>
      </c>
      <c r="E189" s="172">
        <v>1000</v>
      </c>
      <c r="F189" s="172">
        <v>1000</v>
      </c>
      <c r="G189" s="172">
        <v>1000</v>
      </c>
      <c r="H189" s="172">
        <v>1000</v>
      </c>
      <c r="I189" s="172">
        <v>1000</v>
      </c>
      <c r="J189" s="172">
        <v>480</v>
      </c>
      <c r="K189" s="466">
        <f t="shared" ref="K189:K197" si="116">J189/H189</f>
        <v>0.48</v>
      </c>
      <c r="N189" s="123"/>
      <c r="O189" s="123"/>
    </row>
    <row r="190" spans="1:23" ht="15.75" customHeight="1" x14ac:dyDescent="0.25">
      <c r="A190" s="158">
        <v>453</v>
      </c>
      <c r="B190" s="159" t="s">
        <v>330</v>
      </c>
      <c r="C190" s="172">
        <v>1000</v>
      </c>
      <c r="D190" s="172">
        <v>1000</v>
      </c>
      <c r="E190" s="172">
        <v>1000</v>
      </c>
      <c r="F190" s="172">
        <v>1000</v>
      </c>
      <c r="G190" s="172">
        <v>1000</v>
      </c>
      <c r="H190" s="172">
        <v>1000</v>
      </c>
      <c r="I190" s="172">
        <v>1000</v>
      </c>
      <c r="J190" s="172">
        <f>444+390</f>
        <v>834</v>
      </c>
      <c r="K190" s="466">
        <f t="shared" si="116"/>
        <v>0.83399999999999996</v>
      </c>
      <c r="M190" s="123">
        <f>SUM(C189:C190)</f>
        <v>2000</v>
      </c>
      <c r="N190" s="123">
        <f t="shared" ref="N190:R190" si="117">SUM(D189:D190)</f>
        <v>2000</v>
      </c>
      <c r="O190" s="123">
        <f t="shared" si="117"/>
        <v>2000</v>
      </c>
      <c r="P190" s="123">
        <f t="shared" si="117"/>
        <v>2000</v>
      </c>
      <c r="Q190" s="123">
        <f t="shared" si="117"/>
        <v>2000</v>
      </c>
      <c r="R190" s="123">
        <f t="shared" si="117"/>
        <v>2000</v>
      </c>
      <c r="S190" s="123">
        <f>SUM(I189:I190)</f>
        <v>2000</v>
      </c>
    </row>
    <row r="191" spans="1:23" x14ac:dyDescent="0.25">
      <c r="A191" s="157">
        <v>454</v>
      </c>
      <c r="B191" s="126" t="s">
        <v>135</v>
      </c>
      <c r="C191" s="171">
        <v>100000</v>
      </c>
      <c r="D191" s="171">
        <v>100000</v>
      </c>
      <c r="E191" s="171">
        <v>100000</v>
      </c>
      <c r="F191" s="460">
        <f>100000+121500</f>
        <v>221500</v>
      </c>
      <c r="G191" s="171">
        <f>100000+121500</f>
        <v>221500</v>
      </c>
      <c r="H191" s="171">
        <f>100000+121500</f>
        <v>221500</v>
      </c>
      <c r="I191" s="171">
        <f>100000+121500</f>
        <v>221500</v>
      </c>
      <c r="J191" s="171">
        <v>144227</v>
      </c>
      <c r="K191" s="466">
        <f t="shared" si="116"/>
        <v>0.65113769751693007</v>
      </c>
      <c r="M191" s="123"/>
    </row>
    <row r="192" spans="1:23" ht="15.75" thickBot="1" x14ac:dyDescent="0.3">
      <c r="A192" s="225">
        <v>456</v>
      </c>
      <c r="B192" s="226" t="s">
        <v>204</v>
      </c>
      <c r="C192" s="227">
        <v>140</v>
      </c>
      <c r="D192" s="227">
        <v>140</v>
      </c>
      <c r="E192" s="227">
        <v>140</v>
      </c>
      <c r="F192" s="227">
        <v>140</v>
      </c>
      <c r="G192" s="227">
        <v>140</v>
      </c>
      <c r="H192" s="227">
        <v>140</v>
      </c>
      <c r="I192" s="227">
        <v>140</v>
      </c>
      <c r="J192" s="227">
        <v>22</v>
      </c>
      <c r="K192" s="466">
        <f t="shared" si="116"/>
        <v>0.15714285714285714</v>
      </c>
      <c r="L192" s="89"/>
      <c r="M192" s="123">
        <f>SUM(C189:C192)</f>
        <v>102140</v>
      </c>
      <c r="N192" s="123">
        <f t="shared" ref="N192:S192" si="118">SUM(D189:D192)</f>
        <v>102140</v>
      </c>
      <c r="O192" s="123">
        <f t="shared" si="118"/>
        <v>102140</v>
      </c>
      <c r="P192" s="123">
        <f t="shared" si="118"/>
        <v>223640</v>
      </c>
      <c r="Q192" s="123">
        <f t="shared" si="118"/>
        <v>223640</v>
      </c>
      <c r="R192" s="123">
        <f t="shared" si="118"/>
        <v>223640</v>
      </c>
      <c r="S192" s="123">
        <f t="shared" si="118"/>
        <v>223640</v>
      </c>
    </row>
    <row r="193" spans="1:17" ht="15.75" thickBot="1" x14ac:dyDescent="0.3">
      <c r="A193" s="222">
        <v>513</v>
      </c>
      <c r="B193" s="223" t="s">
        <v>137</v>
      </c>
      <c r="C193" s="224">
        <v>300000</v>
      </c>
      <c r="D193" s="224">
        <v>300000</v>
      </c>
      <c r="E193" s="224">
        <v>300000</v>
      </c>
      <c r="F193" s="224">
        <v>300000</v>
      </c>
      <c r="G193" s="224">
        <v>300000</v>
      </c>
      <c r="H193" s="224">
        <v>300000</v>
      </c>
      <c r="I193" s="224">
        <v>300000</v>
      </c>
      <c r="J193" s="224">
        <v>0</v>
      </c>
      <c r="K193" s="466">
        <f t="shared" si="116"/>
        <v>0</v>
      </c>
      <c r="L193" s="123"/>
    </row>
    <row r="194" spans="1:17" ht="16.5" thickBot="1" x14ac:dyDescent="0.3">
      <c r="A194" s="82" t="s">
        <v>138</v>
      </c>
      <c r="B194" s="83"/>
      <c r="C194" s="84">
        <f t="shared" ref="C194:H194" si="119">SUM(C195:C197)</f>
        <v>10940</v>
      </c>
      <c r="D194" s="84">
        <f t="shared" si="119"/>
        <v>11000</v>
      </c>
      <c r="E194" s="84">
        <f t="shared" si="119"/>
        <v>11000</v>
      </c>
      <c r="F194" s="84">
        <f t="shared" si="119"/>
        <v>11000</v>
      </c>
      <c r="G194" s="84">
        <f t="shared" si="119"/>
        <v>11000</v>
      </c>
      <c r="H194" s="84">
        <f t="shared" si="119"/>
        <v>11000</v>
      </c>
      <c r="I194" s="84">
        <f t="shared" ref="I194" si="120">SUM(I195:I197)</f>
        <v>11000</v>
      </c>
      <c r="J194" s="84">
        <f t="shared" ref="J194" si="121">SUM(J195:J197)</f>
        <v>661</v>
      </c>
      <c r="K194" s="466">
        <f t="shared" si="116"/>
        <v>6.0090909090909091E-2</v>
      </c>
      <c r="L194" s="123">
        <f t="shared" ref="L194:Q194" si="122">D194-C194</f>
        <v>60</v>
      </c>
      <c r="M194" s="123">
        <f t="shared" si="122"/>
        <v>0</v>
      </c>
      <c r="N194" s="123">
        <f t="shared" si="122"/>
        <v>0</v>
      </c>
      <c r="O194" s="123">
        <f t="shared" si="122"/>
        <v>0</v>
      </c>
      <c r="P194" s="123">
        <f t="shared" si="122"/>
        <v>0</v>
      </c>
      <c r="Q194" s="123">
        <f t="shared" si="122"/>
        <v>0</v>
      </c>
    </row>
    <row r="195" spans="1:17" x14ac:dyDescent="0.25">
      <c r="A195" s="206">
        <v>819</v>
      </c>
      <c r="B195" s="85" t="s">
        <v>203</v>
      </c>
      <c r="C195" s="86">
        <v>140</v>
      </c>
      <c r="D195" s="86">
        <v>140</v>
      </c>
      <c r="E195" s="86">
        <v>140</v>
      </c>
      <c r="F195" s="86">
        <v>140</v>
      </c>
      <c r="G195" s="86">
        <v>140</v>
      </c>
      <c r="H195" s="86">
        <v>140</v>
      </c>
      <c r="I195" s="86">
        <v>140</v>
      </c>
      <c r="J195" s="86">
        <v>22</v>
      </c>
      <c r="K195" s="466">
        <f t="shared" si="116"/>
        <v>0.15714285714285714</v>
      </c>
    </row>
    <row r="196" spans="1:17" ht="15" customHeight="1" x14ac:dyDescent="0.25">
      <c r="A196" s="207">
        <v>821</v>
      </c>
      <c r="B196" s="208" t="s">
        <v>206</v>
      </c>
      <c r="C196" s="169">
        <v>10000</v>
      </c>
      <c r="D196" s="169">
        <v>10000</v>
      </c>
      <c r="E196" s="169">
        <v>10000</v>
      </c>
      <c r="F196" s="169">
        <v>10000</v>
      </c>
      <c r="G196" s="169">
        <v>10000</v>
      </c>
      <c r="H196" s="169">
        <v>10000</v>
      </c>
      <c r="I196" s="169">
        <v>10000</v>
      </c>
      <c r="J196" s="169">
        <v>0</v>
      </c>
      <c r="K196" s="466">
        <f t="shared" si="116"/>
        <v>0</v>
      </c>
    </row>
    <row r="197" spans="1:17" ht="15.75" thickBot="1" x14ac:dyDescent="0.3">
      <c r="A197" s="339">
        <v>821</v>
      </c>
      <c r="B197" s="87" t="s">
        <v>139</v>
      </c>
      <c r="C197" s="42">
        <v>800</v>
      </c>
      <c r="D197" s="454">
        <v>860</v>
      </c>
      <c r="E197" s="50">
        <v>860</v>
      </c>
      <c r="F197" s="50">
        <v>860</v>
      </c>
      <c r="G197" s="50">
        <v>860</v>
      </c>
      <c r="H197" s="50">
        <v>860</v>
      </c>
      <c r="I197" s="50">
        <v>860</v>
      </c>
      <c r="J197" s="42">
        <v>639</v>
      </c>
      <c r="K197" s="466">
        <f t="shared" si="116"/>
        <v>0.74302325581395345</v>
      </c>
    </row>
    <row r="198" spans="1:17" ht="15" customHeight="1" x14ac:dyDescent="0.25">
      <c r="A198" s="154"/>
      <c r="B198" s="88"/>
      <c r="C198" s="89"/>
      <c r="D198" s="89"/>
      <c r="E198" s="89"/>
      <c r="F198" s="89"/>
      <c r="G198" s="89"/>
      <c r="H198" s="89"/>
      <c r="I198" s="89"/>
      <c r="J198" s="89"/>
      <c r="K198" s="156"/>
    </row>
    <row r="199" spans="1:17" ht="63" customHeight="1" x14ac:dyDescent="0.25">
      <c r="A199" s="33"/>
      <c r="B199" s="156"/>
      <c r="C199" s="156"/>
      <c r="D199" s="156"/>
      <c r="E199" s="156"/>
      <c r="F199" s="156"/>
      <c r="G199" s="156"/>
      <c r="H199" s="156"/>
      <c r="I199" s="156"/>
      <c r="J199" s="156"/>
    </row>
    <row r="200" spans="1:17" ht="18.75" thickBot="1" x14ac:dyDescent="0.3">
      <c r="A200" s="642" t="s">
        <v>140</v>
      </c>
      <c r="B200" s="643"/>
      <c r="C200" s="643"/>
      <c r="D200" s="643"/>
      <c r="E200" s="643"/>
      <c r="F200" s="643"/>
      <c r="G200" s="643"/>
      <c r="H200" s="643"/>
      <c r="I200" s="643"/>
      <c r="J200" s="643"/>
    </row>
    <row r="201" spans="1:17" ht="15" customHeight="1" x14ac:dyDescent="0.25">
      <c r="A201" s="644" t="s">
        <v>1</v>
      </c>
      <c r="B201" s="645"/>
      <c r="C201" s="638" t="s">
        <v>323</v>
      </c>
      <c r="D201" s="638" t="s">
        <v>562</v>
      </c>
      <c r="E201" s="638" t="s">
        <v>563</v>
      </c>
      <c r="F201" s="638" t="s">
        <v>564</v>
      </c>
      <c r="G201" s="638" t="s">
        <v>565</v>
      </c>
      <c r="H201" s="638" t="s">
        <v>566</v>
      </c>
      <c r="I201" s="638" t="s">
        <v>567</v>
      </c>
      <c r="J201" s="638" t="s">
        <v>599</v>
      </c>
    </row>
    <row r="202" spans="1:17" ht="15.75" thickBot="1" x14ac:dyDescent="0.3">
      <c r="A202" s="646"/>
      <c r="B202" s="647"/>
      <c r="C202" s="639"/>
      <c r="D202" s="639"/>
      <c r="E202" s="639"/>
      <c r="F202" s="639"/>
      <c r="G202" s="639"/>
      <c r="H202" s="639"/>
      <c r="I202" s="639"/>
      <c r="J202" s="639"/>
    </row>
    <row r="203" spans="1:17" ht="15.75" x14ac:dyDescent="0.25">
      <c r="A203" s="90" t="s">
        <v>141</v>
      </c>
      <c r="B203" s="120"/>
      <c r="C203" s="91">
        <f t="shared" ref="C203:J203" si="123">C75</f>
        <v>2160910</v>
      </c>
      <c r="D203" s="91">
        <f t="shared" si="123"/>
        <v>2204460</v>
      </c>
      <c r="E203" s="91">
        <f t="shared" si="123"/>
        <v>2211405</v>
      </c>
      <c r="F203" s="91">
        <f t="shared" si="123"/>
        <v>2240450</v>
      </c>
      <c r="G203" s="91">
        <f t="shared" si="123"/>
        <v>2282161</v>
      </c>
      <c r="H203" s="91">
        <f t="shared" si="123"/>
        <v>2295914</v>
      </c>
      <c r="I203" s="91">
        <f t="shared" ref="I203" si="124">I75</f>
        <v>2294490</v>
      </c>
      <c r="J203" s="91">
        <f t="shared" si="123"/>
        <v>1644381</v>
      </c>
    </row>
    <row r="204" spans="1:17" ht="15.75" x14ac:dyDescent="0.25">
      <c r="A204" s="92" t="s">
        <v>142</v>
      </c>
      <c r="B204" s="209"/>
      <c r="C204" s="93">
        <f t="shared" ref="C204:J204" si="125">C145</f>
        <v>2152110</v>
      </c>
      <c r="D204" s="93">
        <f t="shared" si="125"/>
        <v>2195600</v>
      </c>
      <c r="E204" s="93">
        <f t="shared" si="125"/>
        <v>2202545</v>
      </c>
      <c r="F204" s="93">
        <f t="shared" si="125"/>
        <v>2228290</v>
      </c>
      <c r="G204" s="93">
        <f t="shared" si="125"/>
        <v>2270001</v>
      </c>
      <c r="H204" s="93">
        <f t="shared" si="125"/>
        <v>2283754</v>
      </c>
      <c r="I204" s="93">
        <f t="shared" ref="I204" si="126">I145</f>
        <v>2282330</v>
      </c>
      <c r="J204" s="93">
        <f t="shared" si="125"/>
        <v>1398611</v>
      </c>
    </row>
    <row r="205" spans="1:17" ht="15.75" x14ac:dyDescent="0.25">
      <c r="A205" s="634" t="s">
        <v>143</v>
      </c>
      <c r="B205" s="635"/>
      <c r="C205" s="94">
        <f t="shared" ref="C205:J205" si="127">C203-C204</f>
        <v>8800</v>
      </c>
      <c r="D205" s="94">
        <f t="shared" si="127"/>
        <v>8860</v>
      </c>
      <c r="E205" s="94">
        <f t="shared" si="127"/>
        <v>8860</v>
      </c>
      <c r="F205" s="94">
        <f t="shared" si="127"/>
        <v>12160</v>
      </c>
      <c r="G205" s="94">
        <f t="shared" si="127"/>
        <v>12160</v>
      </c>
      <c r="H205" s="94">
        <f t="shared" si="127"/>
        <v>12160</v>
      </c>
      <c r="I205" s="94">
        <f t="shared" ref="I205" si="128">I203-I204</f>
        <v>12160</v>
      </c>
      <c r="J205" s="94">
        <f t="shared" si="127"/>
        <v>245770</v>
      </c>
      <c r="Q205" s="123"/>
    </row>
    <row r="206" spans="1:17" ht="15.75" x14ac:dyDescent="0.25">
      <c r="A206" s="92" t="s">
        <v>144</v>
      </c>
      <c r="B206" s="116"/>
      <c r="C206" s="93">
        <f t="shared" ref="C206:J206" si="129">C151</f>
        <v>620702</v>
      </c>
      <c r="D206" s="93">
        <f t="shared" si="129"/>
        <v>635220</v>
      </c>
      <c r="E206" s="93">
        <f t="shared" si="129"/>
        <v>635220</v>
      </c>
      <c r="F206" s="93">
        <f t="shared" si="129"/>
        <v>561520</v>
      </c>
      <c r="G206" s="93">
        <f t="shared" si="129"/>
        <v>519520</v>
      </c>
      <c r="H206" s="93">
        <f t="shared" si="129"/>
        <v>519520</v>
      </c>
      <c r="I206" s="93">
        <f t="shared" ref="I206" si="130">I151</f>
        <v>519520</v>
      </c>
      <c r="J206" s="93">
        <f t="shared" si="129"/>
        <v>70218</v>
      </c>
      <c r="Q206" s="123"/>
    </row>
    <row r="207" spans="1:17" ht="15.75" x14ac:dyDescent="0.25">
      <c r="A207" s="92" t="s">
        <v>145</v>
      </c>
      <c r="B207" s="116"/>
      <c r="C207" s="8">
        <f t="shared" ref="C207:J207" si="131">C158</f>
        <v>1020702</v>
      </c>
      <c r="D207" s="8">
        <f t="shared" si="131"/>
        <v>1035220</v>
      </c>
      <c r="E207" s="8">
        <f t="shared" si="131"/>
        <v>1035220</v>
      </c>
      <c r="F207" s="8">
        <f t="shared" si="131"/>
        <v>1086320</v>
      </c>
      <c r="G207" s="8">
        <f t="shared" si="131"/>
        <v>1044320</v>
      </c>
      <c r="H207" s="8">
        <f t="shared" si="131"/>
        <v>1044320</v>
      </c>
      <c r="I207" s="8">
        <f t="shared" ref="I207" si="132">I158</f>
        <v>1044320</v>
      </c>
      <c r="J207" s="8">
        <f t="shared" si="131"/>
        <v>147527</v>
      </c>
      <c r="P207" s="123"/>
      <c r="Q207" s="123"/>
    </row>
    <row r="208" spans="1:17" ht="15.75" x14ac:dyDescent="0.25">
      <c r="A208" s="634" t="s">
        <v>146</v>
      </c>
      <c r="B208" s="635"/>
      <c r="C208" s="94">
        <f t="shared" ref="C208:J208" si="133">C206-C207</f>
        <v>-400000</v>
      </c>
      <c r="D208" s="94">
        <f t="shared" si="133"/>
        <v>-400000</v>
      </c>
      <c r="E208" s="94">
        <f t="shared" si="133"/>
        <v>-400000</v>
      </c>
      <c r="F208" s="94">
        <f t="shared" si="133"/>
        <v>-524800</v>
      </c>
      <c r="G208" s="94">
        <f t="shared" si="133"/>
        <v>-524800</v>
      </c>
      <c r="H208" s="94">
        <f t="shared" si="133"/>
        <v>-524800</v>
      </c>
      <c r="I208" s="94">
        <f t="shared" ref="I208" si="134">I206-I207</f>
        <v>-524800</v>
      </c>
      <c r="J208" s="94">
        <f t="shared" si="133"/>
        <v>-77309</v>
      </c>
      <c r="O208" s="123"/>
      <c r="P208" s="123"/>
      <c r="Q208" s="123"/>
    </row>
    <row r="209" spans="1:17" ht="15.75" x14ac:dyDescent="0.25">
      <c r="A209" s="95" t="s">
        <v>147</v>
      </c>
      <c r="B209" s="96"/>
      <c r="C209" s="97">
        <f t="shared" ref="C209:J209" si="135">C188</f>
        <v>402140</v>
      </c>
      <c r="D209" s="97">
        <f t="shared" si="135"/>
        <v>402140</v>
      </c>
      <c r="E209" s="97">
        <f t="shared" si="135"/>
        <v>402140</v>
      </c>
      <c r="F209" s="97">
        <f t="shared" si="135"/>
        <v>523640</v>
      </c>
      <c r="G209" s="97">
        <f t="shared" si="135"/>
        <v>523640</v>
      </c>
      <c r="H209" s="97">
        <f t="shared" si="135"/>
        <v>523640</v>
      </c>
      <c r="I209" s="97">
        <f t="shared" ref="I209" si="136">I188</f>
        <v>523640</v>
      </c>
      <c r="J209" s="97">
        <f t="shared" si="135"/>
        <v>145563</v>
      </c>
      <c r="N209" s="123"/>
      <c r="O209" s="123"/>
      <c r="P209" s="123"/>
      <c r="Q209" s="123"/>
    </row>
    <row r="210" spans="1:17" ht="15.75" x14ac:dyDescent="0.25">
      <c r="A210" s="95" t="s">
        <v>148</v>
      </c>
      <c r="B210" s="96"/>
      <c r="C210" s="97">
        <f t="shared" ref="C210:J210" si="137">C194</f>
        <v>10940</v>
      </c>
      <c r="D210" s="97">
        <f t="shared" si="137"/>
        <v>11000</v>
      </c>
      <c r="E210" s="97">
        <f t="shared" si="137"/>
        <v>11000</v>
      </c>
      <c r="F210" s="97">
        <f t="shared" si="137"/>
        <v>11000</v>
      </c>
      <c r="G210" s="97">
        <f t="shared" si="137"/>
        <v>11000</v>
      </c>
      <c r="H210" s="97">
        <f t="shared" si="137"/>
        <v>11000</v>
      </c>
      <c r="I210" s="97">
        <f t="shared" ref="I210" si="138">I194</f>
        <v>11000</v>
      </c>
      <c r="J210" s="97">
        <f t="shared" si="137"/>
        <v>661</v>
      </c>
      <c r="N210" s="123"/>
      <c r="O210" s="123"/>
      <c r="P210" s="123"/>
    </row>
    <row r="211" spans="1:17" ht="16.5" thickBot="1" x14ac:dyDescent="0.3">
      <c r="A211" s="636" t="s">
        <v>149</v>
      </c>
      <c r="B211" s="637"/>
      <c r="C211" s="98">
        <f t="shared" ref="C211:J211" si="139">C209-C210</f>
        <v>391200</v>
      </c>
      <c r="D211" s="98">
        <f t="shared" si="139"/>
        <v>391140</v>
      </c>
      <c r="E211" s="98">
        <f t="shared" si="139"/>
        <v>391140</v>
      </c>
      <c r="F211" s="98">
        <f t="shared" si="139"/>
        <v>512640</v>
      </c>
      <c r="G211" s="98">
        <f t="shared" si="139"/>
        <v>512640</v>
      </c>
      <c r="H211" s="98">
        <f t="shared" si="139"/>
        <v>512640</v>
      </c>
      <c r="I211" s="98">
        <f t="shared" ref="I211" si="140">I209-I210</f>
        <v>512640</v>
      </c>
      <c r="J211" s="98">
        <f t="shared" si="139"/>
        <v>144902</v>
      </c>
      <c r="N211" s="123"/>
      <c r="O211" s="123"/>
      <c r="P211" s="123"/>
    </row>
    <row r="212" spans="1:17" ht="16.5" thickBot="1" x14ac:dyDescent="0.3">
      <c r="A212" s="160" t="s">
        <v>150</v>
      </c>
      <c r="B212" s="99"/>
      <c r="C212" s="161">
        <f t="shared" ref="C212:J212" si="141">C205+C208+C211</f>
        <v>0</v>
      </c>
      <c r="D212" s="161">
        <f t="shared" si="141"/>
        <v>0</v>
      </c>
      <c r="E212" s="161">
        <f t="shared" si="141"/>
        <v>0</v>
      </c>
      <c r="F212" s="161">
        <f t="shared" si="141"/>
        <v>0</v>
      </c>
      <c r="G212" s="161">
        <f t="shared" si="141"/>
        <v>0</v>
      </c>
      <c r="H212" s="161">
        <f t="shared" si="141"/>
        <v>0</v>
      </c>
      <c r="I212" s="161">
        <f t="shared" ref="I212" si="142">I205+I208+I211</f>
        <v>0</v>
      </c>
      <c r="J212" s="161">
        <f t="shared" si="141"/>
        <v>313363</v>
      </c>
      <c r="M212" s="123"/>
      <c r="N212" s="123"/>
      <c r="O212" s="123"/>
    </row>
    <row r="213" spans="1:17" x14ac:dyDescent="0.25">
      <c r="K213" s="123"/>
      <c r="L213" s="123"/>
      <c r="M213" s="123"/>
      <c r="N213" s="123"/>
    </row>
    <row r="214" spans="1:17" x14ac:dyDescent="0.25">
      <c r="B214" s="162" t="s">
        <v>151</v>
      </c>
      <c r="C214" s="123">
        <f t="shared" ref="C214:J215" si="143">C203+C206+C209</f>
        <v>3183752</v>
      </c>
      <c r="D214" s="123">
        <f t="shared" si="143"/>
        <v>3241820</v>
      </c>
      <c r="E214" s="123">
        <f t="shared" si="143"/>
        <v>3248765</v>
      </c>
      <c r="F214" s="123">
        <f t="shared" si="143"/>
        <v>3325610</v>
      </c>
      <c r="G214" s="123">
        <f t="shared" si="143"/>
        <v>3325321</v>
      </c>
      <c r="H214" s="123">
        <f t="shared" si="143"/>
        <v>3339074</v>
      </c>
      <c r="I214" s="123">
        <f t="shared" ref="I214" si="144">I203+I206+I209</f>
        <v>3337650</v>
      </c>
      <c r="J214" s="123">
        <f t="shared" si="143"/>
        <v>1860162</v>
      </c>
      <c r="K214" s="123"/>
      <c r="L214" s="123">
        <f t="shared" ref="L214:Q215" si="145">D214-C214</f>
        <v>58068</v>
      </c>
      <c r="M214" s="123">
        <f t="shared" si="145"/>
        <v>6945</v>
      </c>
      <c r="N214" s="123">
        <f t="shared" si="145"/>
        <v>76845</v>
      </c>
      <c r="O214" s="123">
        <f t="shared" si="145"/>
        <v>-289</v>
      </c>
      <c r="P214" s="123">
        <f t="shared" si="145"/>
        <v>13753</v>
      </c>
      <c r="Q214" s="123">
        <f t="shared" si="145"/>
        <v>-1424</v>
      </c>
    </row>
    <row r="215" spans="1:17" x14ac:dyDescent="0.25">
      <c r="B215" s="162" t="s">
        <v>152</v>
      </c>
      <c r="C215" s="123">
        <f t="shared" si="143"/>
        <v>3183752</v>
      </c>
      <c r="D215" s="123">
        <f t="shared" si="143"/>
        <v>3241820</v>
      </c>
      <c r="E215" s="123">
        <f t="shared" si="143"/>
        <v>3248765</v>
      </c>
      <c r="F215" s="123">
        <f t="shared" si="143"/>
        <v>3325610</v>
      </c>
      <c r="G215" s="123">
        <f t="shared" si="143"/>
        <v>3325321</v>
      </c>
      <c r="H215" s="123">
        <f t="shared" si="143"/>
        <v>3339074</v>
      </c>
      <c r="I215" s="123">
        <f t="shared" ref="I215" si="146">I204+I207+I210</f>
        <v>3337650</v>
      </c>
      <c r="J215" s="123">
        <f t="shared" si="143"/>
        <v>1546799</v>
      </c>
      <c r="K215" s="123"/>
      <c r="L215" s="123">
        <f t="shared" si="145"/>
        <v>58068</v>
      </c>
      <c r="M215" s="123">
        <f t="shared" si="145"/>
        <v>6945</v>
      </c>
      <c r="N215" s="123">
        <f t="shared" si="145"/>
        <v>76845</v>
      </c>
      <c r="O215" s="123">
        <f t="shared" si="145"/>
        <v>-289</v>
      </c>
      <c r="P215" s="123">
        <f t="shared" si="145"/>
        <v>13753</v>
      </c>
      <c r="Q215" s="123">
        <f t="shared" si="145"/>
        <v>-1424</v>
      </c>
    </row>
    <row r="216" spans="1:17" x14ac:dyDescent="0.25">
      <c r="B216" s="16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1:17" x14ac:dyDescent="0.25">
      <c r="B217" s="162" t="s">
        <v>153</v>
      </c>
      <c r="C217" s="123">
        <f t="shared" ref="C217:J217" si="147">C214-C74</f>
        <v>3115422</v>
      </c>
      <c r="D217" s="123">
        <f t="shared" si="147"/>
        <v>3173490</v>
      </c>
      <c r="E217" s="123">
        <f t="shared" si="147"/>
        <v>3180435</v>
      </c>
      <c r="F217" s="123">
        <f t="shared" si="147"/>
        <v>3257280</v>
      </c>
      <c r="G217" s="123">
        <f t="shared" si="147"/>
        <v>3256991</v>
      </c>
      <c r="H217" s="123">
        <f t="shared" si="147"/>
        <v>3265154</v>
      </c>
      <c r="I217" s="123">
        <f t="shared" ref="I217" si="148">I214-I74</f>
        <v>3263730</v>
      </c>
      <c r="J217" s="123">
        <f t="shared" si="147"/>
        <v>1813714</v>
      </c>
      <c r="K217" s="123"/>
      <c r="L217" s="123">
        <f t="shared" ref="L217:Q218" si="149">D217-C217</f>
        <v>58068</v>
      </c>
      <c r="M217" s="123">
        <f t="shared" si="149"/>
        <v>6945</v>
      </c>
      <c r="N217" s="123">
        <f t="shared" si="149"/>
        <v>76845</v>
      </c>
      <c r="O217" s="123">
        <f t="shared" si="149"/>
        <v>-289</v>
      </c>
      <c r="P217" s="123">
        <f t="shared" si="149"/>
        <v>8163</v>
      </c>
      <c r="Q217" s="123">
        <f t="shared" si="149"/>
        <v>-1424</v>
      </c>
    </row>
    <row r="218" spans="1:17" x14ac:dyDescent="0.25">
      <c r="B218" s="162" t="s">
        <v>154</v>
      </c>
      <c r="C218" s="123">
        <f t="shared" ref="C218:J218" si="150">C215-C144</f>
        <v>2413787</v>
      </c>
      <c r="D218" s="123">
        <f t="shared" si="150"/>
        <v>2458036</v>
      </c>
      <c r="E218" s="123">
        <f t="shared" si="150"/>
        <v>2464981</v>
      </c>
      <c r="F218" s="123">
        <f t="shared" si="150"/>
        <v>2541826</v>
      </c>
      <c r="G218" s="123">
        <f t="shared" si="150"/>
        <v>2540826</v>
      </c>
      <c r="H218" s="123">
        <f t="shared" si="150"/>
        <v>2548883</v>
      </c>
      <c r="I218" s="123">
        <f t="shared" ref="I218" si="151">I215-I144</f>
        <v>2545283</v>
      </c>
      <c r="J218" s="123">
        <f t="shared" si="150"/>
        <v>958641</v>
      </c>
      <c r="K218" s="123"/>
      <c r="L218" s="123">
        <f t="shared" si="149"/>
        <v>44249</v>
      </c>
      <c r="M218" s="123">
        <f t="shared" si="149"/>
        <v>6945</v>
      </c>
      <c r="N218" s="123">
        <f t="shared" si="149"/>
        <v>76845</v>
      </c>
      <c r="O218" s="123">
        <f t="shared" si="149"/>
        <v>-1000</v>
      </c>
      <c r="P218" s="123">
        <f t="shared" si="149"/>
        <v>8057</v>
      </c>
      <c r="Q218" s="123">
        <f t="shared" si="149"/>
        <v>-3600</v>
      </c>
    </row>
    <row r="219" spans="1:17" x14ac:dyDescent="0.25">
      <c r="B219" s="162"/>
      <c r="C219" s="123"/>
      <c r="D219" s="123"/>
      <c r="E219" s="123"/>
      <c r="F219" s="123"/>
      <c r="G219" s="123"/>
      <c r="H219" s="123"/>
      <c r="I219" s="123"/>
      <c r="J219" s="123"/>
    </row>
    <row r="220" spans="1:17" x14ac:dyDescent="0.25">
      <c r="A220" s="236"/>
      <c r="B220" s="237" t="s">
        <v>214</v>
      </c>
    </row>
    <row r="222" spans="1:17" x14ac:dyDescent="0.25">
      <c r="B222" s="110" t="s">
        <v>155</v>
      </c>
    </row>
    <row r="224" spans="1:17" x14ac:dyDescent="0.25">
      <c r="B224" s="100" t="s">
        <v>271</v>
      </c>
    </row>
    <row r="225" spans="2:2" x14ac:dyDescent="0.25">
      <c r="B225" s="215" t="s">
        <v>377</v>
      </c>
    </row>
    <row r="226" spans="2:2" x14ac:dyDescent="0.25">
      <c r="B226" s="215" t="s">
        <v>419</v>
      </c>
    </row>
    <row r="227" spans="2:2" x14ac:dyDescent="0.25">
      <c r="B227" s="215" t="s">
        <v>501</v>
      </c>
    </row>
    <row r="228" spans="2:2" x14ac:dyDescent="0.25">
      <c r="B228" s="215" t="s">
        <v>535</v>
      </c>
    </row>
    <row r="229" spans="2:2" x14ac:dyDescent="0.25">
      <c r="B229" s="215" t="s">
        <v>552</v>
      </c>
    </row>
    <row r="230" spans="2:2" x14ac:dyDescent="0.25">
      <c r="B230" s="215" t="s">
        <v>602</v>
      </c>
    </row>
    <row r="231" spans="2:2" x14ac:dyDescent="0.25">
      <c r="B231" s="215"/>
    </row>
    <row r="232" spans="2:2" x14ac:dyDescent="0.25">
      <c r="B232" s="110" t="s">
        <v>569</v>
      </c>
    </row>
    <row r="233" spans="2:2" x14ac:dyDescent="0.25">
      <c r="B233" s="110" t="s">
        <v>594</v>
      </c>
    </row>
    <row r="234" spans="2:2" x14ac:dyDescent="0.25">
      <c r="B234" s="110" t="s">
        <v>595</v>
      </c>
    </row>
    <row r="235" spans="2:2" x14ac:dyDescent="0.25">
      <c r="B235" s="110" t="s">
        <v>596</v>
      </c>
    </row>
  </sheetData>
  <mergeCells count="67">
    <mergeCell ref="A144:B144"/>
    <mergeCell ref="A148:J148"/>
    <mergeCell ref="A143:B143"/>
    <mergeCell ref="H201:H202"/>
    <mergeCell ref="J201:J202"/>
    <mergeCell ref="C149:C150"/>
    <mergeCell ref="D149:D150"/>
    <mergeCell ref="E149:E150"/>
    <mergeCell ref="A205:B205"/>
    <mergeCell ref="A208:B208"/>
    <mergeCell ref="A200:J200"/>
    <mergeCell ref="A201:B202"/>
    <mergeCell ref="C201:C202"/>
    <mergeCell ref="D201:D202"/>
    <mergeCell ref="E201:E202"/>
    <mergeCell ref="F201:F202"/>
    <mergeCell ref="G201:G202"/>
    <mergeCell ref="I201:I202"/>
    <mergeCell ref="K186:K187"/>
    <mergeCell ref="I149:I150"/>
    <mergeCell ref="I186:I187"/>
    <mergeCell ref="A149:B150"/>
    <mergeCell ref="A211:B211"/>
    <mergeCell ref="A151:B151"/>
    <mergeCell ref="A158:B158"/>
    <mergeCell ref="A185:J185"/>
    <mergeCell ref="A186:B187"/>
    <mergeCell ref="C186:C187"/>
    <mergeCell ref="D186:D187"/>
    <mergeCell ref="E186:E187"/>
    <mergeCell ref="F186:F187"/>
    <mergeCell ref="G186:G187"/>
    <mergeCell ref="H186:H187"/>
    <mergeCell ref="J186:J187"/>
    <mergeCell ref="K149:K150"/>
    <mergeCell ref="F79:F80"/>
    <mergeCell ref="G79:G80"/>
    <mergeCell ref="I79:I80"/>
    <mergeCell ref="H149:H150"/>
    <mergeCell ref="J149:J150"/>
    <mergeCell ref="H79:H80"/>
    <mergeCell ref="J79:J80"/>
    <mergeCell ref="F149:F150"/>
    <mergeCell ref="G149:G150"/>
    <mergeCell ref="A140:B140"/>
    <mergeCell ref="K2:K3"/>
    <mergeCell ref="A4:B4"/>
    <mergeCell ref="A12:B12"/>
    <mergeCell ref="A72:B72"/>
    <mergeCell ref="A74:B74"/>
    <mergeCell ref="I2:I3"/>
    <mergeCell ref="A79:B80"/>
    <mergeCell ref="C79:C80"/>
    <mergeCell ref="D79:D80"/>
    <mergeCell ref="E79:E80"/>
    <mergeCell ref="A97:B97"/>
    <mergeCell ref="K79:K80"/>
    <mergeCell ref="A78:J78"/>
    <mergeCell ref="A1:J1"/>
    <mergeCell ref="A2:B3"/>
    <mergeCell ref="C2:C3"/>
    <mergeCell ref="D2:D3"/>
    <mergeCell ref="E2:E3"/>
    <mergeCell ref="F2:F3"/>
    <mergeCell ref="G2:G3"/>
    <mergeCell ref="H2:H3"/>
    <mergeCell ref="J2:J3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 xml:space="preserve">&amp;C&amp;"Arial,Tučné"&amp;14Rozpočet na rok 2019
6. zmena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5"/>
  <sheetViews>
    <sheetView zoomScale="95" zoomScaleNormal="95" workbookViewId="0">
      <selection sqref="A1:I1"/>
    </sheetView>
  </sheetViews>
  <sheetFormatPr defaultRowHeight="15" x14ac:dyDescent="0.25"/>
  <cols>
    <col min="1" max="1" width="6" style="110" customWidth="1"/>
    <col min="2" max="2" width="68.42578125" style="110" customWidth="1"/>
    <col min="3" max="9" width="12.5703125" style="110" customWidth="1"/>
    <col min="10" max="10" width="7.85546875" style="110" customWidth="1"/>
    <col min="11" max="11" width="9.140625" style="110"/>
    <col min="12" max="12" width="11.7109375" style="110" customWidth="1"/>
    <col min="13" max="13" width="11.28515625" style="110" customWidth="1"/>
    <col min="14" max="14" width="9.140625" style="110"/>
    <col min="15" max="15" width="11" style="110" customWidth="1"/>
    <col min="16" max="16384" width="9.140625" style="110"/>
  </cols>
  <sheetData>
    <row r="1" spans="1:10" ht="18.75" thickBot="1" x14ac:dyDescent="0.3">
      <c r="A1" s="674" t="s">
        <v>0</v>
      </c>
      <c r="B1" s="675"/>
      <c r="C1" s="675"/>
      <c r="D1" s="675"/>
      <c r="E1" s="675"/>
      <c r="F1" s="675"/>
      <c r="G1" s="675"/>
      <c r="H1" s="675"/>
      <c r="I1" s="675"/>
    </row>
    <row r="2" spans="1:10" ht="18.75" customHeight="1" x14ac:dyDescent="0.25">
      <c r="A2" s="644" t="s">
        <v>1</v>
      </c>
      <c r="B2" s="645"/>
      <c r="C2" s="638" t="s">
        <v>323</v>
      </c>
      <c r="D2" s="638" t="s">
        <v>322</v>
      </c>
      <c r="E2" s="638" t="s">
        <v>408</v>
      </c>
      <c r="F2" s="638" t="s">
        <v>413</v>
      </c>
      <c r="G2" s="638" t="s">
        <v>510</v>
      </c>
      <c r="H2" s="638" t="s">
        <v>546</v>
      </c>
      <c r="I2" s="638" t="s">
        <v>555</v>
      </c>
      <c r="J2" s="662" t="s">
        <v>352</v>
      </c>
    </row>
    <row r="3" spans="1:10" ht="15.75" thickBot="1" x14ac:dyDescent="0.3">
      <c r="A3" s="646"/>
      <c r="B3" s="647"/>
      <c r="C3" s="639"/>
      <c r="D3" s="639"/>
      <c r="E3" s="639"/>
      <c r="F3" s="639"/>
      <c r="G3" s="639"/>
      <c r="H3" s="639"/>
      <c r="I3" s="639"/>
      <c r="J3" s="663"/>
    </row>
    <row r="4" spans="1:10" ht="15.75" thickBot="1" x14ac:dyDescent="0.3">
      <c r="A4" s="664" t="s">
        <v>2</v>
      </c>
      <c r="B4" s="665"/>
      <c r="C4" s="1">
        <f t="shared" ref="C4:I4" si="0">SUM(C5:C11)</f>
        <v>1151580</v>
      </c>
      <c r="D4" s="1">
        <f t="shared" si="0"/>
        <v>1173580</v>
      </c>
      <c r="E4" s="1">
        <f t="shared" si="0"/>
        <v>1174080</v>
      </c>
      <c r="F4" s="1">
        <f t="shared" si="0"/>
        <v>1175080</v>
      </c>
      <c r="G4" s="1">
        <f t="shared" si="0"/>
        <v>1215080</v>
      </c>
      <c r="H4" s="1">
        <f t="shared" ref="H4" si="1">SUM(H5:H11)</f>
        <v>1205480</v>
      </c>
      <c r="I4" s="1">
        <f t="shared" si="0"/>
        <v>702787</v>
      </c>
      <c r="J4" s="466">
        <f>I4/H4</f>
        <v>0.58299349636659259</v>
      </c>
    </row>
    <row r="5" spans="1:10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52">
        <f>1109000+40000</f>
        <v>1149000</v>
      </c>
      <c r="H5" s="452">
        <f>1109000+40000-9600</f>
        <v>1139400</v>
      </c>
      <c r="I5" s="4">
        <v>659401</v>
      </c>
      <c r="J5" s="466">
        <f t="shared" ref="J5:J68" si="2">I5/H5</f>
        <v>0.57872652273126202</v>
      </c>
    </row>
    <row r="6" spans="1:10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34680</v>
      </c>
      <c r="H6" s="101">
        <v>34680</v>
      </c>
      <c r="I6" s="101">
        <v>22137</v>
      </c>
      <c r="J6" s="466">
        <f t="shared" si="2"/>
        <v>0.63832179930795852</v>
      </c>
    </row>
    <row r="7" spans="1:10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  <c r="H7" s="7">
        <v>1000</v>
      </c>
      <c r="I7" s="7">
        <v>819</v>
      </c>
      <c r="J7" s="466">
        <f t="shared" si="2"/>
        <v>0.81899999999999995</v>
      </c>
    </row>
    <row r="8" spans="1:10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>400+500</f>
        <v>900</v>
      </c>
      <c r="F8" s="9">
        <f>400+500</f>
        <v>900</v>
      </c>
      <c r="G8" s="9">
        <f>400+500</f>
        <v>900</v>
      </c>
      <c r="H8" s="9">
        <f>400+500</f>
        <v>900</v>
      </c>
      <c r="I8" s="8">
        <v>520</v>
      </c>
      <c r="J8" s="466">
        <f t="shared" si="2"/>
        <v>0.57777777777777772</v>
      </c>
    </row>
    <row r="9" spans="1:10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1500</v>
      </c>
      <c r="H9" s="8">
        <v>1500</v>
      </c>
      <c r="I9" s="8">
        <v>1262</v>
      </c>
      <c r="J9" s="466">
        <f t="shared" si="2"/>
        <v>0.84133333333333338</v>
      </c>
    </row>
    <row r="10" spans="1:10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>4000+1000</f>
        <v>5000</v>
      </c>
      <c r="G10" s="9">
        <f>4000+1000</f>
        <v>5000</v>
      </c>
      <c r="H10" s="9">
        <f>4000+1000</f>
        <v>5000</v>
      </c>
      <c r="I10" s="8">
        <v>4744</v>
      </c>
      <c r="J10" s="466">
        <f t="shared" si="2"/>
        <v>0.94879999999999998</v>
      </c>
    </row>
    <row r="11" spans="1:10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23000</v>
      </c>
      <c r="H11" s="337">
        <v>23000</v>
      </c>
      <c r="I11" s="337">
        <v>13904</v>
      </c>
      <c r="J11" s="466">
        <f t="shared" si="2"/>
        <v>0.60452173913043483</v>
      </c>
    </row>
    <row r="12" spans="1:10" ht="15.75" thickBot="1" x14ac:dyDescent="0.3">
      <c r="A12" s="664" t="s">
        <v>10</v>
      </c>
      <c r="B12" s="665"/>
      <c r="C12" s="1">
        <f t="shared" ref="C12:I12" si="3">SUM(C13:C33)</f>
        <v>218240</v>
      </c>
      <c r="D12" s="1">
        <f t="shared" si="3"/>
        <v>217115</v>
      </c>
      <c r="E12" s="1">
        <f t="shared" si="3"/>
        <v>217115</v>
      </c>
      <c r="F12" s="1">
        <f t="shared" si="3"/>
        <v>219115</v>
      </c>
      <c r="G12" s="1">
        <f t="shared" si="3"/>
        <v>219115</v>
      </c>
      <c r="H12" s="1">
        <f t="shared" ref="H12" si="4">SUM(H13:H33)</f>
        <v>215315</v>
      </c>
      <c r="I12" s="1">
        <f t="shared" si="3"/>
        <v>130078</v>
      </c>
      <c r="J12" s="466">
        <f t="shared" si="2"/>
        <v>0.60412883449829324</v>
      </c>
    </row>
    <row r="13" spans="1:10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>1967+140</f>
        <v>2107</v>
      </c>
      <c r="F13" s="270">
        <f>1967+140</f>
        <v>2107</v>
      </c>
      <c r="G13" s="270">
        <f>1967+140</f>
        <v>2107</v>
      </c>
      <c r="H13" s="270">
        <f>1967+140</f>
        <v>2107</v>
      </c>
      <c r="I13" s="270">
        <v>1145</v>
      </c>
      <c r="J13" s="466">
        <f t="shared" si="2"/>
        <v>0.54342667299477931</v>
      </c>
    </row>
    <row r="14" spans="1:10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7300</v>
      </c>
      <c r="H14" s="216">
        <v>7300</v>
      </c>
      <c r="I14" s="216">
        <v>3480</v>
      </c>
      <c r="J14" s="466">
        <f t="shared" si="2"/>
        <v>0.47671232876712327</v>
      </c>
    </row>
    <row r="15" spans="1:10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>3910-140</f>
        <v>3770</v>
      </c>
      <c r="F15" s="170">
        <f>3910-140</f>
        <v>3770</v>
      </c>
      <c r="G15" s="170">
        <f>3910-140</f>
        <v>3770</v>
      </c>
      <c r="H15" s="170">
        <f>3910-140</f>
        <v>3770</v>
      </c>
      <c r="I15" s="170">
        <v>2547</v>
      </c>
      <c r="J15" s="466">
        <f t="shared" si="2"/>
        <v>0.67559681697612728</v>
      </c>
    </row>
    <row r="16" spans="1:10" x14ac:dyDescent="0.25">
      <c r="A16" s="115">
        <v>212</v>
      </c>
      <c r="B16" s="116" t="s">
        <v>14</v>
      </c>
      <c r="C16" s="9">
        <v>18763</v>
      </c>
      <c r="D16" s="459">
        <f>18763+500+375</f>
        <v>19638</v>
      </c>
      <c r="E16" s="9">
        <f>18763+500+375</f>
        <v>19638</v>
      </c>
      <c r="F16" s="9">
        <f>18763+500+375</f>
        <v>19638</v>
      </c>
      <c r="G16" s="9">
        <f>18763+500+375</f>
        <v>19638</v>
      </c>
      <c r="H16" s="9">
        <f>18763+500+375</f>
        <v>19638</v>
      </c>
      <c r="I16" s="9">
        <v>8504</v>
      </c>
      <c r="J16" s="466">
        <f t="shared" si="2"/>
        <v>0.43303798757510947</v>
      </c>
    </row>
    <row r="17" spans="1:21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>400+1000</f>
        <v>1400</v>
      </c>
      <c r="G17" s="219">
        <f>400+1000</f>
        <v>1400</v>
      </c>
      <c r="H17" s="219">
        <f>400+1000</f>
        <v>1400</v>
      </c>
      <c r="I17" s="219">
        <v>1280</v>
      </c>
      <c r="J17" s="466">
        <f t="shared" si="2"/>
        <v>0.91428571428571426</v>
      </c>
      <c r="K17" s="123">
        <f>SUM(C13:C17)</f>
        <v>32340</v>
      </c>
      <c r="L17" s="123">
        <f>SUM(D13:D17)</f>
        <v>33215</v>
      </c>
      <c r="M17" s="123">
        <f>SUM(E13:E17)</f>
        <v>33215</v>
      </c>
      <c r="N17" s="123">
        <f>SUM(F13:F17)</f>
        <v>34215</v>
      </c>
      <c r="O17" s="123">
        <f>SUM(G13:G17)</f>
        <v>34215</v>
      </c>
      <c r="P17" s="123">
        <f>SUM(I13:I17)</f>
        <v>16956</v>
      </c>
      <c r="Q17" s="123"/>
      <c r="R17" s="123"/>
    </row>
    <row r="18" spans="1:21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5000</v>
      </c>
      <c r="H18" s="220">
        <v>5000</v>
      </c>
      <c r="I18" s="220">
        <v>3468</v>
      </c>
      <c r="J18" s="466">
        <f t="shared" si="2"/>
        <v>0.69359999999999999</v>
      </c>
    </row>
    <row r="19" spans="1:21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555">
        <v>400</v>
      </c>
      <c r="I19" s="219">
        <v>0</v>
      </c>
      <c r="J19" s="466">
        <v>0</v>
      </c>
    </row>
    <row r="20" spans="1:21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900</v>
      </c>
      <c r="H20" s="216">
        <v>900</v>
      </c>
      <c r="I20" s="216">
        <v>446</v>
      </c>
      <c r="J20" s="466">
        <f t="shared" si="2"/>
        <v>0.49555555555555558</v>
      </c>
    </row>
    <row r="21" spans="1:21" x14ac:dyDescent="0.25">
      <c r="A21" s="115">
        <v>223</v>
      </c>
      <c r="B21" s="116" t="s">
        <v>19</v>
      </c>
      <c r="C21" s="9">
        <v>20000</v>
      </c>
      <c r="D21" s="459">
        <f>20000-2000</f>
        <v>18000</v>
      </c>
      <c r="E21" s="9">
        <f>20000-2000</f>
        <v>18000</v>
      </c>
      <c r="F21" s="9">
        <f>20000-2000</f>
        <v>18000</v>
      </c>
      <c r="G21" s="9">
        <f>20000-2000</f>
        <v>18000</v>
      </c>
      <c r="H21" s="9">
        <f>20000-2000</f>
        <v>18000</v>
      </c>
      <c r="I21" s="9">
        <v>9156</v>
      </c>
      <c r="J21" s="466">
        <f t="shared" si="2"/>
        <v>0.50866666666666671</v>
      </c>
    </row>
    <row r="22" spans="1:21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500</v>
      </c>
      <c r="H22" s="9">
        <v>500</v>
      </c>
      <c r="I22" s="9">
        <v>0</v>
      </c>
      <c r="J22" s="466">
        <f t="shared" si="2"/>
        <v>0</v>
      </c>
    </row>
    <row r="23" spans="1:21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f>33000+1000</f>
        <v>34000</v>
      </c>
      <c r="H23" s="9">
        <f>33000+1000</f>
        <v>34000</v>
      </c>
      <c r="I23" s="9">
        <v>31610</v>
      </c>
      <c r="J23" s="466">
        <f t="shared" si="2"/>
        <v>0.92970588235294116</v>
      </c>
    </row>
    <row r="24" spans="1:21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1000</v>
      </c>
      <c r="H24" s="9">
        <v>1000</v>
      </c>
      <c r="I24" s="9">
        <v>124</v>
      </c>
      <c r="J24" s="466">
        <f t="shared" si="2"/>
        <v>0.124</v>
      </c>
    </row>
    <row r="25" spans="1:21" x14ac:dyDescent="0.25">
      <c r="A25" s="115">
        <v>223</v>
      </c>
      <c r="B25" s="116" t="s">
        <v>175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466">
        <v>0</v>
      </c>
    </row>
    <row r="26" spans="1:21" x14ac:dyDescent="0.25">
      <c r="A26" s="115">
        <v>223</v>
      </c>
      <c r="B26" s="116" t="s">
        <v>21</v>
      </c>
      <c r="C26" s="9">
        <v>700</v>
      </c>
      <c r="D26" s="9">
        <v>700</v>
      </c>
      <c r="E26" s="9">
        <v>700</v>
      </c>
      <c r="F26" s="9">
        <v>700</v>
      </c>
      <c r="G26" s="9">
        <v>700</v>
      </c>
      <c r="H26" s="9">
        <v>700</v>
      </c>
      <c r="I26" s="9">
        <v>438</v>
      </c>
      <c r="J26" s="466">
        <f t="shared" si="2"/>
        <v>0.62571428571428567</v>
      </c>
    </row>
    <row r="27" spans="1:21" x14ac:dyDescent="0.25">
      <c r="A27" s="115">
        <v>223</v>
      </c>
      <c r="B27" s="116" t="s">
        <v>22</v>
      </c>
      <c r="C27" s="9">
        <f t="shared" ref="C27:H27" si="5">31000+2000</f>
        <v>33000</v>
      </c>
      <c r="D27" s="9">
        <f t="shared" si="5"/>
        <v>33000</v>
      </c>
      <c r="E27" s="9">
        <f t="shared" si="5"/>
        <v>33000</v>
      </c>
      <c r="F27" s="9">
        <f t="shared" si="5"/>
        <v>33000</v>
      </c>
      <c r="G27" s="9">
        <f t="shared" si="5"/>
        <v>33000</v>
      </c>
      <c r="H27" s="9">
        <f t="shared" si="5"/>
        <v>33000</v>
      </c>
      <c r="I27" s="9">
        <v>16657</v>
      </c>
      <c r="J27" s="466">
        <f t="shared" si="2"/>
        <v>0.50475757575757574</v>
      </c>
    </row>
    <row r="28" spans="1:21" x14ac:dyDescent="0.25">
      <c r="A28" s="115">
        <v>223</v>
      </c>
      <c r="B28" s="116" t="s">
        <v>23</v>
      </c>
      <c r="C28" s="9">
        <v>21460</v>
      </c>
      <c r="D28" s="9">
        <v>21460</v>
      </c>
      <c r="E28" s="9">
        <v>21460</v>
      </c>
      <c r="F28" s="9">
        <v>21460</v>
      </c>
      <c r="G28" s="9">
        <v>21460</v>
      </c>
      <c r="H28" s="9">
        <v>21460</v>
      </c>
      <c r="I28" s="9">
        <v>10345</v>
      </c>
      <c r="J28" s="466">
        <f t="shared" si="2"/>
        <v>0.4820596458527493</v>
      </c>
    </row>
    <row r="29" spans="1:21" x14ac:dyDescent="0.25">
      <c r="A29" s="115">
        <v>223</v>
      </c>
      <c r="B29" s="116" t="s">
        <v>24</v>
      </c>
      <c r="C29" s="9">
        <v>18000</v>
      </c>
      <c r="D29" s="9">
        <v>18000</v>
      </c>
      <c r="E29" s="9">
        <v>18000</v>
      </c>
      <c r="F29" s="9">
        <v>18000</v>
      </c>
      <c r="G29" s="9">
        <v>18000</v>
      </c>
      <c r="H29" s="459">
        <f>18000+9600</f>
        <v>27600</v>
      </c>
      <c r="I29" s="9">
        <v>11626</v>
      </c>
      <c r="J29" s="466">
        <f t="shared" si="2"/>
        <v>0.42123188405797102</v>
      </c>
    </row>
    <row r="30" spans="1:21" x14ac:dyDescent="0.25">
      <c r="A30" s="115">
        <v>223</v>
      </c>
      <c r="B30" s="116" t="s">
        <v>222</v>
      </c>
      <c r="C30" s="9">
        <v>240</v>
      </c>
      <c r="D30" s="9">
        <v>240</v>
      </c>
      <c r="E30" s="9">
        <v>240</v>
      </c>
      <c r="F30" s="9">
        <v>240</v>
      </c>
      <c r="G30" s="9">
        <v>240</v>
      </c>
      <c r="H30" s="9">
        <v>240</v>
      </c>
      <c r="I30" s="9">
        <v>29</v>
      </c>
      <c r="J30" s="466">
        <f t="shared" si="2"/>
        <v>0.12083333333333333</v>
      </c>
    </row>
    <row r="31" spans="1:21" x14ac:dyDescent="0.25">
      <c r="A31" s="115">
        <v>223</v>
      </c>
      <c r="B31" s="116" t="s">
        <v>25</v>
      </c>
      <c r="C31" s="9">
        <v>2000</v>
      </c>
      <c r="D31" s="9">
        <v>2000</v>
      </c>
      <c r="E31" s="9">
        <v>2000</v>
      </c>
      <c r="F31" s="9">
        <v>2000</v>
      </c>
      <c r="G31" s="9">
        <v>2000</v>
      </c>
      <c r="H31" s="459">
        <f>2000+200</f>
        <v>2200</v>
      </c>
      <c r="I31" s="9">
        <v>1145</v>
      </c>
      <c r="J31" s="466">
        <f t="shared" si="2"/>
        <v>0.5204545454545455</v>
      </c>
    </row>
    <row r="32" spans="1:21" x14ac:dyDescent="0.25">
      <c r="A32" s="164">
        <v>223</v>
      </c>
      <c r="B32" s="165" t="s">
        <v>187</v>
      </c>
      <c r="C32" s="271">
        <v>50000</v>
      </c>
      <c r="D32" s="271">
        <v>50000</v>
      </c>
      <c r="E32" s="271">
        <v>50000</v>
      </c>
      <c r="F32" s="271">
        <v>50000</v>
      </c>
      <c r="G32" s="271">
        <v>50000</v>
      </c>
      <c r="H32" s="567">
        <f>50000-14000</f>
        <v>36000</v>
      </c>
      <c r="I32" s="271">
        <v>28078</v>
      </c>
      <c r="J32" s="466">
        <f t="shared" si="2"/>
        <v>0.77994444444444444</v>
      </c>
      <c r="K32" s="123">
        <f>SUM(C20:C33)</f>
        <v>180900</v>
      </c>
      <c r="L32" s="123">
        <f>SUM(D20:D33)</f>
        <v>178900</v>
      </c>
      <c r="M32" s="123">
        <f t="shared" ref="M32" si="6">SUM(I20:I33)</f>
        <v>109654</v>
      </c>
      <c r="N32" s="123"/>
      <c r="O32" s="123"/>
      <c r="P32" s="123"/>
      <c r="Q32" s="123"/>
      <c r="R32" s="123"/>
      <c r="S32" s="123"/>
      <c r="T32" s="123"/>
      <c r="U32" s="123"/>
    </row>
    <row r="33" spans="1:18" ht="15.75" thickBot="1" x14ac:dyDescent="0.3">
      <c r="A33" s="117">
        <v>223</v>
      </c>
      <c r="B33" s="118" t="s">
        <v>26</v>
      </c>
      <c r="C33" s="12">
        <v>100</v>
      </c>
      <c r="D33" s="12">
        <v>100</v>
      </c>
      <c r="E33" s="12">
        <v>100</v>
      </c>
      <c r="F33" s="12">
        <v>100</v>
      </c>
      <c r="G33" s="12">
        <v>100</v>
      </c>
      <c r="H33" s="12">
        <v>100</v>
      </c>
      <c r="I33" s="12">
        <v>0</v>
      </c>
      <c r="J33" s="466">
        <f t="shared" si="2"/>
        <v>0</v>
      </c>
      <c r="K33" s="123">
        <f>SUM(C18:C33)</f>
        <v>185900</v>
      </c>
      <c r="L33" s="123">
        <f>SUM(D18:D33)</f>
        <v>183900</v>
      </c>
      <c r="M33" s="123">
        <f t="shared" ref="M33" si="7">SUM(I18:I33)</f>
        <v>113122</v>
      </c>
      <c r="N33" s="123"/>
      <c r="O33" s="123"/>
      <c r="P33" s="123"/>
      <c r="Q33" s="123"/>
      <c r="R33" s="123"/>
    </row>
    <row r="34" spans="1:18" ht="15.75" thickBot="1" x14ac:dyDescent="0.3">
      <c r="A34" s="565" t="s">
        <v>27</v>
      </c>
      <c r="B34" s="566"/>
      <c r="C34" s="1">
        <f t="shared" ref="C34:I34" si="8">SUM(C35)</f>
        <v>400</v>
      </c>
      <c r="D34" s="1">
        <f t="shared" si="8"/>
        <v>400</v>
      </c>
      <c r="E34" s="1">
        <f t="shared" si="8"/>
        <v>400</v>
      </c>
      <c r="F34" s="1">
        <f t="shared" si="8"/>
        <v>400</v>
      </c>
      <c r="G34" s="1">
        <f t="shared" si="8"/>
        <v>400</v>
      </c>
      <c r="H34" s="1">
        <f t="shared" si="8"/>
        <v>400</v>
      </c>
      <c r="I34" s="1">
        <f t="shared" si="8"/>
        <v>256</v>
      </c>
      <c r="J34" s="466">
        <f t="shared" si="2"/>
        <v>0.64</v>
      </c>
      <c r="K34" s="123"/>
      <c r="L34" s="123"/>
      <c r="M34" s="123"/>
      <c r="N34" s="123"/>
      <c r="O34" s="123"/>
      <c r="P34" s="123"/>
      <c r="Q34" s="123"/>
      <c r="R34" s="123"/>
    </row>
    <row r="35" spans="1:18" ht="15.75" thickBot="1" x14ac:dyDescent="0.3">
      <c r="A35" s="124">
        <v>240</v>
      </c>
      <c r="B35" s="125" t="s">
        <v>28</v>
      </c>
      <c r="C35" s="10">
        <v>400</v>
      </c>
      <c r="D35" s="10">
        <v>400</v>
      </c>
      <c r="E35" s="10">
        <v>400</v>
      </c>
      <c r="F35" s="10">
        <v>400</v>
      </c>
      <c r="G35" s="10">
        <v>400</v>
      </c>
      <c r="H35" s="10">
        <v>400</v>
      </c>
      <c r="I35" s="10">
        <v>256</v>
      </c>
      <c r="J35" s="466">
        <f t="shared" si="2"/>
        <v>0.64</v>
      </c>
    </row>
    <row r="36" spans="1:18" ht="15.75" thickBot="1" x14ac:dyDescent="0.3">
      <c r="A36" s="565" t="s">
        <v>29</v>
      </c>
      <c r="B36" s="566"/>
      <c r="C36" s="1">
        <f t="shared" ref="C36:I36" si="9">SUM(C37:C43)</f>
        <v>28250</v>
      </c>
      <c r="D36" s="1">
        <f t="shared" si="9"/>
        <v>31212</v>
      </c>
      <c r="E36" s="1">
        <f t="shared" si="9"/>
        <v>31212</v>
      </c>
      <c r="F36" s="1">
        <f t="shared" si="9"/>
        <v>34212</v>
      </c>
      <c r="G36" s="1">
        <f t="shared" si="9"/>
        <v>35212</v>
      </c>
      <c r="H36" s="1">
        <f t="shared" ref="H36" si="10">SUM(H37:H43)</f>
        <v>35212</v>
      </c>
      <c r="I36" s="1">
        <f t="shared" si="9"/>
        <v>11856</v>
      </c>
      <c r="J36" s="466">
        <f t="shared" si="2"/>
        <v>0.33670339656935133</v>
      </c>
    </row>
    <row r="37" spans="1:18" x14ac:dyDescent="0.25">
      <c r="A37" s="13">
        <v>292</v>
      </c>
      <c r="B37" s="14" t="s">
        <v>30</v>
      </c>
      <c r="C37" s="15">
        <v>0</v>
      </c>
      <c r="D37" s="15">
        <v>0</v>
      </c>
      <c r="E37" s="15">
        <v>0</v>
      </c>
      <c r="F37" s="15">
        <v>0</v>
      </c>
      <c r="G37" s="482">
        <v>1000</v>
      </c>
      <c r="H37" s="15">
        <v>1000</v>
      </c>
      <c r="I37" s="15">
        <v>0</v>
      </c>
      <c r="J37" s="466">
        <f t="shared" si="2"/>
        <v>0</v>
      </c>
    </row>
    <row r="38" spans="1:18" x14ac:dyDescent="0.25">
      <c r="A38" s="13">
        <v>292</v>
      </c>
      <c r="B38" s="14" t="s">
        <v>31</v>
      </c>
      <c r="C38" s="15">
        <v>400</v>
      </c>
      <c r="D38" s="15">
        <v>400</v>
      </c>
      <c r="E38" s="15">
        <v>400</v>
      </c>
      <c r="F38" s="15">
        <v>400</v>
      </c>
      <c r="G38" s="15">
        <v>400</v>
      </c>
      <c r="H38" s="15">
        <v>400</v>
      </c>
      <c r="I38" s="15">
        <v>150</v>
      </c>
      <c r="J38" s="466">
        <f t="shared" si="2"/>
        <v>0.375</v>
      </c>
    </row>
    <row r="39" spans="1:18" x14ac:dyDescent="0.25">
      <c r="A39" s="16">
        <v>292</v>
      </c>
      <c r="B39" s="17" t="s">
        <v>176</v>
      </c>
      <c r="C39" s="168">
        <v>0</v>
      </c>
      <c r="D39" s="465">
        <v>2950</v>
      </c>
      <c r="E39" s="168">
        <v>2950</v>
      </c>
      <c r="F39" s="168">
        <v>2950</v>
      </c>
      <c r="G39" s="168">
        <v>2950</v>
      </c>
      <c r="H39" s="168">
        <v>2950</v>
      </c>
      <c r="I39" s="168">
        <v>2949</v>
      </c>
      <c r="J39" s="466">
        <f t="shared" si="2"/>
        <v>0.99966101694915255</v>
      </c>
    </row>
    <row r="40" spans="1:18" x14ac:dyDescent="0.25">
      <c r="A40" s="16">
        <v>292</v>
      </c>
      <c r="B40" s="17" t="s">
        <v>177</v>
      </c>
      <c r="C40" s="18">
        <v>10000</v>
      </c>
      <c r="D40" s="18">
        <v>10000</v>
      </c>
      <c r="E40" s="18">
        <v>10000</v>
      </c>
      <c r="F40" s="18">
        <v>10000</v>
      </c>
      <c r="G40" s="18">
        <v>10000</v>
      </c>
      <c r="H40" s="18">
        <v>10000</v>
      </c>
      <c r="I40" s="18">
        <v>255</v>
      </c>
      <c r="J40" s="466">
        <f t="shared" si="2"/>
        <v>2.5499999999999998E-2</v>
      </c>
    </row>
    <row r="41" spans="1:18" x14ac:dyDescent="0.25">
      <c r="A41" s="16">
        <v>292</v>
      </c>
      <c r="B41" s="116" t="s">
        <v>32</v>
      </c>
      <c r="C41" s="171">
        <v>240</v>
      </c>
      <c r="D41" s="460">
        <f>240+12</f>
        <v>252</v>
      </c>
      <c r="E41" s="171">
        <f>240+12</f>
        <v>252</v>
      </c>
      <c r="F41" s="171">
        <f>240+12</f>
        <v>252</v>
      </c>
      <c r="G41" s="171">
        <f>240+12</f>
        <v>252</v>
      </c>
      <c r="H41" s="171">
        <f>240+12</f>
        <v>252</v>
      </c>
      <c r="I41" s="171">
        <v>126</v>
      </c>
      <c r="J41" s="466">
        <f t="shared" si="2"/>
        <v>0.5</v>
      </c>
    </row>
    <row r="42" spans="1:18" x14ac:dyDescent="0.25">
      <c r="A42" s="16">
        <v>292</v>
      </c>
      <c r="B42" s="17" t="s">
        <v>33</v>
      </c>
      <c r="C42" s="18">
        <f>17710-240</f>
        <v>17470</v>
      </c>
      <c r="D42" s="18">
        <f>17710+12-D41</f>
        <v>17470</v>
      </c>
      <c r="E42" s="18">
        <f>17710+12-E41</f>
        <v>17470</v>
      </c>
      <c r="F42" s="477">
        <f>17710+12-F41+3000</f>
        <v>20470</v>
      </c>
      <c r="G42" s="18">
        <f>17710+12-G41+3000</f>
        <v>20470</v>
      </c>
      <c r="H42" s="18">
        <f>17710+12-H41+3000</f>
        <v>20470</v>
      </c>
      <c r="I42" s="18">
        <f>8362-I41</f>
        <v>8236</v>
      </c>
      <c r="J42" s="466">
        <f t="shared" si="2"/>
        <v>0.40234489496824621</v>
      </c>
    </row>
    <row r="43" spans="1:18" ht="15.75" thickBot="1" x14ac:dyDescent="0.3">
      <c r="A43" s="16">
        <v>292</v>
      </c>
      <c r="B43" s="17" t="s">
        <v>235</v>
      </c>
      <c r="C43" s="18">
        <v>140</v>
      </c>
      <c r="D43" s="18">
        <v>140</v>
      </c>
      <c r="E43" s="18">
        <v>140</v>
      </c>
      <c r="F43" s="18">
        <v>140</v>
      </c>
      <c r="G43" s="18">
        <v>140</v>
      </c>
      <c r="H43" s="18">
        <v>140</v>
      </c>
      <c r="I43" s="18">
        <v>140</v>
      </c>
      <c r="J43" s="466">
        <f t="shared" si="2"/>
        <v>1</v>
      </c>
    </row>
    <row r="44" spans="1:18" ht="15.75" thickBot="1" x14ac:dyDescent="0.3">
      <c r="A44" s="19" t="s">
        <v>34</v>
      </c>
      <c r="B44" s="20"/>
      <c r="C44" s="1">
        <f t="shared" ref="C44:I44" si="11">SUM(C45:C70)</f>
        <v>694110</v>
      </c>
      <c r="D44" s="1">
        <f t="shared" si="11"/>
        <v>713823</v>
      </c>
      <c r="E44" s="1">
        <f t="shared" si="11"/>
        <v>720268</v>
      </c>
      <c r="F44" s="1">
        <f t="shared" si="11"/>
        <v>743313</v>
      </c>
      <c r="G44" s="1">
        <f t="shared" si="11"/>
        <v>744024</v>
      </c>
      <c r="H44" s="1">
        <f t="shared" ref="H44" si="12">SUM(H45:H70)</f>
        <v>765587</v>
      </c>
      <c r="I44" s="1">
        <f t="shared" si="11"/>
        <v>403843</v>
      </c>
      <c r="J44" s="466">
        <f t="shared" si="2"/>
        <v>0.52749458911919878</v>
      </c>
    </row>
    <row r="45" spans="1:18" x14ac:dyDescent="0.25">
      <c r="A45" s="21">
        <v>311</v>
      </c>
      <c r="B45" s="22" t="s">
        <v>178</v>
      </c>
      <c r="C45" s="23">
        <v>0</v>
      </c>
      <c r="D45" s="23">
        <v>0</v>
      </c>
      <c r="E45" s="23">
        <v>0</v>
      </c>
      <c r="F45" s="461">
        <v>3000</v>
      </c>
      <c r="G45" s="23">
        <v>3000</v>
      </c>
      <c r="H45" s="23">
        <v>3000</v>
      </c>
      <c r="I45" s="23">
        <v>3000</v>
      </c>
      <c r="J45" s="466">
        <f t="shared" si="2"/>
        <v>1</v>
      </c>
    </row>
    <row r="46" spans="1:18" x14ac:dyDescent="0.25">
      <c r="A46" s="21">
        <v>311</v>
      </c>
      <c r="B46" s="22" t="s">
        <v>212</v>
      </c>
      <c r="C46" s="23">
        <v>0</v>
      </c>
      <c r="D46" s="461">
        <v>460</v>
      </c>
      <c r="E46" s="23">
        <v>460</v>
      </c>
      <c r="F46" s="23">
        <v>460</v>
      </c>
      <c r="G46" s="23">
        <v>460</v>
      </c>
      <c r="H46" s="23">
        <v>460</v>
      </c>
      <c r="I46" s="23">
        <v>0</v>
      </c>
      <c r="J46" s="466">
        <f t="shared" si="2"/>
        <v>0</v>
      </c>
    </row>
    <row r="47" spans="1:18" x14ac:dyDescent="0.25">
      <c r="A47" s="27">
        <v>312</v>
      </c>
      <c r="B47" s="22" t="s">
        <v>443</v>
      </c>
      <c r="C47" s="28">
        <v>0</v>
      </c>
      <c r="D47" s="28">
        <v>0</v>
      </c>
      <c r="E47" s="462">
        <v>6000</v>
      </c>
      <c r="F47" s="28">
        <v>6000</v>
      </c>
      <c r="G47" s="28">
        <v>6000</v>
      </c>
      <c r="H47" s="28">
        <v>6000</v>
      </c>
      <c r="I47" s="28">
        <v>6000</v>
      </c>
      <c r="J47" s="466">
        <f t="shared" si="2"/>
        <v>1</v>
      </c>
    </row>
    <row r="48" spans="1:18" x14ac:dyDescent="0.25">
      <c r="A48" s="21">
        <v>312</v>
      </c>
      <c r="B48" s="22" t="s">
        <v>236</v>
      </c>
      <c r="C48" s="23">
        <v>8220</v>
      </c>
      <c r="D48" s="23">
        <v>8220</v>
      </c>
      <c r="E48" s="23">
        <v>8220</v>
      </c>
      <c r="F48" s="23">
        <v>8220</v>
      </c>
      <c r="G48" s="23">
        <v>8220</v>
      </c>
      <c r="H48" s="23">
        <v>8220</v>
      </c>
      <c r="I48" s="23">
        <v>4094</v>
      </c>
      <c r="J48" s="466">
        <f t="shared" si="2"/>
        <v>0.49805352798053526</v>
      </c>
    </row>
    <row r="49" spans="1:10" x14ac:dyDescent="0.25">
      <c r="A49" s="21">
        <v>312</v>
      </c>
      <c r="B49" s="22" t="s">
        <v>35</v>
      </c>
      <c r="C49" s="23">
        <v>4000</v>
      </c>
      <c r="D49" s="461">
        <f>4000+2100</f>
        <v>6100</v>
      </c>
      <c r="E49" s="461">
        <f>4000+2100+145</f>
        <v>6245</v>
      </c>
      <c r="F49" s="461">
        <f>4000+2100+145+5</f>
        <v>6250</v>
      </c>
      <c r="G49" s="23">
        <f>4000+2100+145+5</f>
        <v>6250</v>
      </c>
      <c r="H49" s="23">
        <f>4000+2100+145+5</f>
        <v>6250</v>
      </c>
      <c r="I49" s="23">
        <v>6211</v>
      </c>
      <c r="J49" s="466">
        <f t="shared" si="2"/>
        <v>0.99375999999999998</v>
      </c>
    </row>
    <row r="50" spans="1:10" x14ac:dyDescent="0.25">
      <c r="A50" s="24">
        <v>312</v>
      </c>
      <c r="B50" s="116" t="s">
        <v>36</v>
      </c>
      <c r="C50" s="7">
        <v>7200</v>
      </c>
      <c r="D50" s="7">
        <v>7200</v>
      </c>
      <c r="E50" s="7">
        <v>7200</v>
      </c>
      <c r="F50" s="216">
        <v>7200</v>
      </c>
      <c r="G50" s="216">
        <v>7200</v>
      </c>
      <c r="H50" s="463">
        <f>7200+20000</f>
        <v>27200</v>
      </c>
      <c r="I50" s="7">
        <v>5840</v>
      </c>
      <c r="J50" s="466">
        <f t="shared" si="2"/>
        <v>0.21470588235294116</v>
      </c>
    </row>
    <row r="51" spans="1:10" x14ac:dyDescent="0.25">
      <c r="A51" s="24">
        <v>312</v>
      </c>
      <c r="B51" s="116" t="s">
        <v>37</v>
      </c>
      <c r="C51" s="7">
        <v>1000</v>
      </c>
      <c r="D51" s="7">
        <v>1000</v>
      </c>
      <c r="E51" s="7">
        <v>1000</v>
      </c>
      <c r="F51" s="216">
        <v>1000</v>
      </c>
      <c r="G51" s="216">
        <v>1000</v>
      </c>
      <c r="H51" s="216">
        <v>1000</v>
      </c>
      <c r="I51" s="7">
        <f>8+219</f>
        <v>227</v>
      </c>
      <c r="J51" s="466">
        <f t="shared" si="2"/>
        <v>0.22700000000000001</v>
      </c>
    </row>
    <row r="52" spans="1:10" x14ac:dyDescent="0.25">
      <c r="A52" s="24">
        <v>312</v>
      </c>
      <c r="B52" s="116" t="s">
        <v>549</v>
      </c>
      <c r="C52" s="7">
        <v>0</v>
      </c>
      <c r="D52" s="7">
        <v>0</v>
      </c>
      <c r="E52" s="7">
        <v>0</v>
      </c>
      <c r="F52" s="216">
        <v>0</v>
      </c>
      <c r="G52" s="216">
        <v>0</v>
      </c>
      <c r="H52" s="463">
        <v>1457</v>
      </c>
      <c r="I52" s="7">
        <v>0</v>
      </c>
      <c r="J52" s="466">
        <f t="shared" si="2"/>
        <v>0</v>
      </c>
    </row>
    <row r="53" spans="1:10" x14ac:dyDescent="0.25">
      <c r="A53" s="21">
        <v>312</v>
      </c>
      <c r="B53" s="22" t="s">
        <v>402</v>
      </c>
      <c r="C53" s="23">
        <v>0</v>
      </c>
      <c r="D53" s="23">
        <v>0</v>
      </c>
      <c r="E53" s="461">
        <v>300</v>
      </c>
      <c r="F53" s="23">
        <v>300</v>
      </c>
      <c r="G53" s="23">
        <v>300</v>
      </c>
      <c r="H53" s="23">
        <v>300</v>
      </c>
      <c r="I53" s="23">
        <v>300</v>
      </c>
      <c r="J53" s="466">
        <f t="shared" si="2"/>
        <v>1</v>
      </c>
    </row>
    <row r="54" spans="1:10" x14ac:dyDescent="0.25">
      <c r="A54" s="24">
        <v>312</v>
      </c>
      <c r="B54" s="25" t="s">
        <v>166</v>
      </c>
      <c r="C54" s="26">
        <v>14440</v>
      </c>
      <c r="D54" s="26">
        <v>14440</v>
      </c>
      <c r="E54" s="26">
        <v>14440</v>
      </c>
      <c r="F54" s="262">
        <v>14440</v>
      </c>
      <c r="G54" s="262">
        <v>14440</v>
      </c>
      <c r="H54" s="262">
        <v>14440</v>
      </c>
      <c r="I54" s="26">
        <v>1809</v>
      </c>
      <c r="J54" s="466">
        <f t="shared" si="2"/>
        <v>0.12527700831024929</v>
      </c>
    </row>
    <row r="55" spans="1:10" x14ac:dyDescent="0.25">
      <c r="A55" s="24">
        <v>312</v>
      </c>
      <c r="B55" s="25" t="s">
        <v>238</v>
      </c>
      <c r="C55" s="26">
        <v>3800</v>
      </c>
      <c r="D55" s="26">
        <v>3800</v>
      </c>
      <c r="E55" s="26">
        <v>3800</v>
      </c>
      <c r="F55" s="262">
        <v>3800</v>
      </c>
      <c r="G55" s="262">
        <v>3800</v>
      </c>
      <c r="H55" s="262">
        <v>3800</v>
      </c>
      <c r="I55" s="26">
        <v>0</v>
      </c>
      <c r="J55" s="466">
        <f t="shared" si="2"/>
        <v>0</v>
      </c>
    </row>
    <row r="56" spans="1:10" x14ac:dyDescent="0.25">
      <c r="A56" s="24">
        <v>312</v>
      </c>
      <c r="B56" s="25" t="s">
        <v>237</v>
      </c>
      <c r="C56" s="26">
        <v>950</v>
      </c>
      <c r="D56" s="26">
        <v>950</v>
      </c>
      <c r="E56" s="26">
        <v>950</v>
      </c>
      <c r="F56" s="262">
        <v>950</v>
      </c>
      <c r="G56" s="262">
        <v>950</v>
      </c>
      <c r="H56" s="262">
        <v>950</v>
      </c>
      <c r="I56" s="26">
        <v>0</v>
      </c>
      <c r="J56" s="466">
        <f t="shared" si="2"/>
        <v>0</v>
      </c>
    </row>
    <row r="57" spans="1:10" x14ac:dyDescent="0.25">
      <c r="A57" s="21">
        <v>312</v>
      </c>
      <c r="B57" s="22" t="s">
        <v>349</v>
      </c>
      <c r="C57" s="23">
        <v>0</v>
      </c>
      <c r="D57" s="461">
        <v>30</v>
      </c>
      <c r="E57" s="23">
        <v>30</v>
      </c>
      <c r="F57" s="23">
        <v>30</v>
      </c>
      <c r="G57" s="23">
        <v>30</v>
      </c>
      <c r="H57" s="23">
        <v>30</v>
      </c>
      <c r="I57" s="23">
        <v>30</v>
      </c>
      <c r="J57" s="466">
        <f t="shared" si="2"/>
        <v>1</v>
      </c>
    </row>
    <row r="58" spans="1:10" x14ac:dyDescent="0.25">
      <c r="A58" s="24">
        <v>312</v>
      </c>
      <c r="B58" s="25" t="s">
        <v>38</v>
      </c>
      <c r="C58" s="7">
        <v>18300</v>
      </c>
      <c r="D58" s="7">
        <v>18300</v>
      </c>
      <c r="E58" s="7">
        <v>18300</v>
      </c>
      <c r="F58" s="216">
        <v>18300</v>
      </c>
      <c r="G58" s="216">
        <v>18300</v>
      </c>
      <c r="H58" s="216">
        <v>18300</v>
      </c>
      <c r="I58" s="7">
        <v>14132</v>
      </c>
      <c r="J58" s="466">
        <f t="shared" si="2"/>
        <v>0.77224043715846991</v>
      </c>
    </row>
    <row r="59" spans="1:10" x14ac:dyDescent="0.25">
      <c r="A59" s="24">
        <v>312</v>
      </c>
      <c r="B59" s="25" t="s">
        <v>39</v>
      </c>
      <c r="C59" s="7">
        <v>8700</v>
      </c>
      <c r="D59" s="7">
        <v>8700</v>
      </c>
      <c r="E59" s="7">
        <v>8700</v>
      </c>
      <c r="F59" s="7">
        <v>8700</v>
      </c>
      <c r="G59" s="7">
        <v>8700</v>
      </c>
      <c r="H59" s="7">
        <v>8700</v>
      </c>
      <c r="I59" s="7">
        <v>4350</v>
      </c>
      <c r="J59" s="466">
        <f t="shared" si="2"/>
        <v>0.5</v>
      </c>
    </row>
    <row r="60" spans="1:10" x14ac:dyDescent="0.25">
      <c r="A60" s="24">
        <v>312</v>
      </c>
      <c r="B60" s="25" t="s">
        <v>40</v>
      </c>
      <c r="C60" s="7">
        <v>7900</v>
      </c>
      <c r="D60" s="7">
        <v>7900</v>
      </c>
      <c r="E60" s="7">
        <v>7900</v>
      </c>
      <c r="F60" s="463">
        <f>7900+200</f>
        <v>8100</v>
      </c>
      <c r="G60" s="216">
        <f>7900+200</f>
        <v>8100</v>
      </c>
      <c r="H60" s="216">
        <f>7900+200</f>
        <v>8100</v>
      </c>
      <c r="I60" s="7">
        <v>4020</v>
      </c>
      <c r="J60" s="466">
        <f t="shared" si="2"/>
        <v>0.49629629629629629</v>
      </c>
    </row>
    <row r="61" spans="1:10" x14ac:dyDescent="0.25">
      <c r="A61" s="24">
        <v>312</v>
      </c>
      <c r="B61" s="25" t="s">
        <v>499</v>
      </c>
      <c r="C61" s="7">
        <v>0</v>
      </c>
      <c r="D61" s="7">
        <v>0</v>
      </c>
      <c r="E61" s="7">
        <v>0</v>
      </c>
      <c r="F61" s="463">
        <f>2000+1500</f>
        <v>3500</v>
      </c>
      <c r="G61" s="216">
        <f>2000+1500</f>
        <v>3500</v>
      </c>
      <c r="H61" s="216">
        <f>2000+1500</f>
        <v>3500</v>
      </c>
      <c r="I61" s="7">
        <v>3500</v>
      </c>
      <c r="J61" s="466">
        <f t="shared" si="2"/>
        <v>1</v>
      </c>
    </row>
    <row r="62" spans="1:10" x14ac:dyDescent="0.25">
      <c r="A62" s="24">
        <v>312</v>
      </c>
      <c r="B62" s="25" t="s">
        <v>213</v>
      </c>
      <c r="C62" s="7">
        <v>0</v>
      </c>
      <c r="D62" s="7">
        <v>0</v>
      </c>
      <c r="E62" s="7">
        <v>0</v>
      </c>
      <c r="F62" s="7">
        <v>0</v>
      </c>
      <c r="G62" s="216">
        <v>0</v>
      </c>
      <c r="H62" s="216">
        <v>0</v>
      </c>
      <c r="I62" s="7">
        <v>0</v>
      </c>
      <c r="J62" s="466">
        <v>0</v>
      </c>
    </row>
    <row r="63" spans="1:10" x14ac:dyDescent="0.25">
      <c r="A63" s="24">
        <v>312</v>
      </c>
      <c r="B63" s="25" t="s">
        <v>41</v>
      </c>
      <c r="C63" s="7">
        <v>3000</v>
      </c>
      <c r="D63" s="7">
        <v>3000</v>
      </c>
      <c r="E63" s="7">
        <v>3000</v>
      </c>
      <c r="F63" s="7">
        <v>3000</v>
      </c>
      <c r="G63" s="216">
        <v>3000</v>
      </c>
      <c r="H63" s="216">
        <v>3000</v>
      </c>
      <c r="I63" s="7">
        <v>3000</v>
      </c>
      <c r="J63" s="466">
        <f t="shared" si="2"/>
        <v>1</v>
      </c>
    </row>
    <row r="64" spans="1:10" x14ac:dyDescent="0.25">
      <c r="A64" s="27">
        <v>312</v>
      </c>
      <c r="B64" s="22" t="s">
        <v>180</v>
      </c>
      <c r="C64" s="28">
        <v>0</v>
      </c>
      <c r="D64" s="462">
        <f>2000+2000</f>
        <v>4000</v>
      </c>
      <c r="E64" s="28">
        <f>2000+2000</f>
        <v>4000</v>
      </c>
      <c r="F64" s="462">
        <f>2000+2000+1900+2000+2200+2000+8000</f>
        <v>20100</v>
      </c>
      <c r="G64" s="28">
        <f>2000+2000+1900+2000+2200+2000+8000</f>
        <v>20100</v>
      </c>
      <c r="H64" s="28">
        <f>2000+2000+1900+2000+2200+2000+8000</f>
        <v>20100</v>
      </c>
      <c r="I64" s="28">
        <v>6000</v>
      </c>
      <c r="J64" s="466">
        <f t="shared" si="2"/>
        <v>0.29850746268656714</v>
      </c>
    </row>
    <row r="65" spans="1:15" x14ac:dyDescent="0.25">
      <c r="A65" s="29">
        <v>312</v>
      </c>
      <c r="B65" s="116" t="s">
        <v>42</v>
      </c>
      <c r="C65" s="170">
        <v>4430</v>
      </c>
      <c r="D65" s="464">
        <f>4430-130</f>
        <v>4300</v>
      </c>
      <c r="E65" s="170">
        <f>4430-130</f>
        <v>4300</v>
      </c>
      <c r="F65" s="464">
        <f>4430-130+440</f>
        <v>4740</v>
      </c>
      <c r="G65" s="170">
        <f>4430-130+440</f>
        <v>4740</v>
      </c>
      <c r="H65" s="170">
        <f>4430-130+440</f>
        <v>4740</v>
      </c>
      <c r="I65" s="170">
        <v>4569</v>
      </c>
      <c r="J65" s="466">
        <f t="shared" si="2"/>
        <v>0.96392405063291142</v>
      </c>
    </row>
    <row r="66" spans="1:15" x14ac:dyDescent="0.25">
      <c r="A66" s="29">
        <v>312</v>
      </c>
      <c r="B66" s="126" t="s">
        <v>43</v>
      </c>
      <c r="C66" s="9">
        <v>3700</v>
      </c>
      <c r="D66" s="459">
        <f>3700-200</f>
        <v>3500</v>
      </c>
      <c r="E66" s="9">
        <f>3700-200</f>
        <v>3500</v>
      </c>
      <c r="F66" s="459">
        <f>3700-200-200</f>
        <v>3300</v>
      </c>
      <c r="G66" s="9">
        <f>3700-200-200</f>
        <v>3300</v>
      </c>
      <c r="H66" s="9">
        <f>3700-200-200</f>
        <v>3300</v>
      </c>
      <c r="I66" s="9">
        <v>3259</v>
      </c>
      <c r="J66" s="466">
        <f t="shared" si="2"/>
        <v>0.98757575757575755</v>
      </c>
    </row>
    <row r="67" spans="1:15" x14ac:dyDescent="0.25">
      <c r="A67" s="29">
        <v>312</v>
      </c>
      <c r="B67" s="30" t="s">
        <v>44</v>
      </c>
      <c r="C67" s="170">
        <v>3000</v>
      </c>
      <c r="D67" s="464">
        <f>3000-470</f>
        <v>2530</v>
      </c>
      <c r="E67" s="170">
        <f>3000-470</f>
        <v>2530</v>
      </c>
      <c r="F67" s="170">
        <f>3000-470</f>
        <v>2530</v>
      </c>
      <c r="G67" s="170">
        <f>3000-470</f>
        <v>2530</v>
      </c>
      <c r="H67" s="170">
        <f>3000-470</f>
        <v>2530</v>
      </c>
      <c r="I67" s="170">
        <v>1685</v>
      </c>
      <c r="J67" s="466">
        <f t="shared" si="2"/>
        <v>0.66600790513833996</v>
      </c>
    </row>
    <row r="68" spans="1:15" ht="15.75" customHeight="1" x14ac:dyDescent="0.25">
      <c r="A68" s="24">
        <v>312</v>
      </c>
      <c r="B68" s="25" t="s">
        <v>181</v>
      </c>
      <c r="C68" s="216">
        <v>102200</v>
      </c>
      <c r="D68" s="216">
        <v>102200</v>
      </c>
      <c r="E68" s="216">
        <v>102200</v>
      </c>
      <c r="F68" s="216">
        <v>102200</v>
      </c>
      <c r="G68" s="216">
        <v>102200</v>
      </c>
      <c r="H68" s="216">
        <v>102200</v>
      </c>
      <c r="I68" s="216">
        <v>22490</v>
      </c>
      <c r="J68" s="466">
        <f t="shared" si="2"/>
        <v>0.22005870841487279</v>
      </c>
    </row>
    <row r="69" spans="1:15" x14ac:dyDescent="0.25">
      <c r="A69" s="24">
        <v>312</v>
      </c>
      <c r="B69" s="25" t="s">
        <v>239</v>
      </c>
      <c r="C69" s="216">
        <v>31000</v>
      </c>
      <c r="D69" s="463">
        <f>31000+104</f>
        <v>31104</v>
      </c>
      <c r="E69" s="216">
        <f>31000+104</f>
        <v>31104</v>
      </c>
      <c r="F69" s="216">
        <f>31000+104</f>
        <v>31104</v>
      </c>
      <c r="G69" s="216">
        <f>31000+104</f>
        <v>31104</v>
      </c>
      <c r="H69" s="216">
        <f>31000+104</f>
        <v>31104</v>
      </c>
      <c r="I69" s="216">
        <v>23328</v>
      </c>
      <c r="J69" s="466">
        <f t="shared" ref="J69:J78" si="13">I69/H69</f>
        <v>0.75</v>
      </c>
    </row>
    <row r="70" spans="1:15" ht="16.5" thickBot="1" x14ac:dyDescent="0.3">
      <c r="A70" s="241">
        <v>312</v>
      </c>
      <c r="B70" s="242" t="s">
        <v>270</v>
      </c>
      <c r="C70" s="218">
        <f>440000+32270</f>
        <v>472270</v>
      </c>
      <c r="D70" s="218">
        <f>440000+32270+13819</f>
        <v>486089</v>
      </c>
      <c r="E70" s="218">
        <f>440000+32270+13819</f>
        <v>486089</v>
      </c>
      <c r="F70" s="218">
        <f>440000+32270+13819</f>
        <v>486089</v>
      </c>
      <c r="G70" s="218">
        <f>440000+32270+13819+711</f>
        <v>486800</v>
      </c>
      <c r="H70" s="571">
        <f>440000+32270+13819+711+106</f>
        <v>486906</v>
      </c>
      <c r="I70" s="218">
        <v>285999</v>
      </c>
      <c r="J70" s="466">
        <f t="shared" si="13"/>
        <v>0.58738031570775473</v>
      </c>
      <c r="K70" s="123"/>
    </row>
    <row r="71" spans="1:15" ht="16.5" thickBot="1" x14ac:dyDescent="0.3">
      <c r="A71" s="31" t="s">
        <v>45</v>
      </c>
      <c r="B71" s="127"/>
      <c r="C71" s="32">
        <f t="shared" ref="C71:I71" si="14">SUM(C4+C12+C34+C36+C44)</f>
        <v>2092580</v>
      </c>
      <c r="D71" s="32">
        <f t="shared" si="14"/>
        <v>2136130</v>
      </c>
      <c r="E71" s="32">
        <f t="shared" si="14"/>
        <v>2143075</v>
      </c>
      <c r="F71" s="32">
        <f t="shared" si="14"/>
        <v>2172120</v>
      </c>
      <c r="G71" s="32">
        <f t="shared" si="14"/>
        <v>2213831</v>
      </c>
      <c r="H71" s="32">
        <f t="shared" ref="H71" si="15">SUM(H4+H12+H34+H36+H44)</f>
        <v>2221994</v>
      </c>
      <c r="I71" s="32">
        <f t="shared" si="14"/>
        <v>1248820</v>
      </c>
      <c r="J71" s="466">
        <f t="shared" si="13"/>
        <v>0.56202672014415878</v>
      </c>
      <c r="K71" s="123">
        <f>D71-C71</f>
        <v>43550</v>
      </c>
      <c r="L71" s="123">
        <f>E71-D71</f>
        <v>6945</v>
      </c>
      <c r="M71" s="123">
        <f>F71-E71</f>
        <v>29045</v>
      </c>
      <c r="N71" s="123">
        <f>G71-F71</f>
        <v>41711</v>
      </c>
      <c r="O71" s="123">
        <f>H71-G71</f>
        <v>8163</v>
      </c>
    </row>
    <row r="72" spans="1:15" x14ac:dyDescent="0.25">
      <c r="A72" s="243" t="s">
        <v>46</v>
      </c>
      <c r="B72" s="244" t="s">
        <v>269</v>
      </c>
      <c r="C72" s="217">
        <v>3000</v>
      </c>
      <c r="D72" s="217">
        <v>3000</v>
      </c>
      <c r="E72" s="217">
        <v>3000</v>
      </c>
      <c r="F72" s="217">
        <v>3000</v>
      </c>
      <c r="G72" s="217">
        <v>3000</v>
      </c>
      <c r="H72" s="492">
        <f>3000+4330</f>
        <v>7330</v>
      </c>
      <c r="I72" s="217">
        <f>1275+121+171+12+275</f>
        <v>1854</v>
      </c>
      <c r="J72" s="466">
        <f t="shared" si="13"/>
        <v>0.25293315143246931</v>
      </c>
      <c r="K72" s="123">
        <f>I72+I73+I76</f>
        <v>7597</v>
      </c>
      <c r="L72" s="123"/>
      <c r="M72" s="123"/>
    </row>
    <row r="73" spans="1:15" ht="15.75" customHeight="1" x14ac:dyDescent="0.25">
      <c r="A73" s="359" t="s">
        <v>46</v>
      </c>
      <c r="B73" s="244" t="s">
        <v>263</v>
      </c>
      <c r="C73" s="360">
        <v>1320</v>
      </c>
      <c r="D73" s="360">
        <v>1320</v>
      </c>
      <c r="E73" s="360">
        <v>1320</v>
      </c>
      <c r="F73" s="360">
        <v>1320</v>
      </c>
      <c r="G73" s="360">
        <v>1320</v>
      </c>
      <c r="H73" s="360">
        <v>1320</v>
      </c>
      <c r="I73" s="360">
        <f>369+357</f>
        <v>726</v>
      </c>
      <c r="J73" s="466">
        <f t="shared" si="13"/>
        <v>0.55000000000000004</v>
      </c>
      <c r="K73" s="123"/>
      <c r="L73" s="123"/>
      <c r="M73" s="123"/>
    </row>
    <row r="74" spans="1:15" ht="15.75" customHeight="1" thickBot="1" x14ac:dyDescent="0.3">
      <c r="A74" s="245" t="s">
        <v>46</v>
      </c>
      <c r="B74" s="246" t="s">
        <v>229</v>
      </c>
      <c r="C74" s="234">
        <v>54240</v>
      </c>
      <c r="D74" s="234">
        <v>54240</v>
      </c>
      <c r="E74" s="234">
        <v>54240</v>
      </c>
      <c r="F74" s="234">
        <v>54240</v>
      </c>
      <c r="G74" s="234">
        <v>54240</v>
      </c>
      <c r="H74" s="234">
        <v>54240</v>
      </c>
      <c r="I74" s="234">
        <f>5459</f>
        <v>5459</v>
      </c>
      <c r="J74" s="466">
        <f t="shared" si="13"/>
        <v>0.1006452802359882</v>
      </c>
      <c r="K74" s="123"/>
      <c r="L74" s="123"/>
      <c r="M74" s="123"/>
    </row>
    <row r="75" spans="1:15" ht="15.75" thickBot="1" x14ac:dyDescent="0.3">
      <c r="A75" s="668" t="s">
        <v>277</v>
      </c>
      <c r="B75" s="669"/>
      <c r="C75" s="369">
        <f t="shared" ref="C75:F75" si="16">SUM(C72:C74)</f>
        <v>58560</v>
      </c>
      <c r="D75" s="369">
        <f t="shared" si="16"/>
        <v>58560</v>
      </c>
      <c r="E75" s="369">
        <f t="shared" si="16"/>
        <v>58560</v>
      </c>
      <c r="F75" s="369">
        <f t="shared" si="16"/>
        <v>58560</v>
      </c>
      <c r="G75" s="369">
        <f t="shared" ref="G75:I75" si="17">SUM(G72:G74)</f>
        <v>58560</v>
      </c>
      <c r="H75" s="369">
        <f t="shared" ref="H75" si="18">SUM(H72:H74)</f>
        <v>62890</v>
      </c>
      <c r="I75" s="369">
        <f t="shared" si="17"/>
        <v>8039</v>
      </c>
      <c r="J75" s="466">
        <f t="shared" si="13"/>
        <v>0.12782636349181109</v>
      </c>
      <c r="K75" s="123">
        <f t="shared" ref="K75:O78" si="19">D75-C75</f>
        <v>0</v>
      </c>
      <c r="L75" s="123">
        <f t="shared" si="19"/>
        <v>0</v>
      </c>
      <c r="M75" s="123">
        <f t="shared" si="19"/>
        <v>0</v>
      </c>
      <c r="N75" s="123">
        <f t="shared" si="19"/>
        <v>0</v>
      </c>
      <c r="O75" s="123">
        <f t="shared" si="19"/>
        <v>4330</v>
      </c>
    </row>
    <row r="76" spans="1:15" ht="14.25" customHeight="1" thickBot="1" x14ac:dyDescent="0.3">
      <c r="A76" s="267" t="s">
        <v>46</v>
      </c>
      <c r="B76" s="268" t="s">
        <v>278</v>
      </c>
      <c r="C76" s="269">
        <v>9770</v>
      </c>
      <c r="D76" s="269">
        <v>9770</v>
      </c>
      <c r="E76" s="269">
        <v>9770</v>
      </c>
      <c r="F76" s="269">
        <v>9770</v>
      </c>
      <c r="G76" s="269">
        <v>9770</v>
      </c>
      <c r="H76" s="568">
        <f>9770+1260</f>
        <v>11030</v>
      </c>
      <c r="I76" s="269">
        <v>5017</v>
      </c>
      <c r="J76" s="466">
        <f t="shared" si="13"/>
        <v>0.45485040797824117</v>
      </c>
      <c r="K76" s="123">
        <f t="shared" si="19"/>
        <v>0</v>
      </c>
      <c r="L76" s="123">
        <f t="shared" si="19"/>
        <v>0</v>
      </c>
      <c r="M76" s="123">
        <f t="shared" si="19"/>
        <v>0</v>
      </c>
      <c r="N76" s="123">
        <f t="shared" si="19"/>
        <v>0</v>
      </c>
      <c r="O76" s="123">
        <f t="shared" si="19"/>
        <v>1260</v>
      </c>
    </row>
    <row r="77" spans="1:15" ht="17.25" customHeight="1" thickBot="1" x14ac:dyDescent="0.3">
      <c r="A77" s="670" t="s">
        <v>182</v>
      </c>
      <c r="B77" s="671"/>
      <c r="C77" s="235">
        <f t="shared" ref="C77:I77" si="20">C75+C76</f>
        <v>68330</v>
      </c>
      <c r="D77" s="235">
        <f t="shared" si="20"/>
        <v>68330</v>
      </c>
      <c r="E77" s="235">
        <f t="shared" si="20"/>
        <v>68330</v>
      </c>
      <c r="F77" s="235">
        <f t="shared" si="20"/>
        <v>68330</v>
      </c>
      <c r="G77" s="235">
        <f t="shared" si="20"/>
        <v>68330</v>
      </c>
      <c r="H77" s="235">
        <f t="shared" ref="H77" si="21">H75+H76</f>
        <v>73920</v>
      </c>
      <c r="I77" s="235">
        <f t="shared" si="20"/>
        <v>13056</v>
      </c>
      <c r="J77" s="466">
        <f t="shared" si="13"/>
        <v>0.17662337662337663</v>
      </c>
      <c r="K77" s="123">
        <f t="shared" si="19"/>
        <v>0</v>
      </c>
      <c r="L77" s="123">
        <f t="shared" si="19"/>
        <v>0</v>
      </c>
      <c r="M77" s="123">
        <f t="shared" si="19"/>
        <v>0</v>
      </c>
      <c r="N77" s="123">
        <f t="shared" si="19"/>
        <v>0</v>
      </c>
      <c r="O77" s="123">
        <f t="shared" si="19"/>
        <v>5590</v>
      </c>
    </row>
    <row r="78" spans="1:15" ht="27" customHeight="1" thickBot="1" x14ac:dyDescent="0.3">
      <c r="A78" s="31" t="s">
        <v>47</v>
      </c>
      <c r="B78" s="20"/>
      <c r="C78" s="32">
        <f t="shared" ref="C78:I78" si="22">C71+C77</f>
        <v>2160910</v>
      </c>
      <c r="D78" s="32">
        <f t="shared" si="22"/>
        <v>2204460</v>
      </c>
      <c r="E78" s="32">
        <f t="shared" si="22"/>
        <v>2211405</v>
      </c>
      <c r="F78" s="32">
        <f t="shared" si="22"/>
        <v>2240450</v>
      </c>
      <c r="G78" s="32">
        <f t="shared" si="22"/>
        <v>2282161</v>
      </c>
      <c r="H78" s="32">
        <f t="shared" ref="H78" si="23">H71+H77</f>
        <v>2295914</v>
      </c>
      <c r="I78" s="32">
        <f t="shared" si="22"/>
        <v>1261876</v>
      </c>
      <c r="J78" s="466">
        <f t="shared" si="13"/>
        <v>0.5496181477180766</v>
      </c>
      <c r="K78" s="123">
        <f t="shared" si="19"/>
        <v>43550</v>
      </c>
      <c r="L78" s="123">
        <f t="shared" si="19"/>
        <v>6945</v>
      </c>
      <c r="M78" s="123">
        <f t="shared" si="19"/>
        <v>29045</v>
      </c>
      <c r="N78" s="123">
        <f t="shared" si="19"/>
        <v>41711</v>
      </c>
      <c r="O78" s="123">
        <f t="shared" si="19"/>
        <v>13753</v>
      </c>
    </row>
    <row r="79" spans="1:15" ht="45.75" customHeight="1" x14ac:dyDescent="0.25">
      <c r="C79" s="214"/>
      <c r="D79" s="214"/>
      <c r="E79" s="214"/>
      <c r="F79" s="214"/>
      <c r="G79" s="214"/>
      <c r="H79" s="214"/>
      <c r="I79" s="214"/>
      <c r="J79" s="35"/>
    </row>
    <row r="80" spans="1:15" ht="46.5" customHeight="1" x14ac:dyDescent="0.25">
      <c r="A80" s="33"/>
      <c r="B80" s="34"/>
      <c r="C80" s="35"/>
      <c r="D80" s="35"/>
      <c r="E80" s="35"/>
      <c r="F80" s="35"/>
      <c r="G80" s="35"/>
      <c r="H80" s="35"/>
      <c r="I80" s="35"/>
    </row>
    <row r="81" spans="1:10" ht="15" customHeight="1" thickBot="1" x14ac:dyDescent="0.3">
      <c r="A81" s="672" t="s">
        <v>48</v>
      </c>
      <c r="B81" s="673"/>
      <c r="C81" s="673"/>
      <c r="D81" s="673"/>
      <c r="E81" s="673"/>
      <c r="F81" s="673"/>
      <c r="G81" s="673"/>
      <c r="H81" s="673"/>
      <c r="I81" s="673"/>
    </row>
    <row r="82" spans="1:10" ht="15" customHeight="1" x14ac:dyDescent="0.25">
      <c r="A82" s="644" t="s">
        <v>1</v>
      </c>
      <c r="B82" s="645"/>
      <c r="C82" s="638" t="s">
        <v>323</v>
      </c>
      <c r="D82" s="638" t="s">
        <v>322</v>
      </c>
      <c r="E82" s="638" t="s">
        <v>408</v>
      </c>
      <c r="F82" s="638" t="s">
        <v>413</v>
      </c>
      <c r="G82" s="638" t="s">
        <v>510</v>
      </c>
      <c r="H82" s="638" t="s">
        <v>546</v>
      </c>
      <c r="I82" s="638" t="s">
        <v>555</v>
      </c>
      <c r="J82" s="666" t="s">
        <v>354</v>
      </c>
    </row>
    <row r="83" spans="1:10" ht="15.75" thickBot="1" x14ac:dyDescent="0.3">
      <c r="A83" s="646"/>
      <c r="B83" s="647"/>
      <c r="C83" s="639"/>
      <c r="D83" s="639"/>
      <c r="E83" s="639"/>
      <c r="F83" s="639"/>
      <c r="G83" s="639"/>
      <c r="H83" s="639"/>
      <c r="I83" s="639"/>
      <c r="J83" s="667"/>
    </row>
    <row r="84" spans="1:10" ht="15.75" thickBot="1" x14ac:dyDescent="0.3">
      <c r="A84" s="36" t="s">
        <v>49</v>
      </c>
      <c r="B84" s="37"/>
      <c r="C84" s="38">
        <f t="shared" ref="C84:I84" si="24">SUM(C85:C89)</f>
        <v>269300</v>
      </c>
      <c r="D84" s="38">
        <f t="shared" si="24"/>
        <v>272000</v>
      </c>
      <c r="E84" s="38">
        <f t="shared" si="24"/>
        <v>270845</v>
      </c>
      <c r="F84" s="38">
        <f t="shared" si="24"/>
        <v>273290</v>
      </c>
      <c r="G84" s="38">
        <f t="shared" si="24"/>
        <v>279290</v>
      </c>
      <c r="H84" s="38">
        <f t="shared" ref="H84" si="25">SUM(H85:H89)</f>
        <v>279290</v>
      </c>
      <c r="I84" s="38">
        <f t="shared" si="24"/>
        <v>119568</v>
      </c>
      <c r="J84" s="466">
        <f>I84/H84</f>
        <v>0.4281141465859859</v>
      </c>
    </row>
    <row r="85" spans="1:10" x14ac:dyDescent="0.25">
      <c r="A85" s="135" t="s">
        <v>50</v>
      </c>
      <c r="B85" s="39" t="s">
        <v>51</v>
      </c>
      <c r="C85" s="169">
        <v>121700</v>
      </c>
      <c r="D85" s="492">
        <f>121700+300</f>
        <v>122000</v>
      </c>
      <c r="E85" s="169">
        <f>121700+300</f>
        <v>122000</v>
      </c>
      <c r="F85" s="169">
        <f>121700+300</f>
        <v>122000</v>
      </c>
      <c r="G85" s="492">
        <f>121700+300+6000</f>
        <v>128000</v>
      </c>
      <c r="H85" s="169">
        <f>121700+300+6000</f>
        <v>128000</v>
      </c>
      <c r="I85" s="169">
        <v>49994</v>
      </c>
      <c r="J85" s="466">
        <f t="shared" ref="J85:J148" si="26">I85/H85</f>
        <v>0.390578125</v>
      </c>
    </row>
    <row r="86" spans="1:10" x14ac:dyDescent="0.25">
      <c r="A86" s="136" t="s">
        <v>52</v>
      </c>
      <c r="B86" s="25" t="s">
        <v>173</v>
      </c>
      <c r="C86" s="168">
        <v>86600</v>
      </c>
      <c r="D86" s="465">
        <f>86600+300</f>
        <v>86900</v>
      </c>
      <c r="E86" s="465">
        <f>86600+300-1300</f>
        <v>85600</v>
      </c>
      <c r="F86" s="168">
        <f>86600+300-1300</f>
        <v>85600</v>
      </c>
      <c r="G86" s="168">
        <f>86600+300-1300</f>
        <v>85600</v>
      </c>
      <c r="H86" s="168">
        <f>86600+300-1300</f>
        <v>85600</v>
      </c>
      <c r="I86" s="168">
        <v>37754</v>
      </c>
      <c r="J86" s="466">
        <f t="shared" si="26"/>
        <v>0.44105140186915887</v>
      </c>
    </row>
    <row r="87" spans="1:10" x14ac:dyDescent="0.25">
      <c r="A87" s="136" t="s">
        <v>53</v>
      </c>
      <c r="B87" s="25" t="s">
        <v>172</v>
      </c>
      <c r="C87" s="168">
        <v>4000</v>
      </c>
      <c r="D87" s="168">
        <v>4000</v>
      </c>
      <c r="E87" s="168">
        <f>4000</f>
        <v>4000</v>
      </c>
      <c r="F87" s="465">
        <f>4000+2000</f>
        <v>6000</v>
      </c>
      <c r="G87" s="168">
        <f>4000+2000</f>
        <v>6000</v>
      </c>
      <c r="H87" s="168">
        <f>4000+2000</f>
        <v>6000</v>
      </c>
      <c r="I87" s="168">
        <v>3360</v>
      </c>
      <c r="J87" s="466">
        <f t="shared" si="26"/>
        <v>0.56000000000000005</v>
      </c>
    </row>
    <row r="88" spans="1:10" x14ac:dyDescent="0.25">
      <c r="A88" s="137" t="s">
        <v>54</v>
      </c>
      <c r="B88" s="25" t="s">
        <v>356</v>
      </c>
      <c r="C88" s="168">
        <v>53000</v>
      </c>
      <c r="D88" s="168">
        <f>53000</f>
        <v>53000</v>
      </c>
      <c r="E88" s="168">
        <f>53000</f>
        <v>53000</v>
      </c>
      <c r="F88" s="465">
        <f>53000+440</f>
        <v>53440</v>
      </c>
      <c r="G88" s="168">
        <f>53000+440</f>
        <v>53440</v>
      </c>
      <c r="H88" s="168">
        <f>53000+440</f>
        <v>53440</v>
      </c>
      <c r="I88" s="168">
        <v>22249</v>
      </c>
      <c r="J88" s="466">
        <f t="shared" si="26"/>
        <v>0.41633607784431137</v>
      </c>
    </row>
    <row r="89" spans="1:10" ht="15.75" thickBot="1" x14ac:dyDescent="0.3">
      <c r="A89" s="138" t="s">
        <v>56</v>
      </c>
      <c r="B89" s="3" t="s">
        <v>57</v>
      </c>
      <c r="C89" s="42">
        <v>4000</v>
      </c>
      <c r="D89" s="454">
        <f>4000+2100</f>
        <v>6100</v>
      </c>
      <c r="E89" s="454">
        <f>4000+2100+145</f>
        <v>6245</v>
      </c>
      <c r="F89" s="454">
        <f>4000+2100+145+5</f>
        <v>6250</v>
      </c>
      <c r="G89" s="50">
        <f>4000+2100+145+5</f>
        <v>6250</v>
      </c>
      <c r="H89" s="50">
        <f>4000+2100+145+5</f>
        <v>6250</v>
      </c>
      <c r="I89" s="42">
        <v>6211</v>
      </c>
      <c r="J89" s="466">
        <f t="shared" si="26"/>
        <v>0.99375999999999998</v>
      </c>
    </row>
    <row r="90" spans="1:10" ht="15.75" thickBot="1" x14ac:dyDescent="0.3">
      <c r="A90" s="43" t="s">
        <v>58</v>
      </c>
      <c r="B90" s="44"/>
      <c r="C90" s="38">
        <f t="shared" ref="C90:I90" si="27">SUM(C91)</f>
        <v>1660</v>
      </c>
      <c r="D90" s="38">
        <f t="shared" si="27"/>
        <v>1672</v>
      </c>
      <c r="E90" s="38">
        <f t="shared" si="27"/>
        <v>1672</v>
      </c>
      <c r="F90" s="38">
        <f t="shared" si="27"/>
        <v>1672</v>
      </c>
      <c r="G90" s="38">
        <f t="shared" si="27"/>
        <v>1672</v>
      </c>
      <c r="H90" s="38">
        <f t="shared" si="27"/>
        <v>1672</v>
      </c>
      <c r="I90" s="38">
        <f t="shared" si="27"/>
        <v>170</v>
      </c>
      <c r="J90" s="466">
        <f t="shared" si="26"/>
        <v>0.10167464114832536</v>
      </c>
    </row>
    <row r="91" spans="1:10" ht="15.75" thickBot="1" x14ac:dyDescent="0.3">
      <c r="A91" s="139" t="s">
        <v>59</v>
      </c>
      <c r="B91" s="34" t="s">
        <v>60</v>
      </c>
      <c r="C91" s="180">
        <v>1660</v>
      </c>
      <c r="D91" s="476">
        <f>1660+12</f>
        <v>1672</v>
      </c>
      <c r="E91" s="180">
        <f>1660+12</f>
        <v>1672</v>
      </c>
      <c r="F91" s="180">
        <f>1660+12</f>
        <v>1672</v>
      </c>
      <c r="G91" s="180">
        <f>1660+12</f>
        <v>1672</v>
      </c>
      <c r="H91" s="180">
        <f>1660+12</f>
        <v>1672</v>
      </c>
      <c r="I91" s="180">
        <v>170</v>
      </c>
      <c r="J91" s="466">
        <f t="shared" si="26"/>
        <v>0.10167464114832536</v>
      </c>
    </row>
    <row r="92" spans="1:10" ht="15.75" thickBot="1" x14ac:dyDescent="0.3">
      <c r="A92" s="43" t="s">
        <v>61</v>
      </c>
      <c r="B92" s="44"/>
      <c r="C92" s="38">
        <f t="shared" ref="C92:I92" si="28">SUM(C93:C94)</f>
        <v>14900</v>
      </c>
      <c r="D92" s="38">
        <f t="shared" si="28"/>
        <v>14900</v>
      </c>
      <c r="E92" s="38">
        <f t="shared" si="28"/>
        <v>16200</v>
      </c>
      <c r="F92" s="38">
        <f t="shared" si="28"/>
        <v>14900</v>
      </c>
      <c r="G92" s="38">
        <f t="shared" ref="G92:H92" si="29">SUM(G93:G94)</f>
        <v>14900</v>
      </c>
      <c r="H92" s="38">
        <f t="shared" si="29"/>
        <v>14900</v>
      </c>
      <c r="I92" s="38">
        <f t="shared" si="28"/>
        <v>2183</v>
      </c>
      <c r="J92" s="466">
        <f t="shared" si="26"/>
        <v>0.14651006711409395</v>
      </c>
    </row>
    <row r="93" spans="1:10" x14ac:dyDescent="0.25">
      <c r="A93" s="45" t="s">
        <v>62</v>
      </c>
      <c r="B93" s="46" t="s">
        <v>63</v>
      </c>
      <c r="C93" s="47">
        <v>13600</v>
      </c>
      <c r="D93" s="47">
        <v>13600</v>
      </c>
      <c r="E93" s="478">
        <f>13600+1300</f>
        <v>14900</v>
      </c>
      <c r="F93" s="478">
        <f>13600+1300-1300</f>
        <v>13600</v>
      </c>
      <c r="G93" s="47">
        <f>13600+1300-1300</f>
        <v>13600</v>
      </c>
      <c r="H93" s="47">
        <f>13600+1300-1300</f>
        <v>13600</v>
      </c>
      <c r="I93" s="47">
        <v>1595</v>
      </c>
      <c r="J93" s="466">
        <f t="shared" si="26"/>
        <v>0.11727941176470588</v>
      </c>
    </row>
    <row r="94" spans="1:10" ht="15.75" thickBot="1" x14ac:dyDescent="0.3">
      <c r="A94" s="48" t="s">
        <v>64</v>
      </c>
      <c r="B94" s="49" t="s">
        <v>65</v>
      </c>
      <c r="C94" s="50">
        <v>1300</v>
      </c>
      <c r="D94" s="50">
        <v>1300</v>
      </c>
      <c r="E94" s="50">
        <v>1300</v>
      </c>
      <c r="F94" s="50">
        <v>1300</v>
      </c>
      <c r="G94" s="50">
        <v>1300</v>
      </c>
      <c r="H94" s="50">
        <v>1300</v>
      </c>
      <c r="I94" s="50">
        <v>588</v>
      </c>
      <c r="J94" s="466">
        <f t="shared" si="26"/>
        <v>0.4523076923076923</v>
      </c>
    </row>
    <row r="95" spans="1:10" ht="15.75" thickBot="1" x14ac:dyDescent="0.3">
      <c r="A95" s="36" t="s">
        <v>66</v>
      </c>
      <c r="B95" s="140"/>
      <c r="C95" s="38">
        <f t="shared" ref="C95:I95" si="30">SUM(C96:C99)</f>
        <v>66150</v>
      </c>
      <c r="D95" s="38">
        <f t="shared" si="30"/>
        <v>81870</v>
      </c>
      <c r="E95" s="38">
        <f t="shared" si="30"/>
        <v>79870</v>
      </c>
      <c r="F95" s="38">
        <f t="shared" si="30"/>
        <v>79170</v>
      </c>
      <c r="G95" s="38">
        <f t="shared" si="30"/>
        <v>73170</v>
      </c>
      <c r="H95" s="38">
        <f t="shared" ref="H95" si="31">SUM(H96:H99)</f>
        <v>72670</v>
      </c>
      <c r="I95" s="38">
        <f t="shared" si="30"/>
        <v>32985</v>
      </c>
      <c r="J95" s="466">
        <f t="shared" si="26"/>
        <v>0.45390119719278932</v>
      </c>
    </row>
    <row r="96" spans="1:10" x14ac:dyDescent="0.25">
      <c r="A96" s="51" t="s">
        <v>67</v>
      </c>
      <c r="B96" s="14" t="s">
        <v>68</v>
      </c>
      <c r="C96" s="15">
        <v>20200</v>
      </c>
      <c r="D96" s="15">
        <v>20200</v>
      </c>
      <c r="E96" s="15">
        <v>20200</v>
      </c>
      <c r="F96" s="15">
        <v>20200</v>
      </c>
      <c r="G96" s="15">
        <v>20200</v>
      </c>
      <c r="H96" s="15">
        <v>20200</v>
      </c>
      <c r="I96" s="15">
        <v>9538</v>
      </c>
      <c r="J96" s="466">
        <f t="shared" si="26"/>
        <v>0.47217821782178215</v>
      </c>
    </row>
    <row r="97" spans="1:10" x14ac:dyDescent="0.25">
      <c r="A97" s="137" t="s">
        <v>69</v>
      </c>
      <c r="B97" s="25" t="s">
        <v>70</v>
      </c>
      <c r="C97" s="41">
        <v>20800</v>
      </c>
      <c r="D97" s="477">
        <f>20800+17000-1500</f>
        <v>36300</v>
      </c>
      <c r="E97" s="477">
        <f>20800+17000-1500-2000</f>
        <v>34300</v>
      </c>
      <c r="F97" s="18">
        <f>20800+17000-1500-2000</f>
        <v>34300</v>
      </c>
      <c r="G97" s="18">
        <f>20800+17000-1500-2000</f>
        <v>34300</v>
      </c>
      <c r="H97" s="18">
        <f>20800+17000-1500-2000</f>
        <v>34300</v>
      </c>
      <c r="I97" s="18">
        <v>14630</v>
      </c>
      <c r="J97" s="466">
        <f t="shared" si="26"/>
        <v>0.42653061224489797</v>
      </c>
    </row>
    <row r="98" spans="1:10" x14ac:dyDescent="0.25">
      <c r="A98" s="137" t="s">
        <v>71</v>
      </c>
      <c r="B98" s="25" t="s">
        <v>72</v>
      </c>
      <c r="C98" s="18">
        <v>25000</v>
      </c>
      <c r="D98" s="18">
        <v>25000</v>
      </c>
      <c r="E98" s="18">
        <v>25000</v>
      </c>
      <c r="F98" s="477">
        <f>25000-700</f>
        <v>24300</v>
      </c>
      <c r="G98" s="477">
        <f>25000-700-6000</f>
        <v>18300</v>
      </c>
      <c r="H98" s="477">
        <f>25000-700-6000-500</f>
        <v>17800</v>
      </c>
      <c r="I98" s="18">
        <v>8817</v>
      </c>
      <c r="J98" s="466">
        <f t="shared" si="26"/>
        <v>0.49533707865168541</v>
      </c>
    </row>
    <row r="99" spans="1:10" ht="15.75" thickBot="1" x14ac:dyDescent="0.3">
      <c r="A99" s="137" t="s">
        <v>73</v>
      </c>
      <c r="B99" s="25" t="s">
        <v>74</v>
      </c>
      <c r="C99" s="18">
        <v>150</v>
      </c>
      <c r="D99" s="477">
        <f>150+220</f>
        <v>370</v>
      </c>
      <c r="E99" s="18">
        <f>150+220</f>
        <v>370</v>
      </c>
      <c r="F99" s="18">
        <f>150+220</f>
        <v>370</v>
      </c>
      <c r="G99" s="18">
        <f>150+220</f>
        <v>370</v>
      </c>
      <c r="H99" s="18">
        <f>150+220</f>
        <v>370</v>
      </c>
      <c r="I99" s="18">
        <v>0</v>
      </c>
      <c r="J99" s="466">
        <f t="shared" si="26"/>
        <v>0</v>
      </c>
    </row>
    <row r="100" spans="1:10" ht="15.75" thickBot="1" x14ac:dyDescent="0.3">
      <c r="A100" s="652" t="s">
        <v>75</v>
      </c>
      <c r="B100" s="653"/>
      <c r="C100" s="38">
        <f t="shared" ref="C100:I100" si="32">SUM(C101:C104)</f>
        <v>112450</v>
      </c>
      <c r="D100" s="38">
        <f t="shared" si="32"/>
        <v>108600</v>
      </c>
      <c r="E100" s="38">
        <f t="shared" si="32"/>
        <v>108600</v>
      </c>
      <c r="F100" s="38">
        <f t="shared" si="32"/>
        <v>108600</v>
      </c>
      <c r="G100" s="38">
        <f t="shared" si="32"/>
        <v>108600</v>
      </c>
      <c r="H100" s="38">
        <f t="shared" ref="H100" si="33">SUM(H101:H104)</f>
        <v>108600</v>
      </c>
      <c r="I100" s="38">
        <f t="shared" si="32"/>
        <v>52141</v>
      </c>
      <c r="J100" s="466">
        <f t="shared" si="26"/>
        <v>0.48011970534069981</v>
      </c>
    </row>
    <row r="101" spans="1:10" x14ac:dyDescent="0.25">
      <c r="A101" s="141" t="s">
        <v>76</v>
      </c>
      <c r="B101" s="52" t="s">
        <v>260</v>
      </c>
      <c r="C101" s="53">
        <v>66000</v>
      </c>
      <c r="D101" s="478">
        <f>66000+150</f>
        <v>66150</v>
      </c>
      <c r="E101" s="47">
        <f>66000+150</f>
        <v>66150</v>
      </c>
      <c r="F101" s="47">
        <f>66000+150</f>
        <v>66150</v>
      </c>
      <c r="G101" s="47">
        <f>66000+150</f>
        <v>66150</v>
      </c>
      <c r="H101" s="47">
        <f>66000+150</f>
        <v>66150</v>
      </c>
      <c r="I101" s="53">
        <v>31198</v>
      </c>
      <c r="J101" s="466">
        <f t="shared" si="26"/>
        <v>0.47162509448223733</v>
      </c>
    </row>
    <row r="102" spans="1:10" x14ac:dyDescent="0.25">
      <c r="A102" s="137" t="s">
        <v>77</v>
      </c>
      <c r="B102" s="467" t="s">
        <v>78</v>
      </c>
      <c r="C102" s="41">
        <v>36800</v>
      </c>
      <c r="D102" s="479">
        <f>36800-4000</f>
        <v>32800</v>
      </c>
      <c r="E102" s="320">
        <f>36800-4000</f>
        <v>32800</v>
      </c>
      <c r="F102" s="320">
        <f>36800-4000</f>
        <v>32800</v>
      </c>
      <c r="G102" s="320">
        <f>36800-4000</f>
        <v>32800</v>
      </c>
      <c r="H102" s="320">
        <f>36800-4000</f>
        <v>32800</v>
      </c>
      <c r="I102" s="41">
        <v>17738</v>
      </c>
      <c r="J102" s="466">
        <f t="shared" si="26"/>
        <v>0.54079268292682925</v>
      </c>
    </row>
    <row r="103" spans="1:10" x14ac:dyDescent="0.25">
      <c r="A103" s="139" t="s">
        <v>79</v>
      </c>
      <c r="B103" s="468" t="s">
        <v>80</v>
      </c>
      <c r="C103" s="55">
        <v>1450</v>
      </c>
      <c r="D103" s="308">
        <v>1450</v>
      </c>
      <c r="E103" s="499">
        <v>1450</v>
      </c>
      <c r="F103" s="499">
        <v>1450</v>
      </c>
      <c r="G103" s="499">
        <v>1450</v>
      </c>
      <c r="H103" s="499">
        <v>1450</v>
      </c>
      <c r="I103" s="306">
        <v>20</v>
      </c>
      <c r="J103" s="466">
        <f t="shared" si="26"/>
        <v>1.3793103448275862E-2</v>
      </c>
    </row>
    <row r="104" spans="1:10" ht="15.75" thickBot="1" x14ac:dyDescent="0.3">
      <c r="A104" s="142" t="s">
        <v>81</v>
      </c>
      <c r="B104" s="469" t="s">
        <v>170</v>
      </c>
      <c r="C104" s="57">
        <v>8200</v>
      </c>
      <c r="D104" s="309">
        <v>8200</v>
      </c>
      <c r="E104" s="309">
        <v>8200</v>
      </c>
      <c r="F104" s="309">
        <v>8200</v>
      </c>
      <c r="G104" s="309">
        <v>8200</v>
      </c>
      <c r="H104" s="309">
        <v>8200</v>
      </c>
      <c r="I104" s="309">
        <v>3185</v>
      </c>
      <c r="J104" s="466">
        <f t="shared" si="26"/>
        <v>0.38841463414634148</v>
      </c>
    </row>
    <row r="105" spans="1:10" ht="15.75" thickBot="1" x14ac:dyDescent="0.3">
      <c r="A105" s="36" t="s">
        <v>82</v>
      </c>
      <c r="B105" s="470"/>
      <c r="C105" s="38">
        <f t="shared" ref="C105:I105" si="34">SUM(C106:C108)</f>
        <v>167335</v>
      </c>
      <c r="D105" s="310">
        <f t="shared" si="34"/>
        <v>165110</v>
      </c>
      <c r="E105" s="310">
        <f t="shared" si="34"/>
        <v>165110</v>
      </c>
      <c r="F105" s="310">
        <f t="shared" si="34"/>
        <v>166710</v>
      </c>
      <c r="G105" s="310">
        <f t="shared" si="34"/>
        <v>168710</v>
      </c>
      <c r="H105" s="310">
        <f t="shared" ref="H105" si="35">SUM(H106:H108)</f>
        <v>169210</v>
      </c>
      <c r="I105" s="310">
        <f t="shared" si="34"/>
        <v>65905</v>
      </c>
      <c r="J105" s="466">
        <f t="shared" si="26"/>
        <v>0.38948643697181018</v>
      </c>
    </row>
    <row r="106" spans="1:10" x14ac:dyDescent="0.25">
      <c r="A106" s="51" t="s">
        <v>83</v>
      </c>
      <c r="B106" s="471" t="s">
        <v>84</v>
      </c>
      <c r="C106" s="178">
        <v>128035</v>
      </c>
      <c r="D106" s="483">
        <f>128035-2000</f>
        <v>126035</v>
      </c>
      <c r="E106" s="319">
        <f>128035-2000</f>
        <v>126035</v>
      </c>
      <c r="F106" s="319">
        <f>128035-2000</f>
        <v>126035</v>
      </c>
      <c r="G106" s="483">
        <f>128035-2000+2000</f>
        <v>128035</v>
      </c>
      <c r="H106" s="319">
        <f>128035-2000+2000</f>
        <v>128035</v>
      </c>
      <c r="I106" s="319">
        <v>49466</v>
      </c>
      <c r="J106" s="466">
        <f t="shared" si="26"/>
        <v>0.3863474831100871</v>
      </c>
    </row>
    <row r="107" spans="1:10" x14ac:dyDescent="0.25">
      <c r="A107" s="58" t="s">
        <v>85</v>
      </c>
      <c r="B107" s="467" t="s">
        <v>86</v>
      </c>
      <c r="C107" s="41">
        <v>20800</v>
      </c>
      <c r="D107" s="479">
        <f>20800-3000</f>
        <v>17800</v>
      </c>
      <c r="E107" s="320">
        <f>20800-3000</f>
        <v>17800</v>
      </c>
      <c r="F107" s="320">
        <f>20800-3000</f>
        <v>17800</v>
      </c>
      <c r="G107" s="320">
        <f>20800-3000</f>
        <v>17800</v>
      </c>
      <c r="H107" s="320">
        <f>20800-3000</f>
        <v>17800</v>
      </c>
      <c r="I107" s="320">
        <v>8916</v>
      </c>
      <c r="J107" s="466">
        <f t="shared" si="26"/>
        <v>0.50089887640449438</v>
      </c>
    </row>
    <row r="108" spans="1:10" ht="15.75" thickBot="1" x14ac:dyDescent="0.3">
      <c r="A108" s="59" t="s">
        <v>87</v>
      </c>
      <c r="B108" s="469" t="s">
        <v>88</v>
      </c>
      <c r="C108" s="181">
        <v>18500</v>
      </c>
      <c r="D108" s="480">
        <f>18500+2400+375</f>
        <v>21275</v>
      </c>
      <c r="E108" s="312">
        <f>18500+2400+375</f>
        <v>21275</v>
      </c>
      <c r="F108" s="480">
        <f>18500+2400+375+1600</f>
        <v>22875</v>
      </c>
      <c r="G108" s="312">
        <f>18500+2400+375+1600</f>
        <v>22875</v>
      </c>
      <c r="H108" s="480">
        <f>18500+2400+375+1600+500</f>
        <v>23375</v>
      </c>
      <c r="I108" s="312">
        <v>7523</v>
      </c>
      <c r="J108" s="466">
        <f t="shared" si="26"/>
        <v>0.32183957219251336</v>
      </c>
    </row>
    <row r="109" spans="1:10" ht="15.75" thickBot="1" x14ac:dyDescent="0.3">
      <c r="A109" s="60" t="s">
        <v>89</v>
      </c>
      <c r="B109" s="472"/>
      <c r="C109" s="61">
        <f t="shared" ref="C109:I109" si="36">SUM(C110:C113)</f>
        <v>700</v>
      </c>
      <c r="D109" s="313">
        <f t="shared" si="36"/>
        <v>1000</v>
      </c>
      <c r="E109" s="313">
        <f t="shared" si="36"/>
        <v>1000</v>
      </c>
      <c r="F109" s="313">
        <f t="shared" si="36"/>
        <v>1000</v>
      </c>
      <c r="G109" s="313">
        <f t="shared" ref="G109:H109" si="37">SUM(G110:G113)</f>
        <v>1000</v>
      </c>
      <c r="H109" s="313">
        <f t="shared" si="37"/>
        <v>1000</v>
      </c>
      <c r="I109" s="313">
        <f t="shared" si="36"/>
        <v>745</v>
      </c>
      <c r="J109" s="466">
        <f t="shared" si="26"/>
        <v>0.745</v>
      </c>
    </row>
    <row r="110" spans="1:10" x14ac:dyDescent="0.25">
      <c r="A110" s="45" t="s">
        <v>90</v>
      </c>
      <c r="B110" s="473" t="s">
        <v>91</v>
      </c>
      <c r="C110" s="53">
        <v>50</v>
      </c>
      <c r="D110" s="53">
        <v>50</v>
      </c>
      <c r="E110" s="53">
        <v>50</v>
      </c>
      <c r="F110" s="53">
        <v>50</v>
      </c>
      <c r="G110" s="53">
        <v>50</v>
      </c>
      <c r="H110" s="53">
        <v>50</v>
      </c>
      <c r="I110" s="314">
        <v>40</v>
      </c>
      <c r="J110" s="466">
        <f t="shared" si="26"/>
        <v>0.8</v>
      </c>
    </row>
    <row r="111" spans="1:10" x14ac:dyDescent="0.25">
      <c r="A111" s="58" t="s">
        <v>92</v>
      </c>
      <c r="B111" s="467" t="s">
        <v>93</v>
      </c>
      <c r="C111" s="179">
        <v>50</v>
      </c>
      <c r="D111" s="179">
        <v>50</v>
      </c>
      <c r="E111" s="179">
        <v>50</v>
      </c>
      <c r="F111" s="179">
        <v>50</v>
      </c>
      <c r="G111" s="179">
        <v>50</v>
      </c>
      <c r="H111" s="179">
        <v>50</v>
      </c>
      <c r="I111" s="321">
        <v>24</v>
      </c>
      <c r="J111" s="466">
        <f t="shared" si="26"/>
        <v>0.48</v>
      </c>
    </row>
    <row r="112" spans="1:10" ht="15.75" thickBot="1" x14ac:dyDescent="0.3">
      <c r="A112" s="59" t="s">
        <v>94</v>
      </c>
      <c r="B112" s="469" t="s">
        <v>358</v>
      </c>
      <c r="C112" s="57">
        <v>300</v>
      </c>
      <c r="D112" s="481">
        <f>300+300</f>
        <v>600</v>
      </c>
      <c r="E112" s="181">
        <f>300+300</f>
        <v>600</v>
      </c>
      <c r="F112" s="181">
        <f>300+300</f>
        <v>600</v>
      </c>
      <c r="G112" s="181">
        <f>300+300</f>
        <v>600</v>
      </c>
      <c r="H112" s="181">
        <f>300+300</f>
        <v>600</v>
      </c>
      <c r="I112" s="309">
        <v>381</v>
      </c>
      <c r="J112" s="466">
        <f t="shared" si="26"/>
        <v>0.63500000000000001</v>
      </c>
    </row>
    <row r="113" spans="1:14" ht="15.75" thickBot="1" x14ac:dyDescent="0.3">
      <c r="A113" s="279" t="s">
        <v>242</v>
      </c>
      <c r="B113" s="474" t="s">
        <v>261</v>
      </c>
      <c r="C113" s="42">
        <v>300</v>
      </c>
      <c r="D113" s="42">
        <v>300</v>
      </c>
      <c r="E113" s="42">
        <v>300</v>
      </c>
      <c r="F113" s="42">
        <v>300</v>
      </c>
      <c r="G113" s="42">
        <v>300</v>
      </c>
      <c r="H113" s="42">
        <v>300</v>
      </c>
      <c r="I113" s="316">
        <v>300</v>
      </c>
      <c r="J113" s="466">
        <f t="shared" si="26"/>
        <v>1</v>
      </c>
    </row>
    <row r="114" spans="1:14" ht="15.75" thickBot="1" x14ac:dyDescent="0.3">
      <c r="A114" s="62" t="s">
        <v>96</v>
      </c>
      <c r="B114" s="475"/>
      <c r="C114" s="64">
        <f t="shared" ref="C114:I114" si="38">SUM(C115:C119)</f>
        <v>132750</v>
      </c>
      <c r="D114" s="317">
        <f t="shared" si="38"/>
        <v>147184</v>
      </c>
      <c r="E114" s="317">
        <f t="shared" si="38"/>
        <v>153184</v>
      </c>
      <c r="F114" s="317">
        <f t="shared" si="38"/>
        <v>173884</v>
      </c>
      <c r="G114" s="317">
        <f t="shared" si="38"/>
        <v>168984</v>
      </c>
      <c r="H114" s="317">
        <f t="shared" ref="H114" si="39">SUM(H115:H119)</f>
        <v>168984</v>
      </c>
      <c r="I114" s="317">
        <f t="shared" si="38"/>
        <v>94164</v>
      </c>
      <c r="J114" s="466">
        <f t="shared" si="26"/>
        <v>0.55723618804147135</v>
      </c>
    </row>
    <row r="115" spans="1:14" x14ac:dyDescent="0.25">
      <c r="A115" s="141" t="s">
        <v>97</v>
      </c>
      <c r="B115" s="52" t="s">
        <v>359</v>
      </c>
      <c r="C115" s="47">
        <v>20700</v>
      </c>
      <c r="D115" s="478">
        <f>20700+500+904</f>
        <v>22104</v>
      </c>
      <c r="E115" s="47">
        <f>20700+500+904</f>
        <v>22104</v>
      </c>
      <c r="F115" s="478">
        <f>20700+500+904-800-1300</f>
        <v>20004</v>
      </c>
      <c r="G115" s="47">
        <f>20700+500+904-800-1300</f>
        <v>20004</v>
      </c>
      <c r="H115" s="47">
        <f>20700+500+904-800-1300</f>
        <v>20004</v>
      </c>
      <c r="I115" s="322">
        <v>12543</v>
      </c>
      <c r="J115" s="466">
        <f t="shared" si="26"/>
        <v>0.62702459508098385</v>
      </c>
    </row>
    <row r="116" spans="1:14" x14ac:dyDescent="0.25">
      <c r="A116" s="144" t="s">
        <v>99</v>
      </c>
      <c r="B116" s="65" t="s">
        <v>198</v>
      </c>
      <c r="C116" s="15">
        <v>81800</v>
      </c>
      <c r="D116" s="482">
        <f>81800+2400+4600</f>
        <v>88800</v>
      </c>
      <c r="E116" s="15">
        <f>81800+2400+4600</f>
        <v>88800</v>
      </c>
      <c r="F116" s="482">
        <f>81800+2400+4600+2250+2000+3000+50+2800+3000</f>
        <v>101900</v>
      </c>
      <c r="G116" s="482">
        <f>81800+2400+4600+2250+2000+3000+50+2800+3000-1500-2400-1000</f>
        <v>97000</v>
      </c>
      <c r="H116" s="482">
        <f>81800+2400+4600+2250+2000+3000+50+2800+3000-1500-2400-1000+150</f>
        <v>97150</v>
      </c>
      <c r="I116" s="323">
        <v>69315</v>
      </c>
      <c r="J116" s="466">
        <f t="shared" si="26"/>
        <v>0.713484302624807</v>
      </c>
    </row>
    <row r="117" spans="1:14" x14ac:dyDescent="0.25">
      <c r="A117" s="144" t="s">
        <v>100</v>
      </c>
      <c r="B117" s="39" t="s">
        <v>101</v>
      </c>
      <c r="C117" s="15">
        <v>3950</v>
      </c>
      <c r="D117" s="15">
        <v>3950</v>
      </c>
      <c r="E117" s="15">
        <v>3950</v>
      </c>
      <c r="F117" s="15">
        <v>3950</v>
      </c>
      <c r="G117" s="15">
        <v>3950</v>
      </c>
      <c r="H117" s="15">
        <v>3950</v>
      </c>
      <c r="I117" s="15">
        <v>2606</v>
      </c>
      <c r="J117" s="466">
        <f t="shared" si="26"/>
        <v>0.65974683544303803</v>
      </c>
    </row>
    <row r="118" spans="1:14" x14ac:dyDescent="0.25">
      <c r="A118" s="144" t="s">
        <v>102</v>
      </c>
      <c r="B118" s="39" t="s">
        <v>103</v>
      </c>
      <c r="C118" s="15">
        <v>16300</v>
      </c>
      <c r="D118" s="482">
        <f>16300+30</f>
        <v>16330</v>
      </c>
      <c r="E118" s="15">
        <f>16300+30</f>
        <v>16330</v>
      </c>
      <c r="F118" s="15">
        <f>16300+30</f>
        <v>16330</v>
      </c>
      <c r="G118" s="15">
        <f>16300+30</f>
        <v>16330</v>
      </c>
      <c r="H118" s="15">
        <f>16300+30</f>
        <v>16330</v>
      </c>
      <c r="I118" s="15">
        <v>4716</v>
      </c>
      <c r="J118" s="466">
        <f t="shared" si="26"/>
        <v>0.28879363135333741</v>
      </c>
    </row>
    <row r="119" spans="1:14" ht="15.75" thickBot="1" x14ac:dyDescent="0.3">
      <c r="A119" s="142" t="s">
        <v>104</v>
      </c>
      <c r="B119" s="56" t="s">
        <v>361</v>
      </c>
      <c r="C119" s="181">
        <v>10000</v>
      </c>
      <c r="D119" s="481">
        <f>10000+6000</f>
        <v>16000</v>
      </c>
      <c r="E119" s="481">
        <f>10000+6000+6000</f>
        <v>22000</v>
      </c>
      <c r="F119" s="481">
        <f>10000+6000+6000+8800+700+200</f>
        <v>31700</v>
      </c>
      <c r="G119" s="181">
        <f>10000+6000+6000+8800+700+200</f>
        <v>31700</v>
      </c>
      <c r="H119" s="481">
        <f>10000+6000+6000+8800+700+200-150</f>
        <v>31550</v>
      </c>
      <c r="I119" s="181">
        <v>4984</v>
      </c>
      <c r="J119" s="466">
        <f t="shared" si="26"/>
        <v>0.15797147385103011</v>
      </c>
    </row>
    <row r="120" spans="1:14" ht="15.75" thickBot="1" x14ac:dyDescent="0.3">
      <c r="A120" s="43" t="s">
        <v>105</v>
      </c>
      <c r="B120" s="44"/>
      <c r="C120" s="38">
        <f t="shared" ref="C120:I120" si="40">SUM(C121:C129)</f>
        <v>309800</v>
      </c>
      <c r="D120" s="38">
        <f t="shared" si="40"/>
        <v>309800</v>
      </c>
      <c r="E120" s="38">
        <f t="shared" si="40"/>
        <v>311800</v>
      </c>
      <c r="F120" s="38">
        <f t="shared" si="40"/>
        <v>314800</v>
      </c>
      <c r="G120" s="38">
        <f t="shared" si="40"/>
        <v>323700</v>
      </c>
      <c r="H120" s="38">
        <f t="shared" ref="H120" si="41">SUM(H121:H129)</f>
        <v>331757</v>
      </c>
      <c r="I120" s="38">
        <f t="shared" si="40"/>
        <v>152610</v>
      </c>
      <c r="J120" s="466">
        <f t="shared" si="26"/>
        <v>0.4600053653728482</v>
      </c>
    </row>
    <row r="121" spans="1:14" x14ac:dyDescent="0.25">
      <c r="A121" s="66" t="s">
        <v>106</v>
      </c>
      <c r="B121" s="67" t="s">
        <v>107</v>
      </c>
      <c r="C121" s="86">
        <v>149400</v>
      </c>
      <c r="D121" s="86">
        <f>149400</f>
        <v>149400</v>
      </c>
      <c r="E121" s="86">
        <f>149400</f>
        <v>149400</v>
      </c>
      <c r="F121" s="506">
        <f>149400+3000</f>
        <v>152400</v>
      </c>
      <c r="G121" s="506">
        <f>149400+3000+1700+4500</f>
        <v>158600</v>
      </c>
      <c r="H121" s="86">
        <f>149400+3000+1700+4500</f>
        <v>158600</v>
      </c>
      <c r="I121" s="86">
        <v>77623</v>
      </c>
      <c r="J121" s="466">
        <f t="shared" si="26"/>
        <v>0.4894262295081967</v>
      </c>
    </row>
    <row r="122" spans="1:14" x14ac:dyDescent="0.25">
      <c r="A122" s="505" t="s">
        <v>444</v>
      </c>
      <c r="B122" s="14" t="s">
        <v>446</v>
      </c>
      <c r="C122" s="169">
        <v>0</v>
      </c>
      <c r="D122" s="169">
        <v>0</v>
      </c>
      <c r="E122" s="492">
        <v>1000</v>
      </c>
      <c r="F122" s="169">
        <v>1000</v>
      </c>
      <c r="G122" s="169">
        <v>1000</v>
      </c>
      <c r="H122" s="169">
        <v>1000</v>
      </c>
      <c r="I122" s="168">
        <v>0</v>
      </c>
      <c r="J122" s="466">
        <f t="shared" si="26"/>
        <v>0</v>
      </c>
    </row>
    <row r="123" spans="1:14" x14ac:dyDescent="0.25">
      <c r="A123" s="505" t="s">
        <v>445</v>
      </c>
      <c r="B123" s="14" t="s">
        <v>447</v>
      </c>
      <c r="C123" s="169">
        <v>0</v>
      </c>
      <c r="D123" s="169">
        <v>0</v>
      </c>
      <c r="E123" s="492">
        <v>1000</v>
      </c>
      <c r="F123" s="169">
        <v>1000</v>
      </c>
      <c r="G123" s="169">
        <v>1000</v>
      </c>
      <c r="H123" s="169">
        <v>1000</v>
      </c>
      <c r="I123" s="168">
        <v>0</v>
      </c>
      <c r="J123" s="466">
        <f t="shared" si="26"/>
        <v>0</v>
      </c>
    </row>
    <row r="124" spans="1:14" x14ac:dyDescent="0.25">
      <c r="A124" s="68" t="s">
        <v>108</v>
      </c>
      <c r="B124" s="17" t="s">
        <v>196</v>
      </c>
      <c r="C124" s="168">
        <v>3000</v>
      </c>
      <c r="D124" s="168">
        <v>3000</v>
      </c>
      <c r="E124" s="168">
        <v>3000</v>
      </c>
      <c r="F124" s="168">
        <v>3000</v>
      </c>
      <c r="G124" s="168">
        <v>3000</v>
      </c>
      <c r="H124" s="168">
        <v>3000</v>
      </c>
      <c r="I124" s="168">
        <v>1253</v>
      </c>
      <c r="J124" s="466">
        <f t="shared" si="26"/>
        <v>0.41766666666666669</v>
      </c>
    </row>
    <row r="125" spans="1:14" x14ac:dyDescent="0.25">
      <c r="A125" s="68" t="s">
        <v>109</v>
      </c>
      <c r="B125" s="17" t="s">
        <v>110</v>
      </c>
      <c r="C125" s="168">
        <v>27800</v>
      </c>
      <c r="D125" s="168">
        <v>27800</v>
      </c>
      <c r="E125" s="168">
        <f>27800-300+300</f>
        <v>27800</v>
      </c>
      <c r="F125" s="168">
        <f>27800-300+300</f>
        <v>27800</v>
      </c>
      <c r="G125" s="465">
        <f>27800-300+300+570</f>
        <v>28370</v>
      </c>
      <c r="H125" s="465">
        <f>27800-300+300+570+1220</f>
        <v>29590</v>
      </c>
      <c r="I125" s="168">
        <v>13186</v>
      </c>
      <c r="J125" s="466">
        <f t="shared" si="26"/>
        <v>0.44562352145995271</v>
      </c>
    </row>
    <row r="126" spans="1:14" x14ac:dyDescent="0.25">
      <c r="A126" s="68" t="s">
        <v>111</v>
      </c>
      <c r="B126" s="17" t="s">
        <v>112</v>
      </c>
      <c r="C126" s="18">
        <v>41200</v>
      </c>
      <c r="D126" s="18">
        <v>41200</v>
      </c>
      <c r="E126" s="18">
        <f t="shared" ref="E126:F127" si="42">41200-400+400</f>
        <v>41200</v>
      </c>
      <c r="F126" s="18">
        <f t="shared" si="42"/>
        <v>41200</v>
      </c>
      <c r="G126" s="477">
        <f>41200-400+400+780</f>
        <v>41980</v>
      </c>
      <c r="H126" s="477">
        <f>41200-400+400+780-600</f>
        <v>41380</v>
      </c>
      <c r="I126" s="18">
        <v>19779</v>
      </c>
      <c r="J126" s="466">
        <f t="shared" si="26"/>
        <v>0.47798453359110682</v>
      </c>
    </row>
    <row r="127" spans="1:14" x14ac:dyDescent="0.25">
      <c r="A127" s="68" t="s">
        <v>113</v>
      </c>
      <c r="B127" s="17" t="s">
        <v>114</v>
      </c>
      <c r="C127" s="18">
        <v>41200</v>
      </c>
      <c r="D127" s="18">
        <v>41200</v>
      </c>
      <c r="E127" s="18">
        <f t="shared" si="42"/>
        <v>41200</v>
      </c>
      <c r="F127" s="18">
        <f t="shared" si="42"/>
        <v>41200</v>
      </c>
      <c r="G127" s="477">
        <f>41200-400+400+780</f>
        <v>41980</v>
      </c>
      <c r="H127" s="477">
        <f>41200-400+400+780+6020</f>
        <v>48000</v>
      </c>
      <c r="I127" s="18">
        <v>19779</v>
      </c>
      <c r="J127" s="466">
        <f t="shared" si="26"/>
        <v>0.4120625</v>
      </c>
    </row>
    <row r="128" spans="1:14" x14ac:dyDescent="0.25">
      <c r="A128" s="69" t="s">
        <v>115</v>
      </c>
      <c r="B128" s="17" t="s">
        <v>362</v>
      </c>
      <c r="C128" s="70">
        <v>43900</v>
      </c>
      <c r="D128" s="70">
        <v>43900</v>
      </c>
      <c r="E128" s="70">
        <f>43900+1100-1100</f>
        <v>43900</v>
      </c>
      <c r="F128" s="70">
        <f>43900+1100-1100</f>
        <v>43900</v>
      </c>
      <c r="G128" s="561">
        <f>43900+1100-1100+570</f>
        <v>44470</v>
      </c>
      <c r="H128" s="561">
        <f>43900+1100-1100+570+1417</f>
        <v>45887</v>
      </c>
      <c r="I128" s="70">
        <v>19328</v>
      </c>
      <c r="J128" s="466">
        <f t="shared" si="26"/>
        <v>0.42120862117811148</v>
      </c>
      <c r="L128" s="123"/>
      <c r="M128" s="123"/>
      <c r="N128" s="123"/>
    </row>
    <row r="129" spans="1:15" ht="15.75" thickBot="1" x14ac:dyDescent="0.3">
      <c r="A129" s="68" t="s">
        <v>117</v>
      </c>
      <c r="B129" s="17" t="s">
        <v>118</v>
      </c>
      <c r="C129" s="70">
        <v>3300</v>
      </c>
      <c r="D129" s="70">
        <v>3300</v>
      </c>
      <c r="E129" s="70">
        <v>3300</v>
      </c>
      <c r="F129" s="70">
        <v>3300</v>
      </c>
      <c r="G129" s="70">
        <v>3300</v>
      </c>
      <c r="H129" s="70">
        <v>3300</v>
      </c>
      <c r="I129" s="70">
        <v>1662</v>
      </c>
      <c r="J129" s="466">
        <f t="shared" si="26"/>
        <v>0.50363636363636366</v>
      </c>
    </row>
    <row r="130" spans="1:15" ht="15.75" thickBot="1" x14ac:dyDescent="0.3">
      <c r="A130" s="36" t="s">
        <v>119</v>
      </c>
      <c r="B130" s="37"/>
      <c r="C130" s="38">
        <f t="shared" ref="C130:I130" si="43">SUM(C131:C135)</f>
        <v>307100</v>
      </c>
      <c r="D130" s="38">
        <f t="shared" si="43"/>
        <v>309680</v>
      </c>
      <c r="E130" s="38">
        <f t="shared" si="43"/>
        <v>310480</v>
      </c>
      <c r="F130" s="38">
        <f t="shared" si="43"/>
        <v>310480</v>
      </c>
      <c r="G130" s="38">
        <f t="shared" si="43"/>
        <v>345480</v>
      </c>
      <c r="H130" s="38">
        <f t="shared" ref="H130" si="44">SUM(H131:H135)</f>
        <v>345480</v>
      </c>
      <c r="I130" s="38">
        <f t="shared" si="43"/>
        <v>116844</v>
      </c>
      <c r="J130" s="466">
        <f t="shared" si="26"/>
        <v>0.33820771101076763</v>
      </c>
    </row>
    <row r="131" spans="1:15" x14ac:dyDescent="0.25">
      <c r="A131" s="144" t="s">
        <v>120</v>
      </c>
      <c r="B131" s="39" t="s">
        <v>262</v>
      </c>
      <c r="C131" s="15">
        <v>276500</v>
      </c>
      <c r="D131" s="482">
        <f>276500+1080+1500</f>
        <v>279080</v>
      </c>
      <c r="E131" s="15">
        <f>276500+1080+1500</f>
        <v>279080</v>
      </c>
      <c r="F131" s="15">
        <f>276500+1080+1500</f>
        <v>279080</v>
      </c>
      <c r="G131" s="482">
        <f>276500+1080+1500+31000</f>
        <v>310080</v>
      </c>
      <c r="H131" s="15">
        <f>276500+1080+1500+31000</f>
        <v>310080</v>
      </c>
      <c r="I131" s="15">
        <v>106341</v>
      </c>
      <c r="J131" s="466">
        <f t="shared" si="26"/>
        <v>0.34294698142414859</v>
      </c>
    </row>
    <row r="132" spans="1:15" x14ac:dyDescent="0.25">
      <c r="A132" s="144" t="s">
        <v>121</v>
      </c>
      <c r="B132" s="39" t="s">
        <v>167</v>
      </c>
      <c r="C132" s="15">
        <v>8200</v>
      </c>
      <c r="D132" s="15">
        <v>8200</v>
      </c>
      <c r="E132" s="15">
        <v>8200</v>
      </c>
      <c r="F132" s="15">
        <v>8200</v>
      </c>
      <c r="G132" s="15">
        <v>8200</v>
      </c>
      <c r="H132" s="15">
        <v>8200</v>
      </c>
      <c r="I132" s="40">
        <v>3058</v>
      </c>
      <c r="J132" s="466">
        <f t="shared" si="26"/>
        <v>0.37292682926829268</v>
      </c>
    </row>
    <row r="133" spans="1:15" x14ac:dyDescent="0.25">
      <c r="A133" s="137" t="s">
        <v>122</v>
      </c>
      <c r="B133" s="25" t="s">
        <v>168</v>
      </c>
      <c r="C133" s="41">
        <v>21400</v>
      </c>
      <c r="D133" s="41">
        <v>21400</v>
      </c>
      <c r="E133" s="477">
        <f>21400+500</f>
        <v>21900</v>
      </c>
      <c r="F133" s="18">
        <f>21400+500</f>
        <v>21900</v>
      </c>
      <c r="G133" s="477">
        <f>21400+500+4000</f>
        <v>25900</v>
      </c>
      <c r="H133" s="18">
        <f>21400+500+4000</f>
        <v>25900</v>
      </c>
      <c r="I133" s="41">
        <v>7145</v>
      </c>
      <c r="J133" s="466">
        <f t="shared" si="26"/>
        <v>0.27586872586872585</v>
      </c>
      <c r="M133" s="123"/>
    </row>
    <row r="134" spans="1:15" x14ac:dyDescent="0.25">
      <c r="A134" s="137" t="s">
        <v>123</v>
      </c>
      <c r="B134" s="25" t="s">
        <v>124</v>
      </c>
      <c r="C134" s="41">
        <v>500</v>
      </c>
      <c r="D134" s="41">
        <v>500</v>
      </c>
      <c r="E134" s="41">
        <v>500</v>
      </c>
      <c r="F134" s="18">
        <v>500</v>
      </c>
      <c r="G134" s="18">
        <v>500</v>
      </c>
      <c r="H134" s="18">
        <v>500</v>
      </c>
      <c r="I134" s="41">
        <v>0</v>
      </c>
      <c r="J134" s="466">
        <f t="shared" si="26"/>
        <v>0</v>
      </c>
    </row>
    <row r="135" spans="1:15" ht="15.75" thickBot="1" x14ac:dyDescent="0.3">
      <c r="A135" s="142" t="s">
        <v>125</v>
      </c>
      <c r="B135" s="56" t="s">
        <v>126</v>
      </c>
      <c r="C135" s="57">
        <v>500</v>
      </c>
      <c r="D135" s="57">
        <v>500</v>
      </c>
      <c r="E135" s="481">
        <f>500+300</f>
        <v>800</v>
      </c>
      <c r="F135" s="181">
        <f>500+300</f>
        <v>800</v>
      </c>
      <c r="G135" s="181">
        <f>500+300</f>
        <v>800</v>
      </c>
      <c r="H135" s="181">
        <f>500+300</f>
        <v>800</v>
      </c>
      <c r="I135" s="57">
        <v>300</v>
      </c>
      <c r="J135" s="466">
        <f t="shared" si="26"/>
        <v>0.375</v>
      </c>
      <c r="K135" s="123"/>
      <c r="L135" s="123"/>
    </row>
    <row r="136" spans="1:15" ht="21.75" customHeight="1" thickBot="1" x14ac:dyDescent="0.3">
      <c r="A136" s="71" t="s">
        <v>127</v>
      </c>
      <c r="B136" s="143"/>
      <c r="C136" s="72">
        <f t="shared" ref="C136:I136" si="45">SUM(C84+C90+C92+C95+C100+C105+C109+C114+C120+C130)</f>
        <v>1382145</v>
      </c>
      <c r="D136" s="72">
        <f t="shared" si="45"/>
        <v>1411816</v>
      </c>
      <c r="E136" s="72">
        <f t="shared" si="45"/>
        <v>1418761</v>
      </c>
      <c r="F136" s="72">
        <f t="shared" si="45"/>
        <v>1444506</v>
      </c>
      <c r="G136" s="72">
        <f t="shared" si="45"/>
        <v>1485506</v>
      </c>
      <c r="H136" s="72">
        <f t="shared" ref="H136" si="46">SUM(H84+H90+H92+H95+H100+H105+H109+H114+H120+H130)</f>
        <v>1493563</v>
      </c>
      <c r="I136" s="72">
        <f t="shared" si="45"/>
        <v>637315</v>
      </c>
      <c r="J136" s="466">
        <f t="shared" si="26"/>
        <v>0.42670781212442999</v>
      </c>
      <c r="K136" s="123">
        <f>D136-C136</f>
        <v>29671</v>
      </c>
      <c r="L136" s="123">
        <f>E136-D136</f>
        <v>6945</v>
      </c>
      <c r="M136" s="123">
        <f>F136-E136</f>
        <v>25745</v>
      </c>
      <c r="N136" s="123">
        <f>G136-F136</f>
        <v>41000</v>
      </c>
      <c r="O136" s="123">
        <f>H136-G136</f>
        <v>8057</v>
      </c>
    </row>
    <row r="137" spans="1:15" x14ac:dyDescent="0.25">
      <c r="A137" s="247" t="s">
        <v>231</v>
      </c>
      <c r="B137" s="248" t="s">
        <v>264</v>
      </c>
      <c r="C137" s="249">
        <f t="shared" ref="C137:I137" si="47">C70</f>
        <v>472270</v>
      </c>
      <c r="D137" s="249">
        <f t="shared" si="47"/>
        <v>486089</v>
      </c>
      <c r="E137" s="249">
        <f t="shared" si="47"/>
        <v>486089</v>
      </c>
      <c r="F137" s="249">
        <f t="shared" si="47"/>
        <v>486089</v>
      </c>
      <c r="G137" s="249">
        <f t="shared" si="47"/>
        <v>486800</v>
      </c>
      <c r="H137" s="249">
        <f t="shared" ref="H137" si="48">H70</f>
        <v>486906</v>
      </c>
      <c r="I137" s="249">
        <f t="shared" si="47"/>
        <v>285999</v>
      </c>
      <c r="J137" s="466">
        <f t="shared" si="26"/>
        <v>0.58738031570775473</v>
      </c>
      <c r="K137" s="123"/>
      <c r="L137" s="123"/>
      <c r="M137" s="123"/>
    </row>
    <row r="138" spans="1:15" ht="16.5" customHeight="1" x14ac:dyDescent="0.25">
      <c r="A138" s="263" t="s">
        <v>231</v>
      </c>
      <c r="B138" s="264" t="s">
        <v>225</v>
      </c>
      <c r="C138" s="265">
        <f t="shared" ref="C138:I138" si="49">C72</f>
        <v>3000</v>
      </c>
      <c r="D138" s="265">
        <f t="shared" si="49"/>
        <v>3000</v>
      </c>
      <c r="E138" s="265">
        <f t="shared" si="49"/>
        <v>3000</v>
      </c>
      <c r="F138" s="265">
        <f t="shared" si="49"/>
        <v>3000</v>
      </c>
      <c r="G138" s="265">
        <f t="shared" si="49"/>
        <v>3000</v>
      </c>
      <c r="H138" s="265">
        <f t="shared" ref="H138" si="50">H72</f>
        <v>7330</v>
      </c>
      <c r="I138" s="265">
        <f t="shared" si="49"/>
        <v>1854</v>
      </c>
      <c r="J138" s="466">
        <f t="shared" si="26"/>
        <v>0.25293315143246931</v>
      </c>
      <c r="K138" s="123"/>
      <c r="L138" s="123"/>
      <c r="M138" s="123"/>
    </row>
    <row r="139" spans="1:15" ht="16.5" customHeight="1" x14ac:dyDescent="0.25">
      <c r="A139" s="263" t="s">
        <v>231</v>
      </c>
      <c r="B139" s="264" t="s">
        <v>265</v>
      </c>
      <c r="C139" s="265">
        <v>54240</v>
      </c>
      <c r="D139" s="265">
        <v>54240</v>
      </c>
      <c r="E139" s="265">
        <v>54240</v>
      </c>
      <c r="F139" s="265">
        <v>54240</v>
      </c>
      <c r="G139" s="265">
        <v>54240</v>
      </c>
      <c r="H139" s="265">
        <v>54240</v>
      </c>
      <c r="I139" s="265">
        <f>I74</f>
        <v>5459</v>
      </c>
      <c r="J139" s="466">
        <f t="shared" si="26"/>
        <v>0.1006452802359882</v>
      </c>
      <c r="K139" s="123"/>
      <c r="L139" s="123"/>
      <c r="M139" s="123"/>
    </row>
    <row r="140" spans="1:15" ht="15.75" thickBot="1" x14ac:dyDescent="0.3">
      <c r="A140" s="364" t="s">
        <v>231</v>
      </c>
      <c r="B140" s="365" t="s">
        <v>266</v>
      </c>
      <c r="C140" s="366">
        <v>2855</v>
      </c>
      <c r="D140" s="366">
        <v>2855</v>
      </c>
      <c r="E140" s="366">
        <v>2855</v>
      </c>
      <c r="F140" s="366">
        <v>2855</v>
      </c>
      <c r="G140" s="366">
        <v>2855</v>
      </c>
      <c r="H140" s="366">
        <v>2855</v>
      </c>
      <c r="I140" s="366">
        <v>1081</v>
      </c>
      <c r="J140" s="466">
        <f t="shared" si="26"/>
        <v>0.37863397548161121</v>
      </c>
      <c r="K140" s="123"/>
      <c r="L140" s="123"/>
      <c r="M140" s="123"/>
    </row>
    <row r="141" spans="1:15" x14ac:dyDescent="0.25">
      <c r="A141" s="361" t="s">
        <v>108</v>
      </c>
      <c r="B141" s="362" t="s">
        <v>267</v>
      </c>
      <c r="C141" s="363">
        <v>22500</v>
      </c>
      <c r="D141" s="363">
        <v>22500</v>
      </c>
      <c r="E141" s="363">
        <v>22500</v>
      </c>
      <c r="F141" s="363">
        <v>22500</v>
      </c>
      <c r="G141" s="363">
        <v>22500</v>
      </c>
      <c r="H141" s="363">
        <v>22500</v>
      </c>
      <c r="I141" s="363">
        <f>5625*2</f>
        <v>11250</v>
      </c>
      <c r="J141" s="466">
        <f t="shared" si="26"/>
        <v>0.5</v>
      </c>
      <c r="K141" s="123"/>
      <c r="L141" s="123"/>
      <c r="M141" s="123"/>
    </row>
    <row r="142" spans="1:15" ht="15" customHeight="1" thickBot="1" x14ac:dyDescent="0.3">
      <c r="A142" s="263" t="s">
        <v>108</v>
      </c>
      <c r="B142" s="264" t="s">
        <v>268</v>
      </c>
      <c r="C142" s="265">
        <f t="shared" ref="C142:I142" si="51">C73</f>
        <v>1320</v>
      </c>
      <c r="D142" s="265">
        <f t="shared" si="51"/>
        <v>1320</v>
      </c>
      <c r="E142" s="265">
        <f t="shared" si="51"/>
        <v>1320</v>
      </c>
      <c r="F142" s="265">
        <f t="shared" si="51"/>
        <v>1320</v>
      </c>
      <c r="G142" s="265">
        <f t="shared" si="51"/>
        <v>1320</v>
      </c>
      <c r="H142" s="265">
        <f t="shared" ref="H142" si="52">H73</f>
        <v>1320</v>
      </c>
      <c r="I142" s="265">
        <f t="shared" si="51"/>
        <v>726</v>
      </c>
      <c r="J142" s="466">
        <f t="shared" si="26"/>
        <v>0.55000000000000004</v>
      </c>
      <c r="K142" s="123">
        <f>I138+I140+I141+I142-1275</f>
        <v>13636</v>
      </c>
      <c r="L142" s="123"/>
      <c r="M142" s="123"/>
    </row>
    <row r="143" spans="1:15" ht="14.25" customHeight="1" thickBot="1" x14ac:dyDescent="0.3">
      <c r="A143" s="654" t="s">
        <v>183</v>
      </c>
      <c r="B143" s="655"/>
      <c r="C143" s="128">
        <f t="shared" ref="C143:I143" si="53">SUM(C137:C142)</f>
        <v>556185</v>
      </c>
      <c r="D143" s="128">
        <f t="shared" si="53"/>
        <v>570004</v>
      </c>
      <c r="E143" s="128">
        <f t="shared" si="53"/>
        <v>570004</v>
      </c>
      <c r="F143" s="128">
        <f t="shared" si="53"/>
        <v>570004</v>
      </c>
      <c r="G143" s="128">
        <f t="shared" ref="G143:H143" si="54">SUM(G137:G142)</f>
        <v>570715</v>
      </c>
      <c r="H143" s="128">
        <f t="shared" si="54"/>
        <v>575151</v>
      </c>
      <c r="I143" s="128">
        <f t="shared" si="53"/>
        <v>306369</v>
      </c>
      <c r="J143" s="466">
        <f t="shared" si="26"/>
        <v>0.53267576688556573</v>
      </c>
      <c r="K143" s="123">
        <f>D143-C143</f>
        <v>13819</v>
      </c>
      <c r="L143" s="123">
        <f>E143-D143</f>
        <v>0</v>
      </c>
      <c r="M143" s="123">
        <f>F143-E143</f>
        <v>0</v>
      </c>
      <c r="N143" s="123">
        <f>G143-F143</f>
        <v>711</v>
      </c>
      <c r="O143" s="123">
        <f>H143-G143</f>
        <v>4436</v>
      </c>
    </row>
    <row r="144" spans="1:15" x14ac:dyDescent="0.25">
      <c r="A144" s="250" t="s">
        <v>108</v>
      </c>
      <c r="B144" s="251" t="s">
        <v>227</v>
      </c>
      <c r="C144" s="221">
        <f t="shared" ref="C144:H144" si="55">190500+13510</f>
        <v>204010</v>
      </c>
      <c r="D144" s="221">
        <f t="shared" si="55"/>
        <v>204010</v>
      </c>
      <c r="E144" s="221">
        <f t="shared" si="55"/>
        <v>204010</v>
      </c>
      <c r="F144" s="221">
        <f t="shared" si="55"/>
        <v>204010</v>
      </c>
      <c r="G144" s="221">
        <f t="shared" si="55"/>
        <v>204010</v>
      </c>
      <c r="H144" s="221">
        <f t="shared" si="55"/>
        <v>204010</v>
      </c>
      <c r="I144" s="221">
        <f>17000*6</f>
        <v>102000</v>
      </c>
      <c r="J144" s="466">
        <f t="shared" si="26"/>
        <v>0.49997549139748054</v>
      </c>
      <c r="K144" s="123"/>
      <c r="L144" s="123"/>
      <c r="M144" s="123"/>
    </row>
    <row r="145" spans="1:18" ht="17.25" customHeight="1" thickBot="1" x14ac:dyDescent="0.3">
      <c r="A145" s="266" t="s">
        <v>108</v>
      </c>
      <c r="B145" s="244" t="s">
        <v>228</v>
      </c>
      <c r="C145" s="217">
        <f t="shared" ref="C145:I145" si="56">C76</f>
        <v>9770</v>
      </c>
      <c r="D145" s="217">
        <f t="shared" si="56"/>
        <v>9770</v>
      </c>
      <c r="E145" s="217">
        <f t="shared" si="56"/>
        <v>9770</v>
      </c>
      <c r="F145" s="217">
        <f t="shared" si="56"/>
        <v>9770</v>
      </c>
      <c r="G145" s="217">
        <f t="shared" si="56"/>
        <v>9770</v>
      </c>
      <c r="H145" s="217">
        <f t="shared" ref="H145" si="57">H76</f>
        <v>11030</v>
      </c>
      <c r="I145" s="217">
        <f t="shared" si="56"/>
        <v>5017</v>
      </c>
      <c r="J145" s="466">
        <f t="shared" si="26"/>
        <v>0.45485040797824117</v>
      </c>
      <c r="K145" s="123"/>
      <c r="L145" s="123"/>
      <c r="M145" s="123"/>
    </row>
    <row r="146" spans="1:18" ht="16.5" customHeight="1" thickBot="1" x14ac:dyDescent="0.3">
      <c r="A146" s="656" t="s">
        <v>226</v>
      </c>
      <c r="B146" s="657"/>
      <c r="C146" s="367">
        <f t="shared" ref="C146:I146" si="58">SUM(C144:C145)</f>
        <v>213780</v>
      </c>
      <c r="D146" s="367">
        <f t="shared" si="58"/>
        <v>213780</v>
      </c>
      <c r="E146" s="367">
        <f t="shared" si="58"/>
        <v>213780</v>
      </c>
      <c r="F146" s="367">
        <f t="shared" si="58"/>
        <v>213780</v>
      </c>
      <c r="G146" s="367">
        <f t="shared" si="58"/>
        <v>213780</v>
      </c>
      <c r="H146" s="367">
        <f t="shared" ref="H146" si="59">SUM(H144:H145)</f>
        <v>215040</v>
      </c>
      <c r="I146" s="367">
        <f t="shared" si="58"/>
        <v>107017</v>
      </c>
      <c r="J146" s="466">
        <f t="shared" si="26"/>
        <v>0.49766090029761906</v>
      </c>
      <c r="K146" s="123">
        <f t="shared" ref="K146:O148" si="60">D146-C146</f>
        <v>0</v>
      </c>
      <c r="L146" s="123">
        <f t="shared" si="60"/>
        <v>0</v>
      </c>
      <c r="M146" s="123">
        <f t="shared" si="60"/>
        <v>0</v>
      </c>
      <c r="N146" s="123">
        <f t="shared" si="60"/>
        <v>0</v>
      </c>
      <c r="O146" s="123">
        <f t="shared" si="60"/>
        <v>1260</v>
      </c>
    </row>
    <row r="147" spans="1:18" ht="18.75" customHeight="1" thickBot="1" x14ac:dyDescent="0.3">
      <c r="A147" s="658" t="s">
        <v>220</v>
      </c>
      <c r="B147" s="659"/>
      <c r="C147" s="368">
        <f t="shared" ref="C147:I147" si="61">C143+C146</f>
        <v>769965</v>
      </c>
      <c r="D147" s="368">
        <f t="shared" si="61"/>
        <v>783784</v>
      </c>
      <c r="E147" s="368">
        <f t="shared" si="61"/>
        <v>783784</v>
      </c>
      <c r="F147" s="368">
        <f t="shared" si="61"/>
        <v>783784</v>
      </c>
      <c r="G147" s="368">
        <f t="shared" si="61"/>
        <v>784495</v>
      </c>
      <c r="H147" s="368">
        <f t="shared" ref="H147" si="62">H143+H146</f>
        <v>790191</v>
      </c>
      <c r="I147" s="368">
        <f t="shared" si="61"/>
        <v>413386</v>
      </c>
      <c r="J147" s="466">
        <f t="shared" si="26"/>
        <v>0.5231469353611975</v>
      </c>
      <c r="K147" s="123">
        <f t="shared" si="60"/>
        <v>13819</v>
      </c>
      <c r="L147" s="123">
        <f t="shared" si="60"/>
        <v>0</v>
      </c>
      <c r="M147" s="123">
        <f t="shared" si="60"/>
        <v>0</v>
      </c>
      <c r="N147" s="123">
        <f t="shared" si="60"/>
        <v>711</v>
      </c>
      <c r="O147" s="123">
        <f t="shared" si="60"/>
        <v>5696</v>
      </c>
    </row>
    <row r="148" spans="1:18" ht="30.75" customHeight="1" thickBot="1" x14ac:dyDescent="0.3">
      <c r="A148" s="73" t="s">
        <v>184</v>
      </c>
      <c r="B148" s="140"/>
      <c r="C148" s="74">
        <f t="shared" ref="C148:I148" si="63">C136+C147</f>
        <v>2152110</v>
      </c>
      <c r="D148" s="74">
        <f t="shared" si="63"/>
        <v>2195600</v>
      </c>
      <c r="E148" s="74">
        <f t="shared" si="63"/>
        <v>2202545</v>
      </c>
      <c r="F148" s="74">
        <f t="shared" si="63"/>
        <v>2228290</v>
      </c>
      <c r="G148" s="74">
        <f t="shared" si="63"/>
        <v>2270001</v>
      </c>
      <c r="H148" s="74">
        <f t="shared" ref="H148" si="64">H136+H147</f>
        <v>2283754</v>
      </c>
      <c r="I148" s="74">
        <f t="shared" si="63"/>
        <v>1050701</v>
      </c>
      <c r="J148" s="466">
        <f t="shared" si="26"/>
        <v>0.46007626040282795</v>
      </c>
      <c r="K148" s="123">
        <f t="shared" si="60"/>
        <v>43490</v>
      </c>
      <c r="L148" s="123">
        <f t="shared" si="60"/>
        <v>6945</v>
      </c>
      <c r="M148" s="123">
        <f t="shared" si="60"/>
        <v>25745</v>
      </c>
      <c r="N148" s="123">
        <f t="shared" si="60"/>
        <v>41711</v>
      </c>
      <c r="O148" s="123">
        <f t="shared" si="60"/>
        <v>13753</v>
      </c>
    </row>
    <row r="150" spans="1:18" ht="53.25" customHeight="1" x14ac:dyDescent="0.25">
      <c r="N150" s="123"/>
    </row>
    <row r="151" spans="1:18" ht="18.75" thickBot="1" x14ac:dyDescent="0.3">
      <c r="A151" s="660" t="s">
        <v>128</v>
      </c>
      <c r="B151" s="661"/>
      <c r="C151" s="661"/>
      <c r="D151" s="661"/>
      <c r="E151" s="661"/>
      <c r="F151" s="661"/>
      <c r="G151" s="661"/>
      <c r="H151" s="661"/>
      <c r="I151" s="661"/>
      <c r="N151" s="123"/>
      <c r="O151" s="123"/>
      <c r="P151" s="123"/>
    </row>
    <row r="152" spans="1:18" ht="15" customHeight="1" x14ac:dyDescent="0.25">
      <c r="A152" s="644" t="s">
        <v>1</v>
      </c>
      <c r="B152" s="645"/>
      <c r="C152" s="638" t="s">
        <v>323</v>
      </c>
      <c r="D152" s="638" t="s">
        <v>322</v>
      </c>
      <c r="E152" s="638" t="s">
        <v>408</v>
      </c>
      <c r="F152" s="638" t="s">
        <v>413</v>
      </c>
      <c r="G152" s="638" t="s">
        <v>510</v>
      </c>
      <c r="H152" s="638" t="s">
        <v>546</v>
      </c>
      <c r="I152" s="638" t="s">
        <v>555</v>
      </c>
      <c r="J152" s="640" t="s">
        <v>352</v>
      </c>
      <c r="M152" s="123"/>
      <c r="Q152" s="123"/>
      <c r="R152" s="123"/>
    </row>
    <row r="153" spans="1:18" ht="15.75" thickBot="1" x14ac:dyDescent="0.3">
      <c r="A153" s="646"/>
      <c r="B153" s="647"/>
      <c r="C153" s="639"/>
      <c r="D153" s="639"/>
      <c r="E153" s="639"/>
      <c r="F153" s="639"/>
      <c r="G153" s="639"/>
      <c r="H153" s="639"/>
      <c r="I153" s="639"/>
      <c r="J153" s="641"/>
      <c r="K153" s="123"/>
      <c r="L153" s="123"/>
    </row>
    <row r="154" spans="1:18" ht="16.5" thickBot="1" x14ac:dyDescent="0.3">
      <c r="A154" s="648" t="s">
        <v>129</v>
      </c>
      <c r="B154" s="649"/>
      <c r="C154" s="328">
        <f t="shared" ref="C154:I154" si="65">SUM(C155:C160)</f>
        <v>620702</v>
      </c>
      <c r="D154" s="328">
        <f t="shared" si="65"/>
        <v>635220</v>
      </c>
      <c r="E154" s="328">
        <f t="shared" si="65"/>
        <v>635220</v>
      </c>
      <c r="F154" s="328">
        <f t="shared" si="65"/>
        <v>561520</v>
      </c>
      <c r="G154" s="328">
        <f t="shared" si="65"/>
        <v>519520</v>
      </c>
      <c r="H154" s="328">
        <f t="shared" ref="H154" si="66">SUM(H155:H160)</f>
        <v>519520</v>
      </c>
      <c r="I154" s="75">
        <f t="shared" si="65"/>
        <v>0</v>
      </c>
      <c r="J154" s="466">
        <f>I154/H154</f>
        <v>0</v>
      </c>
      <c r="K154" s="123">
        <f>D154-C154</f>
        <v>14518</v>
      </c>
      <c r="L154" s="123">
        <f>E154-D154</f>
        <v>0</v>
      </c>
      <c r="M154" s="123">
        <f>F154-E154</f>
        <v>-73700</v>
      </c>
      <c r="N154" s="123">
        <f>G154-F154</f>
        <v>-42000</v>
      </c>
      <c r="O154" s="123">
        <f>H154-G154</f>
        <v>0</v>
      </c>
    </row>
    <row r="155" spans="1:18" ht="15.75" thickBot="1" x14ac:dyDescent="0.3">
      <c r="A155" s="176">
        <v>233</v>
      </c>
      <c r="B155" s="56" t="s">
        <v>130</v>
      </c>
      <c r="C155" s="329">
        <v>1000</v>
      </c>
      <c r="D155" s="329">
        <v>1000</v>
      </c>
      <c r="E155" s="329">
        <v>1000</v>
      </c>
      <c r="F155" s="539">
        <f>1000+2000</f>
        <v>3000</v>
      </c>
      <c r="G155" s="334">
        <f>1000+2000</f>
        <v>3000</v>
      </c>
      <c r="H155" s="334">
        <f>1000+2000</f>
        <v>3000</v>
      </c>
      <c r="I155" s="329">
        <v>0</v>
      </c>
      <c r="J155" s="466">
        <f t="shared" ref="J155:J184" si="67">I155/H155</f>
        <v>0</v>
      </c>
    </row>
    <row r="156" spans="1:18" x14ac:dyDescent="0.25">
      <c r="A156" s="540">
        <v>322</v>
      </c>
      <c r="B156" s="541" t="s">
        <v>468</v>
      </c>
      <c r="C156" s="542">
        <v>0</v>
      </c>
      <c r="D156" s="542">
        <v>0</v>
      </c>
      <c r="E156" s="542">
        <v>0</v>
      </c>
      <c r="F156" s="543">
        <v>42000</v>
      </c>
      <c r="G156" s="543">
        <f>42000-42000</f>
        <v>0</v>
      </c>
      <c r="H156" s="569">
        <f>42000-42000</f>
        <v>0</v>
      </c>
      <c r="I156" s="542"/>
      <c r="J156" s="466">
        <v>0</v>
      </c>
    </row>
    <row r="157" spans="1:18" x14ac:dyDescent="0.25">
      <c r="A157" s="102">
        <v>322</v>
      </c>
      <c r="B157" s="25" t="s">
        <v>241</v>
      </c>
      <c r="C157" s="331">
        <v>183255</v>
      </c>
      <c r="D157" s="485">
        <f>183255+18815</f>
        <v>202070</v>
      </c>
      <c r="E157" s="335">
        <f>183255+18815</f>
        <v>202070</v>
      </c>
      <c r="F157" s="335">
        <f>183255+18815</f>
        <v>202070</v>
      </c>
      <c r="G157" s="335">
        <f>183255+18815</f>
        <v>202070</v>
      </c>
      <c r="H157" s="335">
        <f>183255+18815</f>
        <v>202070</v>
      </c>
      <c r="I157" s="331">
        <v>0</v>
      </c>
      <c r="J157" s="466">
        <f t="shared" si="67"/>
        <v>0</v>
      </c>
      <c r="O157" s="123"/>
      <c r="P157" s="123"/>
      <c r="Q157" s="123"/>
      <c r="R157" s="123"/>
    </row>
    <row r="158" spans="1:18" x14ac:dyDescent="0.25">
      <c r="A158" s="175">
        <v>322</v>
      </c>
      <c r="B158" s="39" t="s">
        <v>240</v>
      </c>
      <c r="C158" s="330">
        <v>120047</v>
      </c>
      <c r="D158" s="487">
        <f>120047+2253</f>
        <v>122300</v>
      </c>
      <c r="E158" s="333">
        <f>120047+2253</f>
        <v>122300</v>
      </c>
      <c r="F158" s="487">
        <f>120047+2253-55000</f>
        <v>67300</v>
      </c>
      <c r="G158" s="333">
        <f>120047+2253-55000</f>
        <v>67300</v>
      </c>
      <c r="H158" s="333">
        <f>120047+2253-55000</f>
        <v>67300</v>
      </c>
      <c r="I158" s="333">
        <v>0</v>
      </c>
      <c r="J158" s="466">
        <f t="shared" si="67"/>
        <v>0</v>
      </c>
      <c r="M158" s="123"/>
      <c r="N158" s="123"/>
    </row>
    <row r="159" spans="1:18" x14ac:dyDescent="0.25">
      <c r="A159" s="102">
        <v>322</v>
      </c>
      <c r="B159" s="25" t="s">
        <v>160</v>
      </c>
      <c r="C159" s="331">
        <v>121400</v>
      </c>
      <c r="D159" s="485">
        <f>121400-6550</f>
        <v>114850</v>
      </c>
      <c r="E159" s="335">
        <f>121400-6550</f>
        <v>114850</v>
      </c>
      <c r="F159" s="485">
        <f>121400-6550-61200</f>
        <v>53650</v>
      </c>
      <c r="G159" s="335">
        <f>121400-6550-61200</f>
        <v>53650</v>
      </c>
      <c r="H159" s="335">
        <f>121400-6550-61200</f>
        <v>53650</v>
      </c>
      <c r="I159" s="331">
        <v>0</v>
      </c>
      <c r="J159" s="466">
        <f t="shared" si="67"/>
        <v>0</v>
      </c>
    </row>
    <row r="160" spans="1:18" ht="15.75" thickBot="1" x14ac:dyDescent="0.3">
      <c r="A160" s="102">
        <v>322</v>
      </c>
      <c r="B160" s="25" t="s">
        <v>162</v>
      </c>
      <c r="C160" s="331">
        <v>195000</v>
      </c>
      <c r="D160" s="331">
        <v>195000</v>
      </c>
      <c r="E160" s="331">
        <v>195000</v>
      </c>
      <c r="F160" s="485">
        <f>195000-1500</f>
        <v>193500</v>
      </c>
      <c r="G160" s="335">
        <f>195000-1500</f>
        <v>193500</v>
      </c>
      <c r="H160" s="335">
        <f>195000-1500</f>
        <v>193500</v>
      </c>
      <c r="I160" s="331">
        <v>0</v>
      </c>
      <c r="J160" s="466">
        <f t="shared" si="67"/>
        <v>0</v>
      </c>
      <c r="K160" s="123">
        <f>SUM(C156:C160)</f>
        <v>619702</v>
      </c>
      <c r="L160" s="123">
        <f>SUM(D156:D160)</f>
        <v>634220</v>
      </c>
      <c r="M160" s="123">
        <f>SUM(E156:E160)</f>
        <v>634220</v>
      </c>
      <c r="N160" s="123">
        <f>SUM(F156:F160)</f>
        <v>558520</v>
      </c>
    </row>
    <row r="161" spans="1:22" ht="16.5" thickBot="1" x14ac:dyDescent="0.3">
      <c r="A161" s="648" t="s">
        <v>131</v>
      </c>
      <c r="B161" s="649"/>
      <c r="C161" s="328">
        <f t="shared" ref="C161:I161" si="68">SUM(C162:C184)</f>
        <v>1020702</v>
      </c>
      <c r="D161" s="328">
        <f t="shared" si="68"/>
        <v>1035220</v>
      </c>
      <c r="E161" s="328">
        <f t="shared" si="68"/>
        <v>1035220</v>
      </c>
      <c r="F161" s="328">
        <f t="shared" si="68"/>
        <v>1086320</v>
      </c>
      <c r="G161" s="328">
        <f t="shared" si="68"/>
        <v>1044320</v>
      </c>
      <c r="H161" s="328">
        <f t="shared" ref="H161" si="69">SUM(H162:H184)</f>
        <v>1044320</v>
      </c>
      <c r="I161" s="328">
        <f t="shared" si="68"/>
        <v>118839</v>
      </c>
      <c r="J161" s="466">
        <f t="shared" si="67"/>
        <v>0.11379557989888157</v>
      </c>
      <c r="K161" s="123">
        <f>D161-C161</f>
        <v>14518</v>
      </c>
      <c r="L161" s="123">
        <f>E161-D161</f>
        <v>0</v>
      </c>
      <c r="M161" s="123">
        <f>F161-E161</f>
        <v>51100</v>
      </c>
      <c r="N161" s="123">
        <f>G161-F161</f>
        <v>-42000</v>
      </c>
      <c r="O161" s="123">
        <f>H161-G161</f>
        <v>0</v>
      </c>
      <c r="P161" s="123"/>
    </row>
    <row r="162" spans="1:22" x14ac:dyDescent="0.25">
      <c r="A162" s="210" t="s">
        <v>50</v>
      </c>
      <c r="B162" s="211" t="s">
        <v>158</v>
      </c>
      <c r="C162" s="303">
        <v>127047</v>
      </c>
      <c r="D162" s="486">
        <f>127047+2403</f>
        <v>129450</v>
      </c>
      <c r="E162" s="303">
        <f>127047+2403</f>
        <v>129450</v>
      </c>
      <c r="F162" s="303">
        <f>127047+2403</f>
        <v>129450</v>
      </c>
      <c r="G162" s="303">
        <f>127047+2403</f>
        <v>129450</v>
      </c>
      <c r="H162" s="303">
        <f>127047+2403</f>
        <v>129450</v>
      </c>
      <c r="I162" s="303">
        <v>0</v>
      </c>
      <c r="J162" s="466">
        <f t="shared" si="67"/>
        <v>0</v>
      </c>
      <c r="M162" s="123">
        <f>SUM(D162:D164)</f>
        <v>182050</v>
      </c>
      <c r="N162" s="123">
        <f t="shared" ref="N162" si="70">SUM(I162:I164)</f>
        <v>0</v>
      </c>
      <c r="O162" s="123"/>
      <c r="P162" s="123"/>
    </row>
    <row r="163" spans="1:22" x14ac:dyDescent="0.25">
      <c r="A163" s="174" t="s">
        <v>50</v>
      </c>
      <c r="B163" s="152" t="s">
        <v>404</v>
      </c>
      <c r="C163" s="230">
        <v>15000</v>
      </c>
      <c r="D163" s="230">
        <v>15000</v>
      </c>
      <c r="E163" s="488">
        <f>15000+29000</f>
        <v>44000</v>
      </c>
      <c r="F163" s="488">
        <f>15000+29000-6500</f>
        <v>37500</v>
      </c>
      <c r="G163" s="230">
        <f>15000+29000-6500</f>
        <v>37500</v>
      </c>
      <c r="H163" s="230">
        <f>15000+29000-6500</f>
        <v>37500</v>
      </c>
      <c r="I163" s="230">
        <v>0</v>
      </c>
      <c r="J163" s="466">
        <f t="shared" si="67"/>
        <v>0</v>
      </c>
      <c r="N163" s="123"/>
      <c r="O163" s="123"/>
      <c r="P163" s="123"/>
      <c r="Q163" s="123"/>
      <c r="R163" s="123"/>
    </row>
    <row r="164" spans="1:22" ht="15.75" thickBot="1" x14ac:dyDescent="0.3">
      <c r="A164" s="358" t="s">
        <v>50</v>
      </c>
      <c r="B164" s="108" t="s">
        <v>253</v>
      </c>
      <c r="C164" s="228">
        <v>10000</v>
      </c>
      <c r="D164" s="484">
        <f>10000+27600</f>
        <v>37600</v>
      </c>
      <c r="E164" s="484">
        <f>10000+27600-11160</f>
        <v>26440</v>
      </c>
      <c r="F164" s="228">
        <f>10000+27600-11160</f>
        <v>26440</v>
      </c>
      <c r="G164" s="228">
        <f>10000+27600-11160</f>
        <v>26440</v>
      </c>
      <c r="H164" s="228">
        <f>10000+27600-11160</f>
        <v>26440</v>
      </c>
      <c r="I164" s="228">
        <v>0</v>
      </c>
      <c r="J164" s="466">
        <f t="shared" si="67"/>
        <v>0</v>
      </c>
      <c r="L164" s="123">
        <f>SUM(C162:C164)</f>
        <v>152047</v>
      </c>
      <c r="M164" s="123"/>
      <c r="N164" s="123"/>
      <c r="O164" s="123"/>
      <c r="P164" s="123"/>
    </row>
    <row r="165" spans="1:22" x14ac:dyDescent="0.25">
      <c r="A165" s="210" t="s">
        <v>62</v>
      </c>
      <c r="B165" s="211" t="s">
        <v>254</v>
      </c>
      <c r="C165" s="303">
        <v>10000</v>
      </c>
      <c r="D165" s="486">
        <f>10000+20000</f>
        <v>30000</v>
      </c>
      <c r="E165" s="303">
        <f>10000+20000</f>
        <v>30000</v>
      </c>
      <c r="F165" s="303">
        <f>10000+20000</f>
        <v>30000</v>
      </c>
      <c r="G165" s="303">
        <f>10000+20000</f>
        <v>30000</v>
      </c>
      <c r="H165" s="303">
        <f>10000+20000</f>
        <v>30000</v>
      </c>
      <c r="I165" s="303">
        <v>0</v>
      </c>
      <c r="J165" s="466">
        <f t="shared" si="67"/>
        <v>0</v>
      </c>
      <c r="N165" s="123"/>
      <c r="Q165" s="123"/>
      <c r="R165" s="123"/>
      <c r="S165" s="123"/>
    </row>
    <row r="166" spans="1:22" ht="15.75" thickBot="1" x14ac:dyDescent="0.3">
      <c r="A166" s="357" t="s">
        <v>64</v>
      </c>
      <c r="B166" s="130" t="s">
        <v>465</v>
      </c>
      <c r="C166" s="231">
        <v>0</v>
      </c>
      <c r="D166" s="231">
        <v>0</v>
      </c>
      <c r="E166" s="231">
        <v>0</v>
      </c>
      <c r="F166" s="489">
        <v>45000</v>
      </c>
      <c r="G166" s="489">
        <f>45000-45000</f>
        <v>0</v>
      </c>
      <c r="H166" s="231">
        <f>45000-45000</f>
        <v>0</v>
      </c>
      <c r="I166" s="231">
        <v>0</v>
      </c>
      <c r="J166" s="466">
        <v>0</v>
      </c>
      <c r="N166" s="123"/>
    </row>
    <row r="167" spans="1:22" x14ac:dyDescent="0.25">
      <c r="A167" s="129" t="s">
        <v>69</v>
      </c>
      <c r="B167" s="76" t="s">
        <v>186</v>
      </c>
      <c r="C167" s="229">
        <v>6870</v>
      </c>
      <c r="D167" s="229">
        <v>6870</v>
      </c>
      <c r="E167" s="229">
        <v>6870</v>
      </c>
      <c r="F167" s="229">
        <v>6870</v>
      </c>
      <c r="G167" s="229">
        <v>6870</v>
      </c>
      <c r="H167" s="229">
        <v>6870</v>
      </c>
      <c r="I167" s="229">
        <v>0</v>
      </c>
      <c r="J167" s="466">
        <f t="shared" si="67"/>
        <v>0</v>
      </c>
    </row>
    <row r="168" spans="1:22" ht="15.75" thickBot="1" x14ac:dyDescent="0.3">
      <c r="A168" s="358" t="s">
        <v>71</v>
      </c>
      <c r="B168" s="108" t="s">
        <v>255</v>
      </c>
      <c r="C168" s="228">
        <v>30000</v>
      </c>
      <c r="D168" s="484">
        <f>30000-25000</f>
        <v>5000</v>
      </c>
      <c r="E168" s="228">
        <f>30000-25000</f>
        <v>5000</v>
      </c>
      <c r="F168" s="228">
        <f>30000-25000</f>
        <v>5000</v>
      </c>
      <c r="G168" s="228">
        <f>30000-25000</f>
        <v>5000</v>
      </c>
      <c r="H168" s="228">
        <f>30000-25000</f>
        <v>5000</v>
      </c>
      <c r="I168" s="228">
        <v>0</v>
      </c>
      <c r="J168" s="466">
        <f t="shared" si="67"/>
        <v>0</v>
      </c>
      <c r="K168" s="123"/>
      <c r="L168" s="123"/>
      <c r="N168" s="123"/>
    </row>
    <row r="169" spans="1:22" x14ac:dyDescent="0.25">
      <c r="A169" s="174" t="s">
        <v>77</v>
      </c>
      <c r="B169" s="133" t="s">
        <v>164</v>
      </c>
      <c r="C169" s="230">
        <v>206000</v>
      </c>
      <c r="D169" s="230">
        <v>206000</v>
      </c>
      <c r="E169" s="230">
        <v>206000</v>
      </c>
      <c r="F169" s="488">
        <f>206000-2300</f>
        <v>203700</v>
      </c>
      <c r="G169" s="230">
        <f>206000-2300</f>
        <v>203700</v>
      </c>
      <c r="H169" s="230">
        <f>206000-2300</f>
        <v>203700</v>
      </c>
      <c r="I169" s="230">
        <v>0</v>
      </c>
      <c r="J169" s="466">
        <f t="shared" si="67"/>
        <v>0</v>
      </c>
      <c r="K169" s="123"/>
      <c r="L169" s="123"/>
      <c r="N169" s="123"/>
    </row>
    <row r="170" spans="1:22" ht="15.75" thickBot="1" x14ac:dyDescent="0.3">
      <c r="A170" s="173" t="s">
        <v>81</v>
      </c>
      <c r="B170" s="134" t="s">
        <v>195</v>
      </c>
      <c r="C170" s="231">
        <v>10000</v>
      </c>
      <c r="D170" s="231">
        <v>10000</v>
      </c>
      <c r="E170" s="231">
        <v>10000</v>
      </c>
      <c r="F170" s="231">
        <v>10000</v>
      </c>
      <c r="G170" s="231">
        <v>10000</v>
      </c>
      <c r="H170" s="231">
        <v>10000</v>
      </c>
      <c r="I170" s="231">
        <v>0</v>
      </c>
      <c r="J170" s="466">
        <f t="shared" si="67"/>
        <v>0</v>
      </c>
      <c r="N170" s="123"/>
      <c r="P170" s="123"/>
      <c r="U170" s="123"/>
      <c r="V170" s="123"/>
    </row>
    <row r="171" spans="1:22" x14ac:dyDescent="0.25">
      <c r="A171" s="146" t="s">
        <v>132</v>
      </c>
      <c r="B171" s="147" t="s">
        <v>159</v>
      </c>
      <c r="C171" s="232">
        <v>6000</v>
      </c>
      <c r="D171" s="232">
        <v>6000</v>
      </c>
      <c r="E171" s="232">
        <v>6000</v>
      </c>
      <c r="F171" s="232">
        <v>6000</v>
      </c>
      <c r="G171" s="232">
        <v>6000</v>
      </c>
      <c r="H171" s="232">
        <v>6000</v>
      </c>
      <c r="I171" s="232">
        <v>0</v>
      </c>
      <c r="J171" s="466">
        <f t="shared" si="67"/>
        <v>0</v>
      </c>
      <c r="N171" s="123"/>
      <c r="O171" s="123"/>
      <c r="Q171" s="123"/>
    </row>
    <row r="172" spans="1:22" ht="15.75" customHeight="1" x14ac:dyDescent="0.25">
      <c r="A172" s="188" t="s">
        <v>132</v>
      </c>
      <c r="B172" s="133" t="s">
        <v>215</v>
      </c>
      <c r="C172" s="230">
        <v>75730</v>
      </c>
      <c r="D172" s="488">
        <f>75730-9060</f>
        <v>66670</v>
      </c>
      <c r="E172" s="230">
        <f>75730-9060-17840</f>
        <v>48830</v>
      </c>
      <c r="F172" s="488">
        <f>75730-9060-17840+9800</f>
        <v>58630</v>
      </c>
      <c r="G172" s="488">
        <f>75730-9060-17840+9800+3000</f>
        <v>61630</v>
      </c>
      <c r="H172" s="230">
        <f>75730-9060-17840+9800+3000</f>
        <v>61630</v>
      </c>
      <c r="I172" s="230">
        <v>5087</v>
      </c>
      <c r="J172" s="466">
        <f t="shared" si="67"/>
        <v>8.2540970306668834E-2</v>
      </c>
      <c r="K172" s="123"/>
      <c r="N172" s="123"/>
    </row>
    <row r="173" spans="1:22" ht="15.75" customHeight="1" x14ac:dyDescent="0.25">
      <c r="A173" s="188" t="s">
        <v>83</v>
      </c>
      <c r="B173" s="133" t="s">
        <v>219</v>
      </c>
      <c r="C173" s="230">
        <v>2000</v>
      </c>
      <c r="D173" s="230">
        <v>2000</v>
      </c>
      <c r="E173" s="230">
        <v>2000</v>
      </c>
      <c r="F173" s="230">
        <v>2000</v>
      </c>
      <c r="G173" s="230">
        <v>2000</v>
      </c>
      <c r="H173" s="230">
        <v>2000</v>
      </c>
      <c r="I173" s="230">
        <v>0</v>
      </c>
      <c r="J173" s="466">
        <f t="shared" si="67"/>
        <v>0</v>
      </c>
      <c r="K173" s="123"/>
    </row>
    <row r="174" spans="1:22" x14ac:dyDescent="0.25">
      <c r="A174" s="188" t="s">
        <v>83</v>
      </c>
      <c r="B174" s="133" t="s">
        <v>256</v>
      </c>
      <c r="C174" s="230">
        <v>10000</v>
      </c>
      <c r="D174" s="230">
        <v>10000</v>
      </c>
      <c r="E174" s="230">
        <v>10000</v>
      </c>
      <c r="F174" s="230">
        <v>10000</v>
      </c>
      <c r="G174" s="230">
        <v>10000</v>
      </c>
      <c r="H174" s="230">
        <v>10000</v>
      </c>
      <c r="I174" s="230">
        <v>0</v>
      </c>
      <c r="J174" s="466">
        <f t="shared" si="67"/>
        <v>0</v>
      </c>
      <c r="K174" s="123"/>
    </row>
    <row r="175" spans="1:22" ht="15" customHeight="1" x14ac:dyDescent="0.25">
      <c r="A175" s="188" t="s">
        <v>83</v>
      </c>
      <c r="B175" s="133" t="s">
        <v>221</v>
      </c>
      <c r="C175" s="230">
        <v>47000</v>
      </c>
      <c r="D175" s="488">
        <f>47000-12270</f>
        <v>34730</v>
      </c>
      <c r="E175" s="230">
        <f>47000-12270</f>
        <v>34730</v>
      </c>
      <c r="F175" s="488">
        <f>47000-12270+1800</f>
        <v>36530</v>
      </c>
      <c r="G175" s="230">
        <f>47000-12270+1800</f>
        <v>36530</v>
      </c>
      <c r="H175" s="230">
        <f>47000-12270+1800</f>
        <v>36530</v>
      </c>
      <c r="I175" s="230">
        <v>34721</v>
      </c>
      <c r="J175" s="466">
        <f t="shared" si="67"/>
        <v>0.95047905830823975</v>
      </c>
      <c r="K175" s="123"/>
      <c r="L175" s="123"/>
    </row>
    <row r="176" spans="1:22" ht="16.5" customHeight="1" thickBot="1" x14ac:dyDescent="0.3">
      <c r="A176" s="145" t="s">
        <v>85</v>
      </c>
      <c r="B176" s="131" t="s">
        <v>194</v>
      </c>
      <c r="C176" s="228">
        <v>10000</v>
      </c>
      <c r="D176" s="228">
        <v>10000</v>
      </c>
      <c r="E176" s="228">
        <v>10000</v>
      </c>
      <c r="F176" s="228">
        <v>10000</v>
      </c>
      <c r="G176" s="228">
        <v>10000</v>
      </c>
      <c r="H176" s="228">
        <v>10000</v>
      </c>
      <c r="I176" s="228">
        <v>0</v>
      </c>
      <c r="J176" s="466">
        <f t="shared" si="67"/>
        <v>0</v>
      </c>
      <c r="P176" s="123"/>
      <c r="U176" s="123"/>
      <c r="V176" s="123"/>
    </row>
    <row r="177" spans="1:22" x14ac:dyDescent="0.25">
      <c r="A177" s="149" t="s">
        <v>97</v>
      </c>
      <c r="B177" s="106" t="s">
        <v>171</v>
      </c>
      <c r="C177" s="229">
        <v>31000</v>
      </c>
      <c r="D177" s="229">
        <v>31000</v>
      </c>
      <c r="E177" s="229">
        <v>31000</v>
      </c>
      <c r="F177" s="229">
        <v>31000</v>
      </c>
      <c r="G177" s="229">
        <v>31000</v>
      </c>
      <c r="H177" s="229">
        <v>31000</v>
      </c>
      <c r="I177" s="229">
        <v>0</v>
      </c>
      <c r="J177" s="466">
        <f t="shared" si="67"/>
        <v>0</v>
      </c>
      <c r="P177" s="123"/>
      <c r="Q177" s="123"/>
      <c r="R177" s="123"/>
      <c r="S177" s="123"/>
      <c r="T177" s="123"/>
      <c r="U177" s="123"/>
      <c r="V177" s="123"/>
    </row>
    <row r="178" spans="1:22" x14ac:dyDescent="0.25">
      <c r="A178" s="148" t="s">
        <v>97</v>
      </c>
      <c r="B178" s="105" t="s">
        <v>193</v>
      </c>
      <c r="C178" s="233">
        <v>20000</v>
      </c>
      <c r="D178" s="233">
        <v>20000</v>
      </c>
      <c r="E178" s="233">
        <v>20000</v>
      </c>
      <c r="F178" s="233">
        <v>20000</v>
      </c>
      <c r="G178" s="233">
        <v>20000</v>
      </c>
      <c r="H178" s="233">
        <v>20000</v>
      </c>
      <c r="I178" s="233">
        <v>0</v>
      </c>
      <c r="J178" s="466">
        <f t="shared" si="67"/>
        <v>0</v>
      </c>
      <c r="N178" s="123"/>
      <c r="O178" s="123"/>
    </row>
    <row r="179" spans="1:22" x14ac:dyDescent="0.25">
      <c r="A179" s="148" t="s">
        <v>97</v>
      </c>
      <c r="B179" s="105" t="s">
        <v>507</v>
      </c>
      <c r="C179" s="233">
        <v>0</v>
      </c>
      <c r="D179" s="233">
        <v>0</v>
      </c>
      <c r="E179" s="233">
        <v>0</v>
      </c>
      <c r="F179" s="554">
        <v>3300</v>
      </c>
      <c r="G179" s="233">
        <v>3300</v>
      </c>
      <c r="H179" s="233">
        <v>3300</v>
      </c>
      <c r="I179" s="233">
        <v>3300</v>
      </c>
      <c r="J179" s="466">
        <f t="shared" si="67"/>
        <v>1</v>
      </c>
      <c r="N179" s="123"/>
    </row>
    <row r="180" spans="1:22" x14ac:dyDescent="0.25">
      <c r="A180" s="151" t="s">
        <v>102</v>
      </c>
      <c r="B180" s="152" t="s">
        <v>373</v>
      </c>
      <c r="C180" s="230">
        <v>45000</v>
      </c>
      <c r="D180" s="230">
        <v>45000</v>
      </c>
      <c r="E180" s="230">
        <v>45000</v>
      </c>
      <c r="F180" s="230">
        <v>45000</v>
      </c>
      <c r="G180" s="230">
        <v>45000</v>
      </c>
      <c r="H180" s="230">
        <v>45000</v>
      </c>
      <c r="I180" s="230">
        <v>0</v>
      </c>
      <c r="J180" s="466">
        <f t="shared" si="67"/>
        <v>0</v>
      </c>
      <c r="K180" s="123"/>
      <c r="L180" s="123"/>
    </row>
    <row r="181" spans="1:22" ht="15.75" thickBot="1" x14ac:dyDescent="0.3">
      <c r="A181" s="153" t="s">
        <v>102</v>
      </c>
      <c r="B181" s="130" t="s">
        <v>342</v>
      </c>
      <c r="C181" s="231">
        <v>35000</v>
      </c>
      <c r="D181" s="231">
        <v>35000</v>
      </c>
      <c r="E181" s="231">
        <v>35000</v>
      </c>
      <c r="F181" s="231">
        <v>35000</v>
      </c>
      <c r="G181" s="231">
        <v>35000</v>
      </c>
      <c r="H181" s="231">
        <v>35000</v>
      </c>
      <c r="I181" s="231">
        <v>0</v>
      </c>
      <c r="J181" s="466">
        <f t="shared" si="67"/>
        <v>0</v>
      </c>
    </row>
    <row r="182" spans="1:22" x14ac:dyDescent="0.25">
      <c r="A182" s="213" t="s">
        <v>106</v>
      </c>
      <c r="B182" s="211" t="s">
        <v>165</v>
      </c>
      <c r="C182" s="303">
        <v>127800</v>
      </c>
      <c r="D182" s="486">
        <f>127800-800</f>
        <v>127000</v>
      </c>
      <c r="E182" s="303">
        <f>127800-800</f>
        <v>127000</v>
      </c>
      <c r="F182" s="303">
        <f>127800-800</f>
        <v>127000</v>
      </c>
      <c r="G182" s="303">
        <f>127800-800</f>
        <v>127000</v>
      </c>
      <c r="H182" s="303">
        <f>127800-800</f>
        <v>127000</v>
      </c>
      <c r="I182" s="303">
        <v>73343</v>
      </c>
      <c r="J182" s="466">
        <f t="shared" si="67"/>
        <v>0.57750393700787406</v>
      </c>
    </row>
    <row r="183" spans="1:22" ht="15" customHeight="1" thickBot="1" x14ac:dyDescent="0.3">
      <c r="A183" s="153" t="s">
        <v>115</v>
      </c>
      <c r="B183" s="130" t="s">
        <v>246</v>
      </c>
      <c r="C183" s="231">
        <v>3000</v>
      </c>
      <c r="D183" s="489">
        <f>3000+600</f>
        <v>3600</v>
      </c>
      <c r="E183" s="231">
        <f>3000+600</f>
        <v>3600</v>
      </c>
      <c r="F183" s="231">
        <f>3000+600</f>
        <v>3600</v>
      </c>
      <c r="G183" s="231">
        <f>3000+600</f>
        <v>3600</v>
      </c>
      <c r="H183" s="231">
        <f>3000+600</f>
        <v>3600</v>
      </c>
      <c r="I183" s="231">
        <v>2388</v>
      </c>
      <c r="J183" s="466">
        <f t="shared" si="67"/>
        <v>0.66333333333333333</v>
      </c>
      <c r="K183" s="123"/>
      <c r="L183" s="123"/>
      <c r="P183" s="123"/>
      <c r="Q183" s="123"/>
    </row>
    <row r="184" spans="1:22" ht="15.75" thickBot="1" x14ac:dyDescent="0.3">
      <c r="A184" s="356" t="s">
        <v>248</v>
      </c>
      <c r="B184" s="108" t="s">
        <v>247</v>
      </c>
      <c r="C184" s="228">
        <v>193255</v>
      </c>
      <c r="D184" s="484">
        <f>193255+11045</f>
        <v>204300</v>
      </c>
      <c r="E184" s="228">
        <f>193255+11045</f>
        <v>204300</v>
      </c>
      <c r="F184" s="228">
        <f>193255+11045</f>
        <v>204300</v>
      </c>
      <c r="G184" s="228">
        <f>193255+11045</f>
        <v>204300</v>
      </c>
      <c r="H184" s="228">
        <f>193255+11045</f>
        <v>204300</v>
      </c>
      <c r="I184" s="228">
        <v>0</v>
      </c>
      <c r="J184" s="466">
        <f t="shared" si="67"/>
        <v>0</v>
      </c>
      <c r="O184" s="123"/>
      <c r="P184" s="123"/>
    </row>
    <row r="185" spans="1:22" ht="15" customHeight="1" x14ac:dyDescent="0.25">
      <c r="A185" s="155"/>
      <c r="B185" s="156"/>
      <c r="C185" s="79"/>
      <c r="D185" s="79"/>
      <c r="E185" s="79"/>
      <c r="F185" s="79"/>
      <c r="G185" s="79"/>
      <c r="H185" s="79"/>
      <c r="I185" s="79"/>
      <c r="J185" s="81"/>
      <c r="N185" s="123"/>
      <c r="O185" s="123"/>
      <c r="P185" s="123"/>
      <c r="U185" s="123"/>
      <c r="V185" s="123"/>
    </row>
    <row r="186" spans="1:22" x14ac:dyDescent="0.25">
      <c r="A186" s="154"/>
      <c r="B186" s="80"/>
      <c r="C186" s="81"/>
      <c r="D186" s="81"/>
      <c r="E186" s="81"/>
      <c r="F186" s="81"/>
      <c r="G186" s="81"/>
      <c r="H186" s="81"/>
      <c r="I186" s="81"/>
      <c r="M186" s="123"/>
      <c r="N186" s="123"/>
      <c r="Q186" s="123"/>
      <c r="R186" s="123"/>
      <c r="S186" s="123"/>
      <c r="T186" s="123"/>
    </row>
    <row r="187" spans="1:22" ht="18.75" thickBot="1" x14ac:dyDescent="0.3">
      <c r="A187" s="650" t="s">
        <v>133</v>
      </c>
      <c r="B187" s="651"/>
      <c r="C187" s="651"/>
      <c r="D187" s="651"/>
      <c r="E187" s="651"/>
      <c r="F187" s="651"/>
      <c r="G187" s="651"/>
      <c r="H187" s="651"/>
      <c r="I187" s="651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</row>
    <row r="188" spans="1:22" ht="15.75" customHeight="1" x14ac:dyDescent="0.25">
      <c r="A188" s="644" t="s">
        <v>1</v>
      </c>
      <c r="B188" s="645"/>
      <c r="C188" s="638" t="s">
        <v>323</v>
      </c>
      <c r="D188" s="638" t="s">
        <v>322</v>
      </c>
      <c r="E188" s="638" t="s">
        <v>408</v>
      </c>
      <c r="F188" s="638" t="s">
        <v>413</v>
      </c>
      <c r="G188" s="638" t="s">
        <v>510</v>
      </c>
      <c r="H188" s="638" t="s">
        <v>546</v>
      </c>
      <c r="I188" s="638" t="s">
        <v>555</v>
      </c>
      <c r="J188" s="640" t="s">
        <v>352</v>
      </c>
      <c r="N188" s="123"/>
      <c r="O188" s="123"/>
      <c r="P188" s="123"/>
    </row>
    <row r="189" spans="1:22" ht="15" customHeight="1" thickBot="1" x14ac:dyDescent="0.3">
      <c r="A189" s="646"/>
      <c r="B189" s="647"/>
      <c r="C189" s="639"/>
      <c r="D189" s="639"/>
      <c r="E189" s="639"/>
      <c r="F189" s="639"/>
      <c r="G189" s="639"/>
      <c r="H189" s="639"/>
      <c r="I189" s="639"/>
      <c r="J189" s="641"/>
      <c r="K189" s="123"/>
      <c r="L189" s="123"/>
      <c r="M189" s="123"/>
      <c r="N189" s="123"/>
      <c r="P189" s="123"/>
    </row>
    <row r="190" spans="1:22" ht="16.5" thickBot="1" x14ac:dyDescent="0.3">
      <c r="A190" s="82" t="s">
        <v>134</v>
      </c>
      <c r="B190" s="83"/>
      <c r="C190" s="84">
        <f t="shared" ref="C190:I190" si="71">SUM(C191:C195)</f>
        <v>402140</v>
      </c>
      <c r="D190" s="84">
        <f t="shared" si="71"/>
        <v>402140</v>
      </c>
      <c r="E190" s="84">
        <f t="shared" si="71"/>
        <v>402140</v>
      </c>
      <c r="F190" s="84">
        <f t="shared" ref="F190:G190" si="72">SUM(F191:F195)</f>
        <v>523640</v>
      </c>
      <c r="G190" s="84">
        <f t="shared" si="72"/>
        <v>523640</v>
      </c>
      <c r="H190" s="84">
        <f t="shared" ref="H190" si="73">SUM(H191:H195)</f>
        <v>523640</v>
      </c>
      <c r="I190" s="84">
        <f t="shared" si="71"/>
        <v>116865</v>
      </c>
      <c r="J190" s="466">
        <f>I190/H190</f>
        <v>0.22317813765182187</v>
      </c>
      <c r="K190" s="123">
        <f>D190-C190</f>
        <v>0</v>
      </c>
      <c r="L190" s="123">
        <f>E190-D190</f>
        <v>0</v>
      </c>
      <c r="M190" s="123">
        <f>F190-E190</f>
        <v>121500</v>
      </c>
      <c r="N190" s="123">
        <f>G190-F190</f>
        <v>0</v>
      </c>
      <c r="O190" s="123">
        <f>H190-G190</f>
        <v>0</v>
      </c>
    </row>
    <row r="191" spans="1:22" ht="15" customHeight="1" x14ac:dyDescent="0.25">
      <c r="A191" s="158">
        <v>453</v>
      </c>
      <c r="B191" s="159" t="s">
        <v>355</v>
      </c>
      <c r="C191" s="172">
        <v>1000</v>
      </c>
      <c r="D191" s="172">
        <v>1000</v>
      </c>
      <c r="E191" s="172">
        <v>1000</v>
      </c>
      <c r="F191" s="172">
        <v>1000</v>
      </c>
      <c r="G191" s="172">
        <v>1000</v>
      </c>
      <c r="H191" s="172">
        <v>1000</v>
      </c>
      <c r="I191" s="172">
        <v>480</v>
      </c>
      <c r="J191" s="466">
        <f t="shared" ref="J191:J199" si="74">I191/H191</f>
        <v>0.48</v>
      </c>
      <c r="M191" s="123"/>
      <c r="N191" s="123"/>
    </row>
    <row r="192" spans="1:22" ht="15.75" customHeight="1" x14ac:dyDescent="0.25">
      <c r="A192" s="158">
        <v>453</v>
      </c>
      <c r="B192" s="159" t="s">
        <v>330</v>
      </c>
      <c r="C192" s="172">
        <v>1000</v>
      </c>
      <c r="D192" s="172">
        <v>1000</v>
      </c>
      <c r="E192" s="172">
        <v>1000</v>
      </c>
      <c r="F192" s="172">
        <v>1000</v>
      </c>
      <c r="G192" s="172">
        <v>1000</v>
      </c>
      <c r="H192" s="172">
        <v>1000</v>
      </c>
      <c r="I192" s="172">
        <f>444+390</f>
        <v>834</v>
      </c>
      <c r="J192" s="466">
        <f t="shared" si="74"/>
        <v>0.83399999999999996</v>
      </c>
      <c r="L192" s="123">
        <f>SUM(C191:C192)</f>
        <v>2000</v>
      </c>
      <c r="M192" s="123">
        <f>SUM(D191:D192)</f>
        <v>2000</v>
      </c>
      <c r="N192" s="123">
        <f>SUM(E191:E192)</f>
        <v>2000</v>
      </c>
      <c r="O192" s="123">
        <f>SUM(F191:F192)</f>
        <v>2000</v>
      </c>
    </row>
    <row r="193" spans="1:16" x14ac:dyDescent="0.25">
      <c r="A193" s="157">
        <v>454</v>
      </c>
      <c r="B193" s="126" t="s">
        <v>135</v>
      </c>
      <c r="C193" s="171">
        <v>100000</v>
      </c>
      <c r="D193" s="171">
        <v>100000</v>
      </c>
      <c r="E193" s="171">
        <v>100000</v>
      </c>
      <c r="F193" s="460">
        <f>100000+121500</f>
        <v>221500</v>
      </c>
      <c r="G193" s="171">
        <f>100000+121500</f>
        <v>221500</v>
      </c>
      <c r="H193" s="171">
        <f>100000+121500</f>
        <v>221500</v>
      </c>
      <c r="I193" s="171">
        <v>115539</v>
      </c>
      <c r="J193" s="466">
        <f t="shared" si="74"/>
        <v>0.52162076749435671</v>
      </c>
      <c r="L193" s="123"/>
    </row>
    <row r="194" spans="1:16" ht="15.75" thickBot="1" x14ac:dyDescent="0.3">
      <c r="A194" s="225">
        <v>456</v>
      </c>
      <c r="B194" s="226" t="s">
        <v>204</v>
      </c>
      <c r="C194" s="227">
        <v>140</v>
      </c>
      <c r="D194" s="227">
        <v>140</v>
      </c>
      <c r="E194" s="227">
        <v>140</v>
      </c>
      <c r="F194" s="227">
        <v>140</v>
      </c>
      <c r="G194" s="227">
        <v>140</v>
      </c>
      <c r="H194" s="227">
        <v>140</v>
      </c>
      <c r="I194" s="227">
        <v>12</v>
      </c>
      <c r="J194" s="466">
        <f t="shared" si="74"/>
        <v>8.5714285714285715E-2</v>
      </c>
      <c r="K194" s="89"/>
      <c r="L194" s="123">
        <f>SUM(C191:C194)</f>
        <v>102140</v>
      </c>
      <c r="M194" s="123">
        <f>SUM(D191:D194)</f>
        <v>102140</v>
      </c>
      <c r="N194" s="123">
        <f>SUM(E191:E194)</f>
        <v>102140</v>
      </c>
      <c r="O194" s="123">
        <f>SUM(F191:F194)</f>
        <v>223640</v>
      </c>
      <c r="P194" s="123"/>
    </row>
    <row r="195" spans="1:16" ht="15.75" thickBot="1" x14ac:dyDescent="0.3">
      <c r="A195" s="222">
        <v>513</v>
      </c>
      <c r="B195" s="223" t="s">
        <v>137</v>
      </c>
      <c r="C195" s="224">
        <v>300000</v>
      </c>
      <c r="D195" s="224">
        <v>300000</v>
      </c>
      <c r="E195" s="224">
        <v>300000</v>
      </c>
      <c r="F195" s="224">
        <v>300000</v>
      </c>
      <c r="G195" s="224">
        <v>300000</v>
      </c>
      <c r="H195" s="224">
        <v>300000</v>
      </c>
      <c r="I195" s="224">
        <v>0</v>
      </c>
      <c r="J195" s="466">
        <f t="shared" si="74"/>
        <v>0</v>
      </c>
      <c r="K195" s="123"/>
    </row>
    <row r="196" spans="1:16" ht="16.5" thickBot="1" x14ac:dyDescent="0.3">
      <c r="A196" s="82" t="s">
        <v>138</v>
      </c>
      <c r="B196" s="83"/>
      <c r="C196" s="84">
        <f t="shared" ref="C196:I196" si="75">SUM(C197:C199)</f>
        <v>10940</v>
      </c>
      <c r="D196" s="84">
        <f t="shared" si="75"/>
        <v>11000</v>
      </c>
      <c r="E196" s="84">
        <f t="shared" si="75"/>
        <v>11000</v>
      </c>
      <c r="F196" s="84">
        <f t="shared" si="75"/>
        <v>11000</v>
      </c>
      <c r="G196" s="84">
        <f t="shared" si="75"/>
        <v>11000</v>
      </c>
      <c r="H196" s="84">
        <f t="shared" ref="H196" si="76">SUM(H197:H199)</f>
        <v>11000</v>
      </c>
      <c r="I196" s="84">
        <f t="shared" si="75"/>
        <v>511</v>
      </c>
      <c r="J196" s="466">
        <f t="shared" si="74"/>
        <v>4.6454545454545457E-2</v>
      </c>
      <c r="K196" s="123">
        <f>D196-C196</f>
        <v>60</v>
      </c>
      <c r="L196" s="123">
        <f>E196-D196</f>
        <v>0</v>
      </c>
      <c r="M196" s="123">
        <f>F196-E196</f>
        <v>0</v>
      </c>
      <c r="N196" s="123">
        <f>G196-F196</f>
        <v>0</v>
      </c>
      <c r="O196" s="123">
        <f>H196-G196</f>
        <v>0</v>
      </c>
    </row>
    <row r="197" spans="1:16" x14ac:dyDescent="0.25">
      <c r="A197" s="206">
        <v>819</v>
      </c>
      <c r="B197" s="85" t="s">
        <v>203</v>
      </c>
      <c r="C197" s="86">
        <v>140</v>
      </c>
      <c r="D197" s="86">
        <v>140</v>
      </c>
      <c r="E197" s="86">
        <v>140</v>
      </c>
      <c r="F197" s="86">
        <v>140</v>
      </c>
      <c r="G197" s="86">
        <v>140</v>
      </c>
      <c r="H197" s="86">
        <v>140</v>
      </c>
      <c r="I197" s="86">
        <v>12</v>
      </c>
      <c r="J197" s="466">
        <f t="shared" si="74"/>
        <v>8.5714285714285715E-2</v>
      </c>
    </row>
    <row r="198" spans="1:16" ht="15" customHeight="1" x14ac:dyDescent="0.25">
      <c r="A198" s="207">
        <v>821</v>
      </c>
      <c r="B198" s="208" t="s">
        <v>206</v>
      </c>
      <c r="C198" s="169">
        <v>10000</v>
      </c>
      <c r="D198" s="169">
        <v>10000</v>
      </c>
      <c r="E198" s="169">
        <v>10000</v>
      </c>
      <c r="F198" s="169">
        <v>10000</v>
      </c>
      <c r="G198" s="169">
        <v>10000</v>
      </c>
      <c r="H198" s="169">
        <v>10000</v>
      </c>
      <c r="I198" s="169">
        <v>0</v>
      </c>
      <c r="J198" s="466">
        <f t="shared" si="74"/>
        <v>0</v>
      </c>
    </row>
    <row r="199" spans="1:16" ht="15.75" thickBot="1" x14ac:dyDescent="0.3">
      <c r="A199" s="339">
        <v>821</v>
      </c>
      <c r="B199" s="87" t="s">
        <v>139</v>
      </c>
      <c r="C199" s="42">
        <v>800</v>
      </c>
      <c r="D199" s="454">
        <v>860</v>
      </c>
      <c r="E199" s="50">
        <v>860</v>
      </c>
      <c r="F199" s="50">
        <v>860</v>
      </c>
      <c r="G199" s="50">
        <v>860</v>
      </c>
      <c r="H199" s="50">
        <v>860</v>
      </c>
      <c r="I199" s="42">
        <v>499</v>
      </c>
      <c r="J199" s="466">
        <f t="shared" si="74"/>
        <v>0.58023255813953489</v>
      </c>
    </row>
    <row r="200" spans="1:16" ht="15" customHeight="1" x14ac:dyDescent="0.25">
      <c r="A200" s="154"/>
      <c r="B200" s="88"/>
      <c r="C200" s="89"/>
      <c r="D200" s="89"/>
      <c r="E200" s="89"/>
      <c r="F200" s="89"/>
      <c r="G200" s="89"/>
      <c r="H200" s="89"/>
      <c r="I200" s="89"/>
      <c r="J200" s="156"/>
    </row>
    <row r="201" spans="1:16" ht="63" customHeight="1" x14ac:dyDescent="0.25">
      <c r="A201" s="33"/>
      <c r="B201" s="156"/>
      <c r="C201" s="156"/>
      <c r="D201" s="156"/>
      <c r="E201" s="156"/>
      <c r="F201" s="156"/>
      <c r="G201" s="156"/>
      <c r="H201" s="156"/>
      <c r="I201" s="156"/>
    </row>
    <row r="202" spans="1:16" ht="18.75" thickBot="1" x14ac:dyDescent="0.3">
      <c r="A202" s="642" t="s">
        <v>140</v>
      </c>
      <c r="B202" s="643"/>
      <c r="C202" s="643"/>
      <c r="D202" s="643"/>
      <c r="E202" s="643"/>
      <c r="F202" s="643"/>
      <c r="G202" s="643"/>
      <c r="H202" s="643"/>
      <c r="I202" s="643"/>
    </row>
    <row r="203" spans="1:16" ht="15" customHeight="1" x14ac:dyDescent="0.25">
      <c r="A203" s="644" t="s">
        <v>1</v>
      </c>
      <c r="B203" s="645"/>
      <c r="C203" s="638" t="s">
        <v>323</v>
      </c>
      <c r="D203" s="638" t="s">
        <v>322</v>
      </c>
      <c r="E203" s="638" t="s">
        <v>408</v>
      </c>
      <c r="F203" s="638" t="s">
        <v>413</v>
      </c>
      <c r="G203" s="638" t="s">
        <v>510</v>
      </c>
      <c r="H203" s="638" t="s">
        <v>546</v>
      </c>
      <c r="I203" s="638" t="s">
        <v>555</v>
      </c>
    </row>
    <row r="204" spans="1:16" ht="15.75" thickBot="1" x14ac:dyDescent="0.3">
      <c r="A204" s="646"/>
      <c r="B204" s="647"/>
      <c r="C204" s="639"/>
      <c r="D204" s="639"/>
      <c r="E204" s="639"/>
      <c r="F204" s="639"/>
      <c r="G204" s="639"/>
      <c r="H204" s="639"/>
      <c r="I204" s="639"/>
    </row>
    <row r="205" spans="1:16" ht="15.75" x14ac:dyDescent="0.25">
      <c r="A205" s="90" t="s">
        <v>141</v>
      </c>
      <c r="B205" s="120"/>
      <c r="C205" s="91">
        <f t="shared" ref="C205:I205" si="77">C78</f>
        <v>2160910</v>
      </c>
      <c r="D205" s="91">
        <f t="shared" si="77"/>
        <v>2204460</v>
      </c>
      <c r="E205" s="91">
        <f t="shared" si="77"/>
        <v>2211405</v>
      </c>
      <c r="F205" s="91">
        <f t="shared" si="77"/>
        <v>2240450</v>
      </c>
      <c r="G205" s="91">
        <f t="shared" si="77"/>
        <v>2282161</v>
      </c>
      <c r="H205" s="91">
        <f t="shared" ref="H205" si="78">H78</f>
        <v>2295914</v>
      </c>
      <c r="I205" s="91">
        <f t="shared" si="77"/>
        <v>1261876</v>
      </c>
    </row>
    <row r="206" spans="1:16" ht="15.75" x14ac:dyDescent="0.25">
      <c r="A206" s="92" t="s">
        <v>142</v>
      </c>
      <c r="B206" s="209"/>
      <c r="C206" s="93">
        <f t="shared" ref="C206:I206" si="79">C148</f>
        <v>2152110</v>
      </c>
      <c r="D206" s="93">
        <f t="shared" si="79"/>
        <v>2195600</v>
      </c>
      <c r="E206" s="93">
        <f t="shared" si="79"/>
        <v>2202545</v>
      </c>
      <c r="F206" s="93">
        <f t="shared" si="79"/>
        <v>2228290</v>
      </c>
      <c r="G206" s="93">
        <f t="shared" si="79"/>
        <v>2270001</v>
      </c>
      <c r="H206" s="93">
        <f t="shared" ref="H206" si="80">H148</f>
        <v>2283754</v>
      </c>
      <c r="I206" s="93">
        <f t="shared" si="79"/>
        <v>1050701</v>
      </c>
    </row>
    <row r="207" spans="1:16" ht="15.75" x14ac:dyDescent="0.25">
      <c r="A207" s="634" t="s">
        <v>143</v>
      </c>
      <c r="B207" s="635"/>
      <c r="C207" s="94">
        <f t="shared" ref="C207:I207" si="81">C205-C206</f>
        <v>8800</v>
      </c>
      <c r="D207" s="94">
        <f t="shared" si="81"/>
        <v>8860</v>
      </c>
      <c r="E207" s="94">
        <f t="shared" si="81"/>
        <v>8860</v>
      </c>
      <c r="F207" s="94">
        <f t="shared" si="81"/>
        <v>12160</v>
      </c>
      <c r="G207" s="94">
        <f t="shared" si="81"/>
        <v>12160</v>
      </c>
      <c r="H207" s="94">
        <f t="shared" ref="H207" si="82">H205-H206</f>
        <v>12160</v>
      </c>
      <c r="I207" s="94">
        <f t="shared" si="81"/>
        <v>211175</v>
      </c>
      <c r="P207" s="123"/>
    </row>
    <row r="208" spans="1:16" ht="15.75" x14ac:dyDescent="0.25">
      <c r="A208" s="92" t="s">
        <v>144</v>
      </c>
      <c r="B208" s="116"/>
      <c r="C208" s="93">
        <f t="shared" ref="C208:I208" si="83">C154</f>
        <v>620702</v>
      </c>
      <c r="D208" s="93">
        <f t="shared" si="83"/>
        <v>635220</v>
      </c>
      <c r="E208" s="93">
        <f t="shared" si="83"/>
        <v>635220</v>
      </c>
      <c r="F208" s="93">
        <f t="shared" si="83"/>
        <v>561520</v>
      </c>
      <c r="G208" s="93">
        <f t="shared" si="83"/>
        <v>519520</v>
      </c>
      <c r="H208" s="93">
        <f t="shared" ref="H208" si="84">H154</f>
        <v>519520</v>
      </c>
      <c r="I208" s="93">
        <f t="shared" si="83"/>
        <v>0</v>
      </c>
      <c r="P208" s="123"/>
    </row>
    <row r="209" spans="1:16" ht="15.75" x14ac:dyDescent="0.25">
      <c r="A209" s="92" t="s">
        <v>145</v>
      </c>
      <c r="B209" s="116"/>
      <c r="C209" s="8">
        <f t="shared" ref="C209:I209" si="85">C161</f>
        <v>1020702</v>
      </c>
      <c r="D209" s="8">
        <f t="shared" si="85"/>
        <v>1035220</v>
      </c>
      <c r="E209" s="8">
        <f t="shared" si="85"/>
        <v>1035220</v>
      </c>
      <c r="F209" s="8">
        <f t="shared" si="85"/>
        <v>1086320</v>
      </c>
      <c r="G209" s="8">
        <f t="shared" si="85"/>
        <v>1044320</v>
      </c>
      <c r="H209" s="8">
        <f t="shared" ref="H209" si="86">H161</f>
        <v>1044320</v>
      </c>
      <c r="I209" s="8">
        <f t="shared" si="85"/>
        <v>118839</v>
      </c>
      <c r="O209" s="123"/>
      <c r="P209" s="123"/>
    </row>
    <row r="210" spans="1:16" ht="15.75" x14ac:dyDescent="0.25">
      <c r="A210" s="634" t="s">
        <v>146</v>
      </c>
      <c r="B210" s="635"/>
      <c r="C210" s="94">
        <f t="shared" ref="C210:I210" si="87">C208-C209</f>
        <v>-400000</v>
      </c>
      <c r="D210" s="94">
        <f t="shared" si="87"/>
        <v>-400000</v>
      </c>
      <c r="E210" s="94">
        <f t="shared" si="87"/>
        <v>-400000</v>
      </c>
      <c r="F210" s="94">
        <f t="shared" si="87"/>
        <v>-524800</v>
      </c>
      <c r="G210" s="94">
        <f t="shared" si="87"/>
        <v>-524800</v>
      </c>
      <c r="H210" s="94">
        <f t="shared" ref="H210" si="88">H208-H209</f>
        <v>-524800</v>
      </c>
      <c r="I210" s="94">
        <f t="shared" si="87"/>
        <v>-118839</v>
      </c>
      <c r="N210" s="123"/>
      <c r="O210" s="123"/>
      <c r="P210" s="123"/>
    </row>
    <row r="211" spans="1:16" ht="15.75" x14ac:dyDescent="0.25">
      <c r="A211" s="95" t="s">
        <v>147</v>
      </c>
      <c r="B211" s="96"/>
      <c r="C211" s="97">
        <f t="shared" ref="C211:I211" si="89">C190</f>
        <v>402140</v>
      </c>
      <c r="D211" s="97">
        <f t="shared" si="89"/>
        <v>402140</v>
      </c>
      <c r="E211" s="97">
        <f t="shared" si="89"/>
        <v>402140</v>
      </c>
      <c r="F211" s="97">
        <f t="shared" si="89"/>
        <v>523640</v>
      </c>
      <c r="G211" s="97">
        <f t="shared" si="89"/>
        <v>523640</v>
      </c>
      <c r="H211" s="97">
        <f t="shared" ref="H211" si="90">H190</f>
        <v>523640</v>
      </c>
      <c r="I211" s="97">
        <f t="shared" si="89"/>
        <v>116865</v>
      </c>
      <c r="M211" s="123"/>
      <c r="N211" s="123"/>
      <c r="O211" s="123"/>
      <c r="P211" s="123"/>
    </row>
    <row r="212" spans="1:16" ht="15.75" x14ac:dyDescent="0.25">
      <c r="A212" s="95" t="s">
        <v>148</v>
      </c>
      <c r="B212" s="96"/>
      <c r="C212" s="97">
        <f t="shared" ref="C212:I212" si="91">C196</f>
        <v>10940</v>
      </c>
      <c r="D212" s="97">
        <f t="shared" si="91"/>
        <v>11000</v>
      </c>
      <c r="E212" s="97">
        <f t="shared" si="91"/>
        <v>11000</v>
      </c>
      <c r="F212" s="97">
        <f t="shared" si="91"/>
        <v>11000</v>
      </c>
      <c r="G212" s="97">
        <f t="shared" si="91"/>
        <v>11000</v>
      </c>
      <c r="H212" s="97">
        <f t="shared" ref="H212" si="92">H196</f>
        <v>11000</v>
      </c>
      <c r="I212" s="97">
        <f t="shared" si="91"/>
        <v>511</v>
      </c>
      <c r="M212" s="123"/>
      <c r="N212" s="123"/>
      <c r="O212" s="123"/>
    </row>
    <row r="213" spans="1:16" ht="16.5" thickBot="1" x14ac:dyDescent="0.3">
      <c r="A213" s="636" t="s">
        <v>149</v>
      </c>
      <c r="B213" s="637"/>
      <c r="C213" s="98">
        <f t="shared" ref="C213:I213" si="93">C211-C212</f>
        <v>391200</v>
      </c>
      <c r="D213" s="98">
        <f t="shared" si="93"/>
        <v>391140</v>
      </c>
      <c r="E213" s="98">
        <f t="shared" si="93"/>
        <v>391140</v>
      </c>
      <c r="F213" s="98">
        <f t="shared" si="93"/>
        <v>512640</v>
      </c>
      <c r="G213" s="98">
        <f t="shared" si="93"/>
        <v>512640</v>
      </c>
      <c r="H213" s="98">
        <f t="shared" ref="H213" si="94">H211-H212</f>
        <v>512640</v>
      </c>
      <c r="I213" s="98">
        <f t="shared" si="93"/>
        <v>116354</v>
      </c>
      <c r="M213" s="123"/>
      <c r="N213" s="123"/>
      <c r="O213" s="123"/>
    </row>
    <row r="214" spans="1:16" ht="16.5" thickBot="1" x14ac:dyDescent="0.3">
      <c r="A214" s="160" t="s">
        <v>150</v>
      </c>
      <c r="B214" s="99"/>
      <c r="C214" s="161">
        <f t="shared" ref="C214:I214" si="95">C207+C210+C213</f>
        <v>0</v>
      </c>
      <c r="D214" s="161">
        <f t="shared" si="95"/>
        <v>0</v>
      </c>
      <c r="E214" s="161">
        <f t="shared" si="95"/>
        <v>0</v>
      </c>
      <c r="F214" s="161">
        <f t="shared" si="95"/>
        <v>0</v>
      </c>
      <c r="G214" s="161">
        <f t="shared" si="95"/>
        <v>0</v>
      </c>
      <c r="H214" s="161">
        <f t="shared" ref="H214" si="96">H207+H210+H213</f>
        <v>0</v>
      </c>
      <c r="I214" s="161">
        <f t="shared" si="95"/>
        <v>208690</v>
      </c>
      <c r="L214" s="123"/>
      <c r="M214" s="123"/>
      <c r="N214" s="123"/>
    </row>
    <row r="215" spans="1:16" x14ac:dyDescent="0.25">
      <c r="J215" s="123"/>
      <c r="K215" s="123"/>
      <c r="L215" s="123"/>
      <c r="M215" s="123"/>
    </row>
    <row r="216" spans="1:16" x14ac:dyDescent="0.25">
      <c r="B216" s="162" t="s">
        <v>151</v>
      </c>
      <c r="C216" s="123">
        <f t="shared" ref="C216:I217" si="97">C205+C208+C211</f>
        <v>3183752</v>
      </c>
      <c r="D216" s="123">
        <f t="shared" si="97"/>
        <v>3241820</v>
      </c>
      <c r="E216" s="123">
        <f t="shared" si="97"/>
        <v>3248765</v>
      </c>
      <c r="F216" s="123">
        <f t="shared" si="97"/>
        <v>3325610</v>
      </c>
      <c r="G216" s="123">
        <f t="shared" si="97"/>
        <v>3325321</v>
      </c>
      <c r="H216" s="123">
        <f t="shared" ref="H216" si="98">H205+H208+H211</f>
        <v>3339074</v>
      </c>
      <c r="I216" s="123">
        <f t="shared" si="97"/>
        <v>1378741</v>
      </c>
      <c r="J216" s="123"/>
      <c r="K216" s="123">
        <f t="shared" ref="K216:O217" si="99">D216-C216</f>
        <v>58068</v>
      </c>
      <c r="L216" s="123">
        <f t="shared" si="99"/>
        <v>6945</v>
      </c>
      <c r="M216" s="123">
        <f t="shared" si="99"/>
        <v>76845</v>
      </c>
      <c r="N216" s="123">
        <f t="shared" si="99"/>
        <v>-289</v>
      </c>
      <c r="O216" s="123">
        <f t="shared" si="99"/>
        <v>13753</v>
      </c>
    </row>
    <row r="217" spans="1:16" x14ac:dyDescent="0.25">
      <c r="B217" s="162" t="s">
        <v>152</v>
      </c>
      <c r="C217" s="123">
        <f t="shared" si="97"/>
        <v>3183752</v>
      </c>
      <c r="D217" s="123">
        <f t="shared" si="97"/>
        <v>3241820</v>
      </c>
      <c r="E217" s="123">
        <f t="shared" si="97"/>
        <v>3248765</v>
      </c>
      <c r="F217" s="123">
        <f t="shared" si="97"/>
        <v>3325610</v>
      </c>
      <c r="G217" s="123">
        <f t="shared" si="97"/>
        <v>3325321</v>
      </c>
      <c r="H217" s="123">
        <f t="shared" ref="H217" si="100">H206+H209+H212</f>
        <v>3339074</v>
      </c>
      <c r="I217" s="123">
        <f t="shared" si="97"/>
        <v>1170051</v>
      </c>
      <c r="J217" s="123"/>
      <c r="K217" s="123">
        <f t="shared" si="99"/>
        <v>58068</v>
      </c>
      <c r="L217" s="123">
        <f t="shared" si="99"/>
        <v>6945</v>
      </c>
      <c r="M217" s="123">
        <f t="shared" si="99"/>
        <v>76845</v>
      </c>
      <c r="N217" s="123">
        <f t="shared" si="99"/>
        <v>-289</v>
      </c>
      <c r="O217" s="123">
        <f t="shared" si="99"/>
        <v>13753</v>
      </c>
    </row>
    <row r="218" spans="1:16" x14ac:dyDescent="0.25">
      <c r="B218" s="16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1:16" x14ac:dyDescent="0.25">
      <c r="B219" s="162" t="s">
        <v>153</v>
      </c>
      <c r="C219" s="123">
        <f t="shared" ref="C219:I219" si="101">C216-C77</f>
        <v>3115422</v>
      </c>
      <c r="D219" s="123">
        <f t="shared" si="101"/>
        <v>3173490</v>
      </c>
      <c r="E219" s="123">
        <f t="shared" si="101"/>
        <v>3180435</v>
      </c>
      <c r="F219" s="123">
        <f t="shared" si="101"/>
        <v>3257280</v>
      </c>
      <c r="G219" s="123">
        <f t="shared" si="101"/>
        <v>3256991</v>
      </c>
      <c r="H219" s="123">
        <f t="shared" ref="H219" si="102">H216-H77</f>
        <v>3265154</v>
      </c>
      <c r="I219" s="123">
        <f t="shared" si="101"/>
        <v>1365685</v>
      </c>
      <c r="J219" s="123"/>
      <c r="K219" s="123">
        <f t="shared" ref="K219:O220" si="103">D219-C219</f>
        <v>58068</v>
      </c>
      <c r="L219" s="123">
        <f t="shared" si="103"/>
        <v>6945</v>
      </c>
      <c r="M219" s="123">
        <f t="shared" si="103"/>
        <v>76845</v>
      </c>
      <c r="N219" s="123">
        <f t="shared" si="103"/>
        <v>-289</v>
      </c>
      <c r="O219" s="123">
        <f t="shared" si="103"/>
        <v>8163</v>
      </c>
    </row>
    <row r="220" spans="1:16" x14ac:dyDescent="0.25">
      <c r="B220" s="162" t="s">
        <v>154</v>
      </c>
      <c r="C220" s="123">
        <f t="shared" ref="C220:I220" si="104">C217-C147</f>
        <v>2413787</v>
      </c>
      <c r="D220" s="123">
        <f t="shared" si="104"/>
        <v>2458036</v>
      </c>
      <c r="E220" s="123">
        <f t="shared" si="104"/>
        <v>2464981</v>
      </c>
      <c r="F220" s="123">
        <f t="shared" si="104"/>
        <v>2541826</v>
      </c>
      <c r="G220" s="123">
        <f t="shared" si="104"/>
        <v>2540826</v>
      </c>
      <c r="H220" s="123">
        <f t="shared" ref="H220" si="105">H217-H147</f>
        <v>2548883</v>
      </c>
      <c r="I220" s="123">
        <f t="shared" si="104"/>
        <v>756665</v>
      </c>
      <c r="J220" s="123"/>
      <c r="K220" s="123">
        <f t="shared" si="103"/>
        <v>44249</v>
      </c>
      <c r="L220" s="123">
        <f t="shared" si="103"/>
        <v>6945</v>
      </c>
      <c r="M220" s="123">
        <f t="shared" si="103"/>
        <v>76845</v>
      </c>
      <c r="N220" s="123">
        <f t="shared" si="103"/>
        <v>-1000</v>
      </c>
      <c r="O220" s="123">
        <f t="shared" si="103"/>
        <v>8057</v>
      </c>
    </row>
    <row r="221" spans="1:16" x14ac:dyDescent="0.25">
      <c r="B221" s="162"/>
      <c r="C221" s="123"/>
      <c r="D221" s="123"/>
      <c r="E221" s="123"/>
      <c r="F221" s="123"/>
      <c r="G221" s="123"/>
      <c r="H221" s="123"/>
      <c r="I221" s="123"/>
    </row>
    <row r="222" spans="1:16" x14ac:dyDescent="0.25">
      <c r="A222" s="236"/>
      <c r="B222" s="237" t="s">
        <v>214</v>
      </c>
    </row>
    <row r="224" spans="1:16" x14ac:dyDescent="0.25">
      <c r="B224" s="110" t="s">
        <v>155</v>
      </c>
    </row>
    <row r="226" spans="2:2" x14ac:dyDescent="0.25">
      <c r="B226" s="100" t="s">
        <v>271</v>
      </c>
    </row>
    <row r="227" spans="2:2" x14ac:dyDescent="0.25">
      <c r="B227" s="215" t="s">
        <v>377</v>
      </c>
    </row>
    <row r="228" spans="2:2" x14ac:dyDescent="0.25">
      <c r="B228" s="215" t="s">
        <v>419</v>
      </c>
    </row>
    <row r="229" spans="2:2" x14ac:dyDescent="0.25">
      <c r="B229" s="215" t="s">
        <v>501</v>
      </c>
    </row>
    <row r="230" spans="2:2" x14ac:dyDescent="0.25">
      <c r="B230" s="215" t="s">
        <v>535</v>
      </c>
    </row>
    <row r="231" spans="2:2" x14ac:dyDescent="0.25">
      <c r="B231" s="215" t="s">
        <v>552</v>
      </c>
    </row>
    <row r="232" spans="2:2" x14ac:dyDescent="0.25">
      <c r="B232" s="215"/>
    </row>
    <row r="233" spans="2:2" x14ac:dyDescent="0.25">
      <c r="B233" s="110" t="s">
        <v>547</v>
      </c>
    </row>
    <row r="234" spans="2:2" x14ac:dyDescent="0.25">
      <c r="B234" s="110" t="s">
        <v>548</v>
      </c>
    </row>
    <row r="235" spans="2:2" x14ac:dyDescent="0.25">
      <c r="B235" s="110" t="s">
        <v>553</v>
      </c>
    </row>
  </sheetData>
  <mergeCells count="62">
    <mergeCell ref="A1:I1"/>
    <mergeCell ref="A2:B3"/>
    <mergeCell ref="C2:C3"/>
    <mergeCell ref="D2:D3"/>
    <mergeCell ref="E2:E3"/>
    <mergeCell ref="F2:F3"/>
    <mergeCell ref="G2:G3"/>
    <mergeCell ref="I2:I3"/>
    <mergeCell ref="J2:J3"/>
    <mergeCell ref="A4:B4"/>
    <mergeCell ref="A12:B12"/>
    <mergeCell ref="A75:B75"/>
    <mergeCell ref="A77:B77"/>
    <mergeCell ref="J82:J83"/>
    <mergeCell ref="A100:B100"/>
    <mergeCell ref="A143:B143"/>
    <mergeCell ref="A146:B146"/>
    <mergeCell ref="A147:B147"/>
    <mergeCell ref="A82:B83"/>
    <mergeCell ref="C82:C83"/>
    <mergeCell ref="D82:D83"/>
    <mergeCell ref="E82:E83"/>
    <mergeCell ref="F82:F83"/>
    <mergeCell ref="G82:G83"/>
    <mergeCell ref="J152:J153"/>
    <mergeCell ref="A154:B154"/>
    <mergeCell ref="A161:B161"/>
    <mergeCell ref="A187:I187"/>
    <mergeCell ref="A188:B189"/>
    <mergeCell ref="C188:C189"/>
    <mergeCell ref="D188:D189"/>
    <mergeCell ref="E188:E189"/>
    <mergeCell ref="F188:F189"/>
    <mergeCell ref="G188:G189"/>
    <mergeCell ref="A152:B153"/>
    <mergeCell ref="C152:C153"/>
    <mergeCell ref="D152:D153"/>
    <mergeCell ref="E152:E153"/>
    <mergeCell ref="F152:F153"/>
    <mergeCell ref="G152:G153"/>
    <mergeCell ref="J188:J189"/>
    <mergeCell ref="A202:I202"/>
    <mergeCell ref="A203:B204"/>
    <mergeCell ref="C203:C204"/>
    <mergeCell ref="D203:D204"/>
    <mergeCell ref="E203:E204"/>
    <mergeCell ref="F203:F204"/>
    <mergeCell ref="G203:G204"/>
    <mergeCell ref="I203:I204"/>
    <mergeCell ref="A207:B207"/>
    <mergeCell ref="A210:B210"/>
    <mergeCell ref="A213:B213"/>
    <mergeCell ref="H2:H3"/>
    <mergeCell ref="H82:H83"/>
    <mergeCell ref="H152:H153"/>
    <mergeCell ref="H188:H189"/>
    <mergeCell ref="H203:H204"/>
    <mergeCell ref="A151:I151"/>
    <mergeCell ref="I152:I153"/>
    <mergeCell ref="I82:I83"/>
    <mergeCell ref="A81:I81"/>
    <mergeCell ref="I188:I189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&amp;C&amp;"Arial,Tučné"&amp;14Rozpočet na rok 2019
5. zmena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33"/>
  <sheetViews>
    <sheetView zoomScale="98" zoomScaleNormal="98" workbookViewId="0">
      <selection sqref="A1:H1"/>
    </sheetView>
  </sheetViews>
  <sheetFormatPr defaultRowHeight="15" x14ac:dyDescent="0.25"/>
  <cols>
    <col min="1" max="1" width="6" style="110" customWidth="1"/>
    <col min="2" max="2" width="68.42578125" style="110" customWidth="1"/>
    <col min="3" max="8" width="12.5703125" style="110" customWidth="1"/>
    <col min="9" max="9" width="7.85546875" style="110" customWidth="1"/>
    <col min="10" max="10" width="9.140625" style="110"/>
    <col min="11" max="11" width="11.7109375" style="110" customWidth="1"/>
    <col min="12" max="12" width="11.28515625" style="110" customWidth="1"/>
    <col min="13" max="13" width="9.140625" style="110"/>
    <col min="14" max="14" width="11" style="110" customWidth="1"/>
    <col min="15" max="16384" width="9.140625" style="110"/>
  </cols>
  <sheetData>
    <row r="1" spans="1:9" ht="18.75" thickBot="1" x14ac:dyDescent="0.3">
      <c r="A1" s="674" t="s">
        <v>0</v>
      </c>
      <c r="B1" s="675"/>
      <c r="C1" s="675"/>
      <c r="D1" s="675"/>
      <c r="E1" s="675"/>
      <c r="F1" s="675"/>
      <c r="G1" s="675"/>
      <c r="H1" s="675"/>
    </row>
    <row r="2" spans="1:9" ht="18.75" customHeight="1" x14ac:dyDescent="0.25">
      <c r="A2" s="644" t="s">
        <v>1</v>
      </c>
      <c r="B2" s="645"/>
      <c r="C2" s="638" t="s">
        <v>323</v>
      </c>
      <c r="D2" s="638" t="s">
        <v>322</v>
      </c>
      <c r="E2" s="638" t="s">
        <v>408</v>
      </c>
      <c r="F2" s="638" t="s">
        <v>413</v>
      </c>
      <c r="G2" s="638" t="s">
        <v>510</v>
      </c>
      <c r="H2" s="638" t="s">
        <v>509</v>
      </c>
      <c r="I2" s="662" t="s">
        <v>352</v>
      </c>
    </row>
    <row r="3" spans="1:9" ht="15.75" thickBot="1" x14ac:dyDescent="0.3">
      <c r="A3" s="646"/>
      <c r="B3" s="647"/>
      <c r="C3" s="639"/>
      <c r="D3" s="639"/>
      <c r="E3" s="639"/>
      <c r="F3" s="639"/>
      <c r="G3" s="639"/>
      <c r="H3" s="639"/>
      <c r="I3" s="663"/>
    </row>
    <row r="4" spans="1:9" ht="15.75" thickBot="1" x14ac:dyDescent="0.3">
      <c r="A4" s="664" t="s">
        <v>2</v>
      </c>
      <c r="B4" s="665"/>
      <c r="C4" s="1">
        <f t="shared" ref="C4:H4" si="0">SUM(C5:C11)</f>
        <v>1151580</v>
      </c>
      <c r="D4" s="1">
        <f t="shared" si="0"/>
        <v>1173580</v>
      </c>
      <c r="E4" s="1">
        <f t="shared" si="0"/>
        <v>1174080</v>
      </c>
      <c r="F4" s="1">
        <f t="shared" si="0"/>
        <v>1175080</v>
      </c>
      <c r="G4" s="1">
        <f t="shared" ref="G4" si="1">SUM(G5:G11)</f>
        <v>1215080</v>
      </c>
      <c r="H4" s="1">
        <f t="shared" si="0"/>
        <v>596402</v>
      </c>
      <c r="I4" s="466">
        <f>H4/G4</f>
        <v>0.49083352536458502</v>
      </c>
    </row>
    <row r="5" spans="1:9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52">
        <f>1109000+40000</f>
        <v>1149000</v>
      </c>
      <c r="H5" s="4">
        <v>558293</v>
      </c>
      <c r="I5" s="466">
        <f t="shared" ref="I5:I68" si="2">H5/G5</f>
        <v>0.48589469103568322</v>
      </c>
    </row>
    <row r="6" spans="1:9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34680</v>
      </c>
      <c r="H6" s="101">
        <v>19446</v>
      </c>
      <c r="I6" s="466">
        <f t="shared" si="2"/>
        <v>0.5607266435986159</v>
      </c>
    </row>
    <row r="7" spans="1:9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1000</v>
      </c>
      <c r="H7" s="7">
        <v>801</v>
      </c>
      <c r="I7" s="466">
        <f t="shared" si="2"/>
        <v>0.80100000000000005</v>
      </c>
    </row>
    <row r="8" spans="1:9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>400+500</f>
        <v>900</v>
      </c>
      <c r="F8" s="9">
        <f>400+500</f>
        <v>900</v>
      </c>
      <c r="G8" s="9">
        <f>400+500</f>
        <v>900</v>
      </c>
      <c r="H8" s="8">
        <v>520</v>
      </c>
      <c r="I8" s="466">
        <f t="shared" si="2"/>
        <v>0.57777777777777772</v>
      </c>
    </row>
    <row r="9" spans="1:9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1500</v>
      </c>
      <c r="H9" s="8">
        <v>897</v>
      </c>
      <c r="I9" s="466">
        <f t="shared" si="2"/>
        <v>0.59799999999999998</v>
      </c>
    </row>
    <row r="10" spans="1:9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>4000+1000</f>
        <v>5000</v>
      </c>
      <c r="G10" s="9">
        <f>4000+1000</f>
        <v>5000</v>
      </c>
      <c r="H10" s="8">
        <v>4444</v>
      </c>
      <c r="I10" s="466">
        <f t="shared" si="2"/>
        <v>0.88880000000000003</v>
      </c>
    </row>
    <row r="11" spans="1:9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23000</v>
      </c>
      <c r="H11" s="337">
        <v>12001</v>
      </c>
      <c r="I11" s="466">
        <f t="shared" si="2"/>
        <v>0.52178260869565218</v>
      </c>
    </row>
    <row r="12" spans="1:9" ht="15.75" thickBot="1" x14ac:dyDescent="0.3">
      <c r="A12" s="664" t="s">
        <v>10</v>
      </c>
      <c r="B12" s="665"/>
      <c r="C12" s="1">
        <f t="shared" ref="C12:H12" si="3">SUM(C13:C33)</f>
        <v>218240</v>
      </c>
      <c r="D12" s="1">
        <f t="shared" si="3"/>
        <v>217115</v>
      </c>
      <c r="E12" s="1">
        <f t="shared" si="3"/>
        <v>217115</v>
      </c>
      <c r="F12" s="1">
        <f t="shared" si="3"/>
        <v>219115</v>
      </c>
      <c r="G12" s="1">
        <f t="shared" ref="G12" si="4">SUM(G13:G33)</f>
        <v>219115</v>
      </c>
      <c r="H12" s="1">
        <f t="shared" si="3"/>
        <v>119338</v>
      </c>
      <c r="I12" s="466">
        <f t="shared" si="2"/>
        <v>0.54463637815758847</v>
      </c>
    </row>
    <row r="13" spans="1:9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>1967+140</f>
        <v>2107</v>
      </c>
      <c r="F13" s="270">
        <f>1967+140</f>
        <v>2107</v>
      </c>
      <c r="G13" s="270">
        <f>1967+140</f>
        <v>2107</v>
      </c>
      <c r="H13" s="270">
        <v>1044</v>
      </c>
      <c r="I13" s="466">
        <f t="shared" si="2"/>
        <v>0.49549121974371146</v>
      </c>
    </row>
    <row r="14" spans="1:9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7300</v>
      </c>
      <c r="H14" s="216">
        <v>3080</v>
      </c>
      <c r="I14" s="466">
        <f t="shared" si="2"/>
        <v>0.42191780821917807</v>
      </c>
    </row>
    <row r="15" spans="1:9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>3910-140</f>
        <v>3770</v>
      </c>
      <c r="F15" s="170">
        <f>3910-140</f>
        <v>3770</v>
      </c>
      <c r="G15" s="170">
        <f>3910-140</f>
        <v>3770</v>
      </c>
      <c r="H15" s="170">
        <v>2321</v>
      </c>
      <c r="I15" s="466">
        <f t="shared" si="2"/>
        <v>0.61564986737400529</v>
      </c>
    </row>
    <row r="16" spans="1:9" x14ac:dyDescent="0.25">
      <c r="A16" s="115">
        <v>212</v>
      </c>
      <c r="B16" s="116" t="s">
        <v>14</v>
      </c>
      <c r="C16" s="9">
        <v>18763</v>
      </c>
      <c r="D16" s="459">
        <f>18763+500+375</f>
        <v>19638</v>
      </c>
      <c r="E16" s="9">
        <f>18763+500+375</f>
        <v>19638</v>
      </c>
      <c r="F16" s="9">
        <f>18763+500+375</f>
        <v>19638</v>
      </c>
      <c r="G16" s="9">
        <f>18763+500+375</f>
        <v>19638</v>
      </c>
      <c r="H16" s="9">
        <v>7099</v>
      </c>
      <c r="I16" s="466">
        <f t="shared" si="2"/>
        <v>0.36149302372950404</v>
      </c>
    </row>
    <row r="17" spans="1:20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>400+1000</f>
        <v>1400</v>
      </c>
      <c r="G17" s="219">
        <f>400+1000</f>
        <v>1400</v>
      </c>
      <c r="H17" s="219">
        <v>0</v>
      </c>
      <c r="I17" s="466">
        <f t="shared" si="2"/>
        <v>0</v>
      </c>
      <c r="J17" s="123">
        <f>SUM(C13:C17)</f>
        <v>32340</v>
      </c>
      <c r="K17" s="123">
        <f t="shared" ref="K17:M17" si="5">SUM(D13:D17)</f>
        <v>33215</v>
      </c>
      <c r="L17" s="123">
        <f t="shared" si="5"/>
        <v>33215</v>
      </c>
      <c r="M17" s="123">
        <f t="shared" si="5"/>
        <v>34215</v>
      </c>
      <c r="N17" s="123">
        <f>SUM(G13:G17)</f>
        <v>34215</v>
      </c>
      <c r="O17" s="123">
        <f>SUM(H13:H17)</f>
        <v>13544</v>
      </c>
      <c r="P17" s="123"/>
      <c r="Q17" s="123"/>
    </row>
    <row r="18" spans="1:20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5000</v>
      </c>
      <c r="H18" s="220">
        <v>3204</v>
      </c>
      <c r="I18" s="466">
        <f t="shared" si="2"/>
        <v>0.64080000000000004</v>
      </c>
    </row>
    <row r="19" spans="1:20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  <c r="I19" s="466">
        <v>0</v>
      </c>
    </row>
    <row r="20" spans="1:20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900</v>
      </c>
      <c r="H20" s="216">
        <v>446</v>
      </c>
      <c r="I20" s="466">
        <f t="shared" si="2"/>
        <v>0.49555555555555558</v>
      </c>
    </row>
    <row r="21" spans="1:20" x14ac:dyDescent="0.25">
      <c r="A21" s="115">
        <v>223</v>
      </c>
      <c r="B21" s="116" t="s">
        <v>19</v>
      </c>
      <c r="C21" s="9">
        <v>20000</v>
      </c>
      <c r="D21" s="459">
        <f>20000-2000</f>
        <v>18000</v>
      </c>
      <c r="E21" s="9">
        <f>20000-2000</f>
        <v>18000</v>
      </c>
      <c r="F21" s="9">
        <f>20000-2000</f>
        <v>18000</v>
      </c>
      <c r="G21" s="9">
        <f>20000-2000</f>
        <v>18000</v>
      </c>
      <c r="H21" s="9">
        <v>7914</v>
      </c>
      <c r="I21" s="466">
        <f t="shared" si="2"/>
        <v>0.43966666666666665</v>
      </c>
    </row>
    <row r="22" spans="1:20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500</v>
      </c>
      <c r="H22" s="9">
        <v>0</v>
      </c>
      <c r="I22" s="466">
        <f t="shared" si="2"/>
        <v>0</v>
      </c>
    </row>
    <row r="23" spans="1:20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f>33000+1000</f>
        <v>34000</v>
      </c>
      <c r="H23" s="9">
        <v>31550</v>
      </c>
      <c r="I23" s="466">
        <f t="shared" si="2"/>
        <v>0.92794117647058827</v>
      </c>
    </row>
    <row r="24" spans="1:20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1000</v>
      </c>
      <c r="H24" s="9">
        <v>124</v>
      </c>
      <c r="I24" s="466">
        <f t="shared" si="2"/>
        <v>0.124</v>
      </c>
    </row>
    <row r="25" spans="1:20" x14ac:dyDescent="0.25">
      <c r="A25" s="115">
        <v>223</v>
      </c>
      <c r="B25" s="116" t="s">
        <v>175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466">
        <v>0</v>
      </c>
    </row>
    <row r="26" spans="1:20" x14ac:dyDescent="0.25">
      <c r="A26" s="115">
        <v>223</v>
      </c>
      <c r="B26" s="116" t="s">
        <v>21</v>
      </c>
      <c r="C26" s="9">
        <v>700</v>
      </c>
      <c r="D26" s="9">
        <v>700</v>
      </c>
      <c r="E26" s="9">
        <v>700</v>
      </c>
      <c r="F26" s="9">
        <v>700</v>
      </c>
      <c r="G26" s="9">
        <v>700</v>
      </c>
      <c r="H26" s="9">
        <v>345</v>
      </c>
      <c r="I26" s="466">
        <f t="shared" si="2"/>
        <v>0.49285714285714288</v>
      </c>
    </row>
    <row r="27" spans="1:20" x14ac:dyDescent="0.25">
      <c r="A27" s="115">
        <v>223</v>
      </c>
      <c r="B27" s="116" t="s">
        <v>22</v>
      </c>
      <c r="C27" s="9">
        <f t="shared" ref="C27:G27" si="6">31000+2000</f>
        <v>33000</v>
      </c>
      <c r="D27" s="9">
        <f t="shared" si="6"/>
        <v>33000</v>
      </c>
      <c r="E27" s="9">
        <f t="shared" si="6"/>
        <v>33000</v>
      </c>
      <c r="F27" s="9">
        <f t="shared" si="6"/>
        <v>33000</v>
      </c>
      <c r="G27" s="9">
        <f t="shared" si="6"/>
        <v>33000</v>
      </c>
      <c r="H27" s="9">
        <v>16125</v>
      </c>
      <c r="I27" s="466">
        <f t="shared" si="2"/>
        <v>0.48863636363636365</v>
      </c>
    </row>
    <row r="28" spans="1:20" x14ac:dyDescent="0.25">
      <c r="A28" s="115">
        <v>223</v>
      </c>
      <c r="B28" s="116" t="s">
        <v>23</v>
      </c>
      <c r="C28" s="9">
        <v>21460</v>
      </c>
      <c r="D28" s="9">
        <v>21460</v>
      </c>
      <c r="E28" s="9">
        <v>21460</v>
      </c>
      <c r="F28" s="9">
        <v>21460</v>
      </c>
      <c r="G28" s="9">
        <v>21460</v>
      </c>
      <c r="H28" s="9">
        <v>8906</v>
      </c>
      <c r="I28" s="466">
        <f t="shared" si="2"/>
        <v>0.41500465983224605</v>
      </c>
    </row>
    <row r="29" spans="1:20" x14ac:dyDescent="0.25">
      <c r="A29" s="115">
        <v>223</v>
      </c>
      <c r="B29" s="116" t="s">
        <v>24</v>
      </c>
      <c r="C29" s="9">
        <v>18000</v>
      </c>
      <c r="D29" s="9">
        <v>18000</v>
      </c>
      <c r="E29" s="9">
        <v>18000</v>
      </c>
      <c r="F29" s="9">
        <v>18000</v>
      </c>
      <c r="G29" s="9">
        <v>18000</v>
      </c>
      <c r="H29" s="9">
        <v>10518</v>
      </c>
      <c r="I29" s="466">
        <f t="shared" si="2"/>
        <v>0.58433333333333337</v>
      </c>
    </row>
    <row r="30" spans="1:20" x14ac:dyDescent="0.25">
      <c r="A30" s="115">
        <v>223</v>
      </c>
      <c r="B30" s="116" t="s">
        <v>222</v>
      </c>
      <c r="C30" s="9">
        <v>240</v>
      </c>
      <c r="D30" s="9">
        <v>240</v>
      </c>
      <c r="E30" s="9">
        <v>240</v>
      </c>
      <c r="F30" s="9">
        <v>240</v>
      </c>
      <c r="G30" s="9">
        <v>240</v>
      </c>
      <c r="H30" s="9">
        <v>29</v>
      </c>
      <c r="I30" s="466">
        <f t="shared" si="2"/>
        <v>0.12083333333333333</v>
      </c>
    </row>
    <row r="31" spans="1:20" x14ac:dyDescent="0.25">
      <c r="A31" s="115">
        <v>223</v>
      </c>
      <c r="B31" s="116" t="s">
        <v>25</v>
      </c>
      <c r="C31" s="9">
        <v>2000</v>
      </c>
      <c r="D31" s="9">
        <v>2000</v>
      </c>
      <c r="E31" s="9">
        <v>2000</v>
      </c>
      <c r="F31" s="9">
        <v>2000</v>
      </c>
      <c r="G31" s="9">
        <v>2000</v>
      </c>
      <c r="H31" s="9">
        <v>1035</v>
      </c>
      <c r="I31" s="466">
        <f t="shared" si="2"/>
        <v>0.51749999999999996</v>
      </c>
    </row>
    <row r="32" spans="1:20" x14ac:dyDescent="0.25">
      <c r="A32" s="164">
        <v>223</v>
      </c>
      <c r="B32" s="165" t="s">
        <v>187</v>
      </c>
      <c r="C32" s="271">
        <v>50000</v>
      </c>
      <c r="D32" s="271">
        <v>50000</v>
      </c>
      <c r="E32" s="271">
        <v>50000</v>
      </c>
      <c r="F32" s="271">
        <v>50000</v>
      </c>
      <c r="G32" s="271">
        <v>50000</v>
      </c>
      <c r="H32" s="271">
        <v>25598</v>
      </c>
      <c r="I32" s="466">
        <f t="shared" si="2"/>
        <v>0.51195999999999997</v>
      </c>
      <c r="J32" s="123">
        <f>SUM(C20:C33)</f>
        <v>180900</v>
      </c>
      <c r="K32" s="123">
        <f>SUM(D20:D33)</f>
        <v>178900</v>
      </c>
      <c r="L32" s="123">
        <f t="shared" ref="L32" si="7">SUM(H20:H33)</f>
        <v>102590</v>
      </c>
      <c r="M32" s="123"/>
      <c r="N32" s="123"/>
      <c r="O32" s="123"/>
      <c r="P32" s="123"/>
      <c r="Q32" s="123"/>
      <c r="R32" s="123"/>
      <c r="S32" s="123"/>
      <c r="T32" s="123"/>
    </row>
    <row r="33" spans="1:17" ht="15.75" thickBot="1" x14ac:dyDescent="0.3">
      <c r="A33" s="117">
        <v>223</v>
      </c>
      <c r="B33" s="118" t="s">
        <v>26</v>
      </c>
      <c r="C33" s="12">
        <v>100</v>
      </c>
      <c r="D33" s="12">
        <v>100</v>
      </c>
      <c r="E33" s="12">
        <v>100</v>
      </c>
      <c r="F33" s="12">
        <v>100</v>
      </c>
      <c r="G33" s="12">
        <v>100</v>
      </c>
      <c r="H33" s="12">
        <v>0</v>
      </c>
      <c r="I33" s="466">
        <f t="shared" si="2"/>
        <v>0</v>
      </c>
      <c r="J33" s="123">
        <f>SUM(C18:C33)</f>
        <v>185900</v>
      </c>
      <c r="K33" s="123">
        <f>SUM(D18:D33)</f>
        <v>183900</v>
      </c>
      <c r="L33" s="123">
        <f t="shared" ref="L33" si="8">SUM(H18:H33)</f>
        <v>105794</v>
      </c>
      <c r="M33" s="123"/>
      <c r="N33" s="123"/>
      <c r="O33" s="123"/>
      <c r="P33" s="123"/>
      <c r="Q33" s="123"/>
    </row>
    <row r="34" spans="1:17" ht="15.75" thickBot="1" x14ac:dyDescent="0.3">
      <c r="A34" s="558" t="s">
        <v>27</v>
      </c>
      <c r="B34" s="559"/>
      <c r="C34" s="1">
        <f t="shared" ref="C34:H34" si="9">SUM(C35)</f>
        <v>400</v>
      </c>
      <c r="D34" s="1">
        <f t="shared" si="9"/>
        <v>400</v>
      </c>
      <c r="E34" s="1">
        <f t="shared" si="9"/>
        <v>400</v>
      </c>
      <c r="F34" s="1">
        <f t="shared" si="9"/>
        <v>400</v>
      </c>
      <c r="G34" s="1">
        <f t="shared" si="9"/>
        <v>400</v>
      </c>
      <c r="H34" s="1">
        <f t="shared" si="9"/>
        <v>231</v>
      </c>
      <c r="I34" s="466">
        <f t="shared" si="2"/>
        <v>0.57750000000000001</v>
      </c>
      <c r="J34" s="123"/>
      <c r="K34" s="123"/>
      <c r="L34" s="123"/>
      <c r="M34" s="123"/>
      <c r="N34" s="123"/>
      <c r="O34" s="123"/>
      <c r="P34" s="123"/>
      <c r="Q34" s="123"/>
    </row>
    <row r="35" spans="1:17" ht="15.75" thickBot="1" x14ac:dyDescent="0.3">
      <c r="A35" s="124">
        <v>240</v>
      </c>
      <c r="B35" s="125" t="s">
        <v>28</v>
      </c>
      <c r="C35" s="10">
        <v>400</v>
      </c>
      <c r="D35" s="10">
        <v>400</v>
      </c>
      <c r="E35" s="10">
        <v>400</v>
      </c>
      <c r="F35" s="10">
        <v>400</v>
      </c>
      <c r="G35" s="10">
        <v>400</v>
      </c>
      <c r="H35" s="10">
        <v>231</v>
      </c>
      <c r="I35" s="466">
        <f t="shared" si="2"/>
        <v>0.57750000000000001</v>
      </c>
    </row>
    <row r="36" spans="1:17" ht="15.75" thickBot="1" x14ac:dyDescent="0.3">
      <c r="A36" s="558" t="s">
        <v>29</v>
      </c>
      <c r="B36" s="559"/>
      <c r="C36" s="1">
        <f t="shared" ref="C36:H36" si="10">SUM(C37:C43)</f>
        <v>28250</v>
      </c>
      <c r="D36" s="1">
        <f t="shared" si="10"/>
        <v>31212</v>
      </c>
      <c r="E36" s="1">
        <f t="shared" si="10"/>
        <v>31212</v>
      </c>
      <c r="F36" s="1">
        <f t="shared" si="10"/>
        <v>34212</v>
      </c>
      <c r="G36" s="1">
        <f t="shared" ref="G36" si="11">SUM(G37:G43)</f>
        <v>35212</v>
      </c>
      <c r="H36" s="1">
        <f t="shared" si="10"/>
        <v>9096</v>
      </c>
      <c r="I36" s="466">
        <f t="shared" si="2"/>
        <v>0.25832102692264003</v>
      </c>
    </row>
    <row r="37" spans="1:17" x14ac:dyDescent="0.25">
      <c r="A37" s="13">
        <v>292</v>
      </c>
      <c r="B37" s="14" t="s">
        <v>30</v>
      </c>
      <c r="C37" s="15">
        <v>0</v>
      </c>
      <c r="D37" s="15">
        <v>0</v>
      </c>
      <c r="E37" s="15">
        <v>0</v>
      </c>
      <c r="F37" s="15">
        <v>0</v>
      </c>
      <c r="G37" s="482">
        <v>1000</v>
      </c>
      <c r="H37" s="15">
        <v>0</v>
      </c>
      <c r="I37" s="466">
        <v>0</v>
      </c>
    </row>
    <row r="38" spans="1:17" x14ac:dyDescent="0.25">
      <c r="A38" s="13">
        <v>292</v>
      </c>
      <c r="B38" s="14" t="s">
        <v>31</v>
      </c>
      <c r="C38" s="15">
        <v>400</v>
      </c>
      <c r="D38" s="15">
        <v>400</v>
      </c>
      <c r="E38" s="15">
        <v>400</v>
      </c>
      <c r="F38" s="15">
        <v>400</v>
      </c>
      <c r="G38" s="15">
        <v>400</v>
      </c>
      <c r="H38" s="15">
        <v>143</v>
      </c>
      <c r="I38" s="466">
        <f t="shared" si="2"/>
        <v>0.35749999999999998</v>
      </c>
    </row>
    <row r="39" spans="1:17" x14ac:dyDescent="0.25">
      <c r="A39" s="16">
        <v>292</v>
      </c>
      <c r="B39" s="17" t="s">
        <v>176</v>
      </c>
      <c r="C39" s="168">
        <v>0</v>
      </c>
      <c r="D39" s="465">
        <v>2950</v>
      </c>
      <c r="E39" s="168">
        <v>2950</v>
      </c>
      <c r="F39" s="168">
        <v>2950</v>
      </c>
      <c r="G39" s="168">
        <v>2950</v>
      </c>
      <c r="H39" s="168">
        <v>2949</v>
      </c>
      <c r="I39" s="466">
        <f t="shared" si="2"/>
        <v>0.99966101694915255</v>
      </c>
    </row>
    <row r="40" spans="1:17" x14ac:dyDescent="0.25">
      <c r="A40" s="16">
        <v>292</v>
      </c>
      <c r="B40" s="17" t="s">
        <v>177</v>
      </c>
      <c r="C40" s="18">
        <v>10000</v>
      </c>
      <c r="D40" s="18">
        <v>10000</v>
      </c>
      <c r="E40" s="18">
        <v>10000</v>
      </c>
      <c r="F40" s="18">
        <v>10000</v>
      </c>
      <c r="G40" s="18">
        <v>10000</v>
      </c>
      <c r="H40" s="18">
        <v>255</v>
      </c>
      <c r="I40" s="466">
        <f t="shared" si="2"/>
        <v>2.5499999999999998E-2</v>
      </c>
    </row>
    <row r="41" spans="1:17" x14ac:dyDescent="0.25">
      <c r="A41" s="16">
        <v>292</v>
      </c>
      <c r="B41" s="116" t="s">
        <v>32</v>
      </c>
      <c r="C41" s="171">
        <v>240</v>
      </c>
      <c r="D41" s="460">
        <f>240+12</f>
        <v>252</v>
      </c>
      <c r="E41" s="171">
        <f>240+12</f>
        <v>252</v>
      </c>
      <c r="F41" s="171">
        <f>240+12</f>
        <v>252</v>
      </c>
      <c r="G41" s="171">
        <f>240+12</f>
        <v>252</v>
      </c>
      <c r="H41" s="171">
        <v>0</v>
      </c>
      <c r="I41" s="466">
        <f t="shared" si="2"/>
        <v>0</v>
      </c>
    </row>
    <row r="42" spans="1:17" x14ac:dyDescent="0.25">
      <c r="A42" s="16">
        <v>292</v>
      </c>
      <c r="B42" s="17" t="s">
        <v>33</v>
      </c>
      <c r="C42" s="18">
        <f>17710-240</f>
        <v>17470</v>
      </c>
      <c r="D42" s="18">
        <f>17710+12-D41</f>
        <v>17470</v>
      </c>
      <c r="E42" s="18">
        <f>17710+12-E41</f>
        <v>17470</v>
      </c>
      <c r="F42" s="477">
        <f>17710+12-F41+3000</f>
        <v>20470</v>
      </c>
      <c r="G42" s="18">
        <f>17710+12-G41+3000</f>
        <v>20470</v>
      </c>
      <c r="H42" s="18">
        <v>5609</v>
      </c>
      <c r="I42" s="466">
        <f t="shared" si="2"/>
        <v>0.27401074743527115</v>
      </c>
    </row>
    <row r="43" spans="1:17" ht="15.75" thickBot="1" x14ac:dyDescent="0.3">
      <c r="A43" s="16">
        <v>292</v>
      </c>
      <c r="B43" s="17" t="s">
        <v>235</v>
      </c>
      <c r="C43" s="18">
        <v>140</v>
      </c>
      <c r="D43" s="18">
        <v>140</v>
      </c>
      <c r="E43" s="18">
        <v>140</v>
      </c>
      <c r="F43" s="18">
        <v>140</v>
      </c>
      <c r="G43" s="18">
        <v>140</v>
      </c>
      <c r="H43" s="18">
        <v>140</v>
      </c>
      <c r="I43" s="466">
        <f t="shared" si="2"/>
        <v>1</v>
      </c>
    </row>
    <row r="44" spans="1:17" ht="15.75" thickBot="1" x14ac:dyDescent="0.3">
      <c r="A44" s="19" t="s">
        <v>34</v>
      </c>
      <c r="B44" s="20"/>
      <c r="C44" s="1">
        <f t="shared" ref="C44:H44" si="12">SUM(C45:C69)</f>
        <v>694110</v>
      </c>
      <c r="D44" s="1">
        <f t="shared" si="12"/>
        <v>713823</v>
      </c>
      <c r="E44" s="1">
        <f t="shared" si="12"/>
        <v>720268</v>
      </c>
      <c r="F44" s="1">
        <f t="shared" si="12"/>
        <v>743313</v>
      </c>
      <c r="G44" s="1">
        <f t="shared" si="12"/>
        <v>744024</v>
      </c>
      <c r="H44" s="1">
        <f t="shared" si="12"/>
        <v>327662</v>
      </c>
      <c r="I44" s="466">
        <f t="shared" si="2"/>
        <v>0.4403917077943722</v>
      </c>
    </row>
    <row r="45" spans="1:17" x14ac:dyDescent="0.25">
      <c r="A45" s="21">
        <v>311</v>
      </c>
      <c r="B45" s="22" t="s">
        <v>178</v>
      </c>
      <c r="C45" s="23">
        <v>0</v>
      </c>
      <c r="D45" s="23">
        <v>0</v>
      </c>
      <c r="E45" s="23">
        <v>0</v>
      </c>
      <c r="F45" s="461">
        <v>3000</v>
      </c>
      <c r="G45" s="23">
        <v>3000</v>
      </c>
      <c r="H45" s="23">
        <v>0</v>
      </c>
      <c r="I45" s="466">
        <f t="shared" si="2"/>
        <v>0</v>
      </c>
    </row>
    <row r="46" spans="1:17" x14ac:dyDescent="0.25">
      <c r="A46" s="21">
        <v>311</v>
      </c>
      <c r="B46" s="22" t="s">
        <v>212</v>
      </c>
      <c r="C46" s="23">
        <v>0</v>
      </c>
      <c r="D46" s="461">
        <v>460</v>
      </c>
      <c r="E46" s="23">
        <v>460</v>
      </c>
      <c r="F46" s="23">
        <v>460</v>
      </c>
      <c r="G46" s="23">
        <v>460</v>
      </c>
      <c r="H46" s="23">
        <v>0</v>
      </c>
      <c r="I46" s="466">
        <f t="shared" si="2"/>
        <v>0</v>
      </c>
    </row>
    <row r="47" spans="1:17" x14ac:dyDescent="0.25">
      <c r="A47" s="27">
        <v>312</v>
      </c>
      <c r="B47" s="22" t="s">
        <v>443</v>
      </c>
      <c r="C47" s="28">
        <v>0</v>
      </c>
      <c r="D47" s="28">
        <v>0</v>
      </c>
      <c r="E47" s="462">
        <v>6000</v>
      </c>
      <c r="F47" s="28">
        <v>6000</v>
      </c>
      <c r="G47" s="28">
        <v>6000</v>
      </c>
      <c r="H47" s="28">
        <v>6000</v>
      </c>
      <c r="I47" s="466">
        <f t="shared" si="2"/>
        <v>1</v>
      </c>
    </row>
    <row r="48" spans="1:17" x14ac:dyDescent="0.25">
      <c r="A48" s="21">
        <v>312</v>
      </c>
      <c r="B48" s="22" t="s">
        <v>236</v>
      </c>
      <c r="C48" s="23">
        <v>8220</v>
      </c>
      <c r="D48" s="23">
        <v>8220</v>
      </c>
      <c r="E48" s="23">
        <v>8220</v>
      </c>
      <c r="F48" s="23">
        <v>8220</v>
      </c>
      <c r="G48" s="23">
        <v>8220</v>
      </c>
      <c r="H48" s="23">
        <v>3446</v>
      </c>
      <c r="I48" s="466">
        <f t="shared" si="2"/>
        <v>0.41922141119221412</v>
      </c>
    </row>
    <row r="49" spans="1:9" x14ac:dyDescent="0.25">
      <c r="A49" s="21">
        <v>312</v>
      </c>
      <c r="B49" s="22" t="s">
        <v>35</v>
      </c>
      <c r="C49" s="23">
        <v>4000</v>
      </c>
      <c r="D49" s="461">
        <f>4000+2100</f>
        <v>6100</v>
      </c>
      <c r="E49" s="461">
        <f>4000+2100+145</f>
        <v>6245</v>
      </c>
      <c r="F49" s="461">
        <f>4000+2100+145+5</f>
        <v>6250</v>
      </c>
      <c r="G49" s="23">
        <f>4000+2100+145+5</f>
        <v>6250</v>
      </c>
      <c r="H49" s="23">
        <v>6211</v>
      </c>
      <c r="I49" s="466">
        <f t="shared" si="2"/>
        <v>0.99375999999999998</v>
      </c>
    </row>
    <row r="50" spans="1:9" x14ac:dyDescent="0.25">
      <c r="A50" s="24">
        <v>312</v>
      </c>
      <c r="B50" s="116" t="s">
        <v>36</v>
      </c>
      <c r="C50" s="7">
        <v>7200</v>
      </c>
      <c r="D50" s="7">
        <v>7200</v>
      </c>
      <c r="E50" s="7">
        <v>7200</v>
      </c>
      <c r="F50" s="216">
        <v>7200</v>
      </c>
      <c r="G50" s="216">
        <v>7200</v>
      </c>
      <c r="H50" s="7">
        <v>5840</v>
      </c>
      <c r="I50" s="466">
        <f t="shared" si="2"/>
        <v>0.81111111111111112</v>
      </c>
    </row>
    <row r="51" spans="1:9" x14ac:dyDescent="0.25">
      <c r="A51" s="24">
        <v>312</v>
      </c>
      <c r="B51" s="116" t="s">
        <v>37</v>
      </c>
      <c r="C51" s="7">
        <v>1000</v>
      </c>
      <c r="D51" s="7">
        <v>1000</v>
      </c>
      <c r="E51" s="7">
        <v>1000</v>
      </c>
      <c r="F51" s="216">
        <v>1000</v>
      </c>
      <c r="G51" s="216">
        <v>1000</v>
      </c>
      <c r="H51" s="7">
        <f>8+219</f>
        <v>227</v>
      </c>
      <c r="I51" s="466">
        <f t="shared" si="2"/>
        <v>0.22700000000000001</v>
      </c>
    </row>
    <row r="52" spans="1:9" x14ac:dyDescent="0.25">
      <c r="A52" s="21">
        <v>312</v>
      </c>
      <c r="B52" s="22" t="s">
        <v>402</v>
      </c>
      <c r="C52" s="23">
        <v>0</v>
      </c>
      <c r="D52" s="23">
        <v>0</v>
      </c>
      <c r="E52" s="461">
        <v>300</v>
      </c>
      <c r="F52" s="23">
        <v>300</v>
      </c>
      <c r="G52" s="23">
        <v>300</v>
      </c>
      <c r="H52" s="23">
        <v>300</v>
      </c>
      <c r="I52" s="466">
        <f t="shared" si="2"/>
        <v>1</v>
      </c>
    </row>
    <row r="53" spans="1:9" x14ac:dyDescent="0.25">
      <c r="A53" s="24">
        <v>312</v>
      </c>
      <c r="B53" s="25" t="s">
        <v>166</v>
      </c>
      <c r="C53" s="26">
        <v>14440</v>
      </c>
      <c r="D53" s="26">
        <v>14440</v>
      </c>
      <c r="E53" s="26">
        <v>14440</v>
      </c>
      <c r="F53" s="262">
        <v>14440</v>
      </c>
      <c r="G53" s="262">
        <v>14440</v>
      </c>
      <c r="H53" s="26">
        <v>1472</v>
      </c>
      <c r="I53" s="466">
        <f t="shared" si="2"/>
        <v>0.10193905817174516</v>
      </c>
    </row>
    <row r="54" spans="1:9" x14ac:dyDescent="0.25">
      <c r="A54" s="24">
        <v>312</v>
      </c>
      <c r="B54" s="25" t="s">
        <v>238</v>
      </c>
      <c r="C54" s="26">
        <v>3800</v>
      </c>
      <c r="D54" s="26">
        <v>3800</v>
      </c>
      <c r="E54" s="26">
        <v>3800</v>
      </c>
      <c r="F54" s="262">
        <v>3800</v>
      </c>
      <c r="G54" s="262">
        <v>3800</v>
      </c>
      <c r="H54" s="26">
        <v>0</v>
      </c>
      <c r="I54" s="466">
        <f t="shared" si="2"/>
        <v>0</v>
      </c>
    </row>
    <row r="55" spans="1:9" x14ac:dyDescent="0.25">
      <c r="A55" s="24">
        <v>312</v>
      </c>
      <c r="B55" s="25" t="s">
        <v>237</v>
      </c>
      <c r="C55" s="26">
        <v>950</v>
      </c>
      <c r="D55" s="26">
        <v>950</v>
      </c>
      <c r="E55" s="26">
        <v>950</v>
      </c>
      <c r="F55" s="262">
        <v>950</v>
      </c>
      <c r="G55" s="262">
        <v>950</v>
      </c>
      <c r="H55" s="26">
        <v>0</v>
      </c>
      <c r="I55" s="466">
        <f t="shared" si="2"/>
        <v>0</v>
      </c>
    </row>
    <row r="56" spans="1:9" x14ac:dyDescent="0.25">
      <c r="A56" s="21">
        <v>312</v>
      </c>
      <c r="B56" s="22" t="s">
        <v>349</v>
      </c>
      <c r="C56" s="23">
        <v>0</v>
      </c>
      <c r="D56" s="461">
        <v>30</v>
      </c>
      <c r="E56" s="23">
        <v>30</v>
      </c>
      <c r="F56" s="23">
        <v>30</v>
      </c>
      <c r="G56" s="23">
        <v>30</v>
      </c>
      <c r="H56" s="23">
        <v>30</v>
      </c>
      <c r="I56" s="466">
        <f t="shared" si="2"/>
        <v>1</v>
      </c>
    </row>
    <row r="57" spans="1:9" x14ac:dyDescent="0.25">
      <c r="A57" s="24">
        <v>312</v>
      </c>
      <c r="B57" s="25" t="s">
        <v>38</v>
      </c>
      <c r="C57" s="7">
        <v>18300</v>
      </c>
      <c r="D57" s="7">
        <v>18300</v>
      </c>
      <c r="E57" s="7">
        <v>18300</v>
      </c>
      <c r="F57" s="216">
        <v>18300</v>
      </c>
      <c r="G57" s="216">
        <v>18300</v>
      </c>
      <c r="H57" s="7">
        <v>9366</v>
      </c>
      <c r="I57" s="466">
        <f t="shared" si="2"/>
        <v>0.5118032786885246</v>
      </c>
    </row>
    <row r="58" spans="1:9" x14ac:dyDescent="0.25">
      <c r="A58" s="24">
        <v>312</v>
      </c>
      <c r="B58" s="25" t="s">
        <v>39</v>
      </c>
      <c r="C58" s="7">
        <v>8700</v>
      </c>
      <c r="D58" s="7">
        <v>8700</v>
      </c>
      <c r="E58" s="7">
        <v>8700</v>
      </c>
      <c r="F58" s="7">
        <v>8700</v>
      </c>
      <c r="G58" s="7">
        <v>8700</v>
      </c>
      <c r="H58" s="7">
        <v>4350</v>
      </c>
      <c r="I58" s="466">
        <f t="shared" si="2"/>
        <v>0.5</v>
      </c>
    </row>
    <row r="59" spans="1:9" x14ac:dyDescent="0.25">
      <c r="A59" s="24">
        <v>312</v>
      </c>
      <c r="B59" s="25" t="s">
        <v>40</v>
      </c>
      <c r="C59" s="7">
        <v>7900</v>
      </c>
      <c r="D59" s="7">
        <v>7900</v>
      </c>
      <c r="E59" s="7">
        <v>7900</v>
      </c>
      <c r="F59" s="463">
        <f>7900+200</f>
        <v>8100</v>
      </c>
      <c r="G59" s="216">
        <f>7900+200</f>
        <v>8100</v>
      </c>
      <c r="H59" s="7">
        <v>1400</v>
      </c>
      <c r="I59" s="466">
        <f t="shared" si="2"/>
        <v>0.1728395061728395</v>
      </c>
    </row>
    <row r="60" spans="1:9" x14ac:dyDescent="0.25">
      <c r="A60" s="24">
        <v>312</v>
      </c>
      <c r="B60" s="25" t="s">
        <v>499</v>
      </c>
      <c r="C60" s="7">
        <v>0</v>
      </c>
      <c r="D60" s="7">
        <v>0</v>
      </c>
      <c r="E60" s="7">
        <v>0</v>
      </c>
      <c r="F60" s="463">
        <f>2000+1500</f>
        <v>3500</v>
      </c>
      <c r="G60" s="216">
        <f>2000+1500</f>
        <v>3500</v>
      </c>
      <c r="H60" s="7">
        <v>2000</v>
      </c>
      <c r="I60" s="466">
        <f t="shared" si="2"/>
        <v>0.5714285714285714</v>
      </c>
    </row>
    <row r="61" spans="1:9" x14ac:dyDescent="0.25">
      <c r="A61" s="24">
        <v>312</v>
      </c>
      <c r="B61" s="25" t="s">
        <v>213</v>
      </c>
      <c r="C61" s="7">
        <v>0</v>
      </c>
      <c r="D61" s="7">
        <v>0</v>
      </c>
      <c r="E61" s="7">
        <v>0</v>
      </c>
      <c r="F61" s="7">
        <v>0</v>
      </c>
      <c r="G61" s="216">
        <v>0</v>
      </c>
      <c r="H61" s="7">
        <v>0</v>
      </c>
      <c r="I61" s="466">
        <v>0</v>
      </c>
    </row>
    <row r="62" spans="1:9" x14ac:dyDescent="0.25">
      <c r="A62" s="24">
        <v>312</v>
      </c>
      <c r="B62" s="25" t="s">
        <v>41</v>
      </c>
      <c r="C62" s="7">
        <v>3000</v>
      </c>
      <c r="D62" s="7">
        <v>3000</v>
      </c>
      <c r="E62" s="7">
        <v>3000</v>
      </c>
      <c r="F62" s="7">
        <v>3000</v>
      </c>
      <c r="G62" s="216">
        <v>3000</v>
      </c>
      <c r="H62" s="7">
        <v>3000</v>
      </c>
      <c r="I62" s="466">
        <f t="shared" si="2"/>
        <v>1</v>
      </c>
    </row>
    <row r="63" spans="1:9" x14ac:dyDescent="0.25">
      <c r="A63" s="27">
        <v>312</v>
      </c>
      <c r="B63" s="22" t="s">
        <v>180</v>
      </c>
      <c r="C63" s="28">
        <v>0</v>
      </c>
      <c r="D63" s="462">
        <f>2000+2000</f>
        <v>4000</v>
      </c>
      <c r="E63" s="28">
        <f>2000+2000</f>
        <v>4000</v>
      </c>
      <c r="F63" s="462">
        <f>2000+2000+1900+2000+2200+2000+8000</f>
        <v>20100</v>
      </c>
      <c r="G63" s="28">
        <f>2000+2000+1900+2000+2200+2000+8000</f>
        <v>20100</v>
      </c>
      <c r="H63" s="28">
        <v>4000</v>
      </c>
      <c r="I63" s="466">
        <f t="shared" si="2"/>
        <v>0.19900497512437812</v>
      </c>
    </row>
    <row r="64" spans="1:9" x14ac:dyDescent="0.25">
      <c r="A64" s="29">
        <v>312</v>
      </c>
      <c r="B64" s="116" t="s">
        <v>42</v>
      </c>
      <c r="C64" s="170">
        <v>4430</v>
      </c>
      <c r="D64" s="464">
        <f>4430-130</f>
        <v>4300</v>
      </c>
      <c r="E64" s="170">
        <f>4430-130</f>
        <v>4300</v>
      </c>
      <c r="F64" s="464">
        <f>4430-130+440</f>
        <v>4740</v>
      </c>
      <c r="G64" s="170">
        <f>4430-130+440</f>
        <v>4740</v>
      </c>
      <c r="H64" s="170">
        <v>4569</v>
      </c>
      <c r="I64" s="466">
        <f t="shared" si="2"/>
        <v>0.96392405063291142</v>
      </c>
    </row>
    <row r="65" spans="1:13" x14ac:dyDescent="0.25">
      <c r="A65" s="29">
        <v>312</v>
      </c>
      <c r="B65" s="126" t="s">
        <v>43</v>
      </c>
      <c r="C65" s="9">
        <v>3700</v>
      </c>
      <c r="D65" s="459">
        <f>3700-200</f>
        <v>3500</v>
      </c>
      <c r="E65" s="9">
        <f>3700-200</f>
        <v>3500</v>
      </c>
      <c r="F65" s="459">
        <f>3700-200-200</f>
        <v>3300</v>
      </c>
      <c r="G65" s="9">
        <f>3700-200-200</f>
        <v>3300</v>
      </c>
      <c r="H65" s="9">
        <v>3259</v>
      </c>
      <c r="I65" s="466">
        <f t="shared" si="2"/>
        <v>0.98757575757575755</v>
      </c>
    </row>
    <row r="66" spans="1:13" x14ac:dyDescent="0.25">
      <c r="A66" s="29">
        <v>312</v>
      </c>
      <c r="B66" s="30" t="s">
        <v>44</v>
      </c>
      <c r="C66" s="170">
        <v>3000</v>
      </c>
      <c r="D66" s="464">
        <f>3000-470</f>
        <v>2530</v>
      </c>
      <c r="E66" s="170">
        <f>3000-470</f>
        <v>2530</v>
      </c>
      <c r="F66" s="170">
        <f>3000-470</f>
        <v>2530</v>
      </c>
      <c r="G66" s="170">
        <f>3000-470</f>
        <v>2530</v>
      </c>
      <c r="H66" s="170">
        <v>1685</v>
      </c>
      <c r="I66" s="466">
        <f t="shared" si="2"/>
        <v>0.66600790513833996</v>
      </c>
    </row>
    <row r="67" spans="1:13" ht="15.75" customHeight="1" x14ac:dyDescent="0.25">
      <c r="A67" s="24">
        <v>312</v>
      </c>
      <c r="B67" s="25" t="s">
        <v>181</v>
      </c>
      <c r="C67" s="216">
        <v>102200</v>
      </c>
      <c r="D67" s="216">
        <v>102200</v>
      </c>
      <c r="E67" s="216">
        <v>102200</v>
      </c>
      <c r="F67" s="216">
        <v>102200</v>
      </c>
      <c r="G67" s="216">
        <v>102200</v>
      </c>
      <c r="H67" s="216">
        <v>11252</v>
      </c>
      <c r="I67" s="466">
        <f t="shared" si="2"/>
        <v>0.11009784735812134</v>
      </c>
    </row>
    <row r="68" spans="1:13" x14ac:dyDescent="0.25">
      <c r="A68" s="24">
        <v>312</v>
      </c>
      <c r="B68" s="25" t="s">
        <v>239</v>
      </c>
      <c r="C68" s="216">
        <v>31000</v>
      </c>
      <c r="D68" s="463">
        <f>31000+104</f>
        <v>31104</v>
      </c>
      <c r="E68" s="216">
        <f>31000+104</f>
        <v>31104</v>
      </c>
      <c r="F68" s="216">
        <f>31000+104</f>
        <v>31104</v>
      </c>
      <c r="G68" s="216">
        <f>31000+104</f>
        <v>31104</v>
      </c>
      <c r="H68" s="216">
        <v>15552</v>
      </c>
      <c r="I68" s="466">
        <f t="shared" si="2"/>
        <v>0.5</v>
      </c>
    </row>
    <row r="69" spans="1:13" ht="16.5" thickBot="1" x14ac:dyDescent="0.3">
      <c r="A69" s="241">
        <v>312</v>
      </c>
      <c r="B69" s="242" t="s">
        <v>270</v>
      </c>
      <c r="C69" s="218">
        <f>440000+32270</f>
        <v>472270</v>
      </c>
      <c r="D69" s="218">
        <f>440000+32270+13819</f>
        <v>486089</v>
      </c>
      <c r="E69" s="218">
        <f>440000+32270+13819</f>
        <v>486089</v>
      </c>
      <c r="F69" s="218">
        <f>440000+32270+13819</f>
        <v>486089</v>
      </c>
      <c r="G69" s="218">
        <f>440000+32270+13819+711</f>
        <v>486800</v>
      </c>
      <c r="H69" s="218">
        <v>243703</v>
      </c>
      <c r="I69" s="466">
        <f t="shared" ref="I69:I77" si="13">H69/G69</f>
        <v>0.5006224322103533</v>
      </c>
      <c r="J69" s="123"/>
    </row>
    <row r="70" spans="1:13" ht="16.5" thickBot="1" x14ac:dyDescent="0.3">
      <c r="A70" s="31" t="s">
        <v>45</v>
      </c>
      <c r="B70" s="127"/>
      <c r="C70" s="32">
        <f t="shared" ref="C70:H70" si="14">SUM(C4+C12+C34+C36+C44)</f>
        <v>2092580</v>
      </c>
      <c r="D70" s="32">
        <f t="shared" si="14"/>
        <v>2136130</v>
      </c>
      <c r="E70" s="32">
        <f t="shared" si="14"/>
        <v>2143075</v>
      </c>
      <c r="F70" s="32">
        <f t="shared" si="14"/>
        <v>2172120</v>
      </c>
      <c r="G70" s="32">
        <f t="shared" si="14"/>
        <v>2213831</v>
      </c>
      <c r="H70" s="32">
        <f t="shared" si="14"/>
        <v>1052729</v>
      </c>
      <c r="I70" s="466">
        <f t="shared" si="13"/>
        <v>0.4755236510826707</v>
      </c>
      <c r="J70" s="123">
        <f>D70-C70</f>
        <v>43550</v>
      </c>
      <c r="K70" s="123">
        <f>E70-D70</f>
        <v>6945</v>
      </c>
      <c r="L70" s="123">
        <f>F70-E70</f>
        <v>29045</v>
      </c>
      <c r="M70" s="123">
        <f>G70-F70</f>
        <v>41711</v>
      </c>
    </row>
    <row r="71" spans="1:13" x14ac:dyDescent="0.25">
      <c r="A71" s="243" t="s">
        <v>46</v>
      </c>
      <c r="B71" s="244" t="s">
        <v>269</v>
      </c>
      <c r="C71" s="217">
        <v>3000</v>
      </c>
      <c r="D71" s="217">
        <v>3000</v>
      </c>
      <c r="E71" s="217">
        <v>3000</v>
      </c>
      <c r="F71" s="217">
        <v>3000</v>
      </c>
      <c r="G71" s="217">
        <v>3000</v>
      </c>
      <c r="H71" s="217">
        <f>1275+121+171+12+275</f>
        <v>1854</v>
      </c>
      <c r="I71" s="466">
        <f t="shared" si="13"/>
        <v>0.61799999999999999</v>
      </c>
      <c r="J71" s="123">
        <f>H71+H72+H75</f>
        <v>7597</v>
      </c>
      <c r="K71" s="123"/>
      <c r="L71" s="123"/>
    </row>
    <row r="72" spans="1:13" ht="15.75" customHeight="1" x14ac:dyDescent="0.25">
      <c r="A72" s="359" t="s">
        <v>46</v>
      </c>
      <c r="B72" s="244" t="s">
        <v>263</v>
      </c>
      <c r="C72" s="360">
        <v>1320</v>
      </c>
      <c r="D72" s="360">
        <v>1320</v>
      </c>
      <c r="E72" s="360">
        <v>1320</v>
      </c>
      <c r="F72" s="360">
        <v>1320</v>
      </c>
      <c r="G72" s="360">
        <v>1320</v>
      </c>
      <c r="H72" s="360">
        <f>369+357</f>
        <v>726</v>
      </c>
      <c r="I72" s="466">
        <f t="shared" si="13"/>
        <v>0.55000000000000004</v>
      </c>
      <c r="J72" s="123"/>
      <c r="K72" s="123"/>
      <c r="L72" s="123"/>
    </row>
    <row r="73" spans="1:13" ht="15.75" customHeight="1" thickBot="1" x14ac:dyDescent="0.3">
      <c r="A73" s="245" t="s">
        <v>46</v>
      </c>
      <c r="B73" s="246" t="s">
        <v>229</v>
      </c>
      <c r="C73" s="234">
        <v>54240</v>
      </c>
      <c r="D73" s="234">
        <v>54240</v>
      </c>
      <c r="E73" s="234">
        <v>54240</v>
      </c>
      <c r="F73" s="234">
        <v>54240</v>
      </c>
      <c r="G73" s="234">
        <v>54240</v>
      </c>
      <c r="H73" s="234">
        <f>5459</f>
        <v>5459</v>
      </c>
      <c r="I73" s="466">
        <f t="shared" si="13"/>
        <v>0.1006452802359882</v>
      </c>
      <c r="J73" s="123"/>
      <c r="K73" s="123"/>
      <c r="L73" s="123"/>
    </row>
    <row r="74" spans="1:13" ht="15.75" thickBot="1" x14ac:dyDescent="0.3">
      <c r="A74" s="668" t="s">
        <v>277</v>
      </c>
      <c r="B74" s="669"/>
      <c r="C74" s="369">
        <f t="shared" ref="C74:F74" si="15">SUM(C71:C73)</f>
        <v>58560</v>
      </c>
      <c r="D74" s="369">
        <f t="shared" si="15"/>
        <v>58560</v>
      </c>
      <c r="E74" s="369">
        <f t="shared" si="15"/>
        <v>58560</v>
      </c>
      <c r="F74" s="369">
        <f t="shared" si="15"/>
        <v>58560</v>
      </c>
      <c r="G74" s="369">
        <f t="shared" ref="G74" si="16">SUM(G71:G73)</f>
        <v>58560</v>
      </c>
      <c r="H74" s="369">
        <f t="shared" ref="H74" si="17">SUM(H71:H73)</f>
        <v>8039</v>
      </c>
      <c r="I74" s="466">
        <f t="shared" si="13"/>
        <v>0.13727800546448088</v>
      </c>
      <c r="J74" s="123">
        <f t="shared" ref="J74:M77" si="18">D74-C74</f>
        <v>0</v>
      </c>
      <c r="K74" s="123">
        <f t="shared" si="18"/>
        <v>0</v>
      </c>
      <c r="L74" s="123">
        <f t="shared" si="18"/>
        <v>0</v>
      </c>
      <c r="M74" s="123">
        <f t="shared" si="18"/>
        <v>0</v>
      </c>
    </row>
    <row r="75" spans="1:13" ht="14.25" customHeight="1" thickBot="1" x14ac:dyDescent="0.3">
      <c r="A75" s="267" t="s">
        <v>46</v>
      </c>
      <c r="B75" s="268" t="s">
        <v>278</v>
      </c>
      <c r="C75" s="269">
        <v>9770</v>
      </c>
      <c r="D75" s="269">
        <v>9770</v>
      </c>
      <c r="E75" s="269">
        <v>9770</v>
      </c>
      <c r="F75" s="269">
        <v>9770</v>
      </c>
      <c r="G75" s="269">
        <v>9770</v>
      </c>
      <c r="H75" s="269">
        <v>5017</v>
      </c>
      <c r="I75" s="466">
        <f t="shared" si="13"/>
        <v>0.51351074718526102</v>
      </c>
      <c r="J75" s="123">
        <f t="shared" si="18"/>
        <v>0</v>
      </c>
      <c r="K75" s="123">
        <f t="shared" si="18"/>
        <v>0</v>
      </c>
      <c r="L75" s="123">
        <f t="shared" si="18"/>
        <v>0</v>
      </c>
      <c r="M75" s="123">
        <f t="shared" si="18"/>
        <v>0</v>
      </c>
    </row>
    <row r="76" spans="1:13" ht="17.25" customHeight="1" thickBot="1" x14ac:dyDescent="0.3">
      <c r="A76" s="670" t="s">
        <v>182</v>
      </c>
      <c r="B76" s="671"/>
      <c r="C76" s="235">
        <f t="shared" ref="C76:F76" si="19">C74+C75</f>
        <v>68330</v>
      </c>
      <c r="D76" s="235">
        <f t="shared" si="19"/>
        <v>68330</v>
      </c>
      <c r="E76" s="235">
        <f t="shared" si="19"/>
        <v>68330</v>
      </c>
      <c r="F76" s="235">
        <f t="shared" si="19"/>
        <v>68330</v>
      </c>
      <c r="G76" s="235">
        <f t="shared" ref="G76:H76" si="20">G74+G75</f>
        <v>68330</v>
      </c>
      <c r="H76" s="235">
        <f t="shared" si="20"/>
        <v>13056</v>
      </c>
      <c r="I76" s="466">
        <f t="shared" si="13"/>
        <v>0.19107273525537832</v>
      </c>
      <c r="J76" s="123">
        <f t="shared" si="18"/>
        <v>0</v>
      </c>
      <c r="K76" s="123">
        <f t="shared" si="18"/>
        <v>0</v>
      </c>
      <c r="L76" s="123">
        <f t="shared" si="18"/>
        <v>0</v>
      </c>
      <c r="M76" s="123">
        <f t="shared" si="18"/>
        <v>0</v>
      </c>
    </row>
    <row r="77" spans="1:13" ht="27" customHeight="1" thickBot="1" x14ac:dyDescent="0.3">
      <c r="A77" s="31" t="s">
        <v>47</v>
      </c>
      <c r="B77" s="20"/>
      <c r="C77" s="32">
        <f t="shared" ref="C77:H77" si="21">C70+C76</f>
        <v>2160910</v>
      </c>
      <c r="D77" s="32">
        <f t="shared" si="21"/>
        <v>2204460</v>
      </c>
      <c r="E77" s="32">
        <f t="shared" si="21"/>
        <v>2211405</v>
      </c>
      <c r="F77" s="32">
        <f t="shared" si="21"/>
        <v>2240450</v>
      </c>
      <c r="G77" s="32">
        <f t="shared" ref="G77" si="22">G70+G76</f>
        <v>2282161</v>
      </c>
      <c r="H77" s="32">
        <f t="shared" si="21"/>
        <v>1065785</v>
      </c>
      <c r="I77" s="466">
        <f t="shared" si="13"/>
        <v>0.46700692895899981</v>
      </c>
      <c r="J77" s="123">
        <f t="shared" si="18"/>
        <v>43550</v>
      </c>
      <c r="K77" s="123">
        <f t="shared" si="18"/>
        <v>6945</v>
      </c>
      <c r="L77" s="123">
        <f t="shared" si="18"/>
        <v>29045</v>
      </c>
      <c r="M77" s="123">
        <f t="shared" si="18"/>
        <v>41711</v>
      </c>
    </row>
    <row r="78" spans="1:13" ht="37.5" customHeight="1" x14ac:dyDescent="0.25">
      <c r="C78" s="214"/>
      <c r="D78" s="214"/>
      <c r="E78" s="214"/>
      <c r="F78" s="214"/>
      <c r="G78" s="214"/>
      <c r="H78" s="214"/>
      <c r="I78" s="35"/>
    </row>
    <row r="79" spans="1:13" ht="16.5" customHeight="1" x14ac:dyDescent="0.25">
      <c r="A79" s="33"/>
      <c r="B79" s="34"/>
      <c r="C79" s="35"/>
      <c r="D79" s="35"/>
      <c r="E79" s="35"/>
      <c r="F79" s="35"/>
      <c r="G79" s="35"/>
      <c r="H79" s="35"/>
    </row>
    <row r="80" spans="1:13" ht="15" customHeight="1" thickBot="1" x14ac:dyDescent="0.3">
      <c r="A80" s="672" t="s">
        <v>48</v>
      </c>
      <c r="B80" s="673"/>
      <c r="C80" s="673"/>
      <c r="D80" s="673"/>
      <c r="E80" s="673"/>
      <c r="F80" s="673"/>
      <c r="G80" s="673"/>
      <c r="H80" s="673"/>
    </row>
    <row r="81" spans="1:9" ht="15" customHeight="1" x14ac:dyDescent="0.25">
      <c r="A81" s="644" t="s">
        <v>1</v>
      </c>
      <c r="B81" s="645"/>
      <c r="C81" s="638" t="s">
        <v>323</v>
      </c>
      <c r="D81" s="638" t="s">
        <v>322</v>
      </c>
      <c r="E81" s="638" t="s">
        <v>408</v>
      </c>
      <c r="F81" s="638" t="s">
        <v>413</v>
      </c>
      <c r="G81" s="638" t="s">
        <v>510</v>
      </c>
      <c r="H81" s="638" t="s">
        <v>509</v>
      </c>
      <c r="I81" s="666" t="s">
        <v>354</v>
      </c>
    </row>
    <row r="82" spans="1:9" ht="15.75" thickBot="1" x14ac:dyDescent="0.3">
      <c r="A82" s="646"/>
      <c r="B82" s="647"/>
      <c r="C82" s="639"/>
      <c r="D82" s="639"/>
      <c r="E82" s="639"/>
      <c r="F82" s="639"/>
      <c r="G82" s="639"/>
      <c r="H82" s="639"/>
      <c r="I82" s="667"/>
    </row>
    <row r="83" spans="1:9" ht="15.75" thickBot="1" x14ac:dyDescent="0.3">
      <c r="A83" s="36" t="s">
        <v>49</v>
      </c>
      <c r="B83" s="37"/>
      <c r="C83" s="38">
        <f t="shared" ref="C83:H83" si="23">SUM(C84:C88)</f>
        <v>269300</v>
      </c>
      <c r="D83" s="38">
        <f t="shared" si="23"/>
        <v>272000</v>
      </c>
      <c r="E83" s="38">
        <f t="shared" si="23"/>
        <v>270845</v>
      </c>
      <c r="F83" s="38">
        <f t="shared" si="23"/>
        <v>273290</v>
      </c>
      <c r="G83" s="38">
        <f t="shared" ref="G83" si="24">SUM(G84:G88)</f>
        <v>279290</v>
      </c>
      <c r="H83" s="38">
        <f t="shared" si="23"/>
        <v>97659</v>
      </c>
      <c r="I83" s="466">
        <f>H83/G83</f>
        <v>0.34966880303627057</v>
      </c>
    </row>
    <row r="84" spans="1:9" x14ac:dyDescent="0.25">
      <c r="A84" s="135" t="s">
        <v>50</v>
      </c>
      <c r="B84" s="39" t="s">
        <v>51</v>
      </c>
      <c r="C84" s="169">
        <v>121700</v>
      </c>
      <c r="D84" s="492">
        <f>121700+300</f>
        <v>122000</v>
      </c>
      <c r="E84" s="169">
        <f>121700+300</f>
        <v>122000</v>
      </c>
      <c r="F84" s="169">
        <f>121700+300</f>
        <v>122000</v>
      </c>
      <c r="G84" s="492">
        <f>121700+300+6000</f>
        <v>128000</v>
      </c>
      <c r="H84" s="169">
        <v>38817</v>
      </c>
      <c r="I84" s="466">
        <f t="shared" ref="I84:I147" si="25">H84/G84</f>
        <v>0.3032578125</v>
      </c>
    </row>
    <row r="85" spans="1:9" x14ac:dyDescent="0.25">
      <c r="A85" s="136" t="s">
        <v>52</v>
      </c>
      <c r="B85" s="25" t="s">
        <v>173</v>
      </c>
      <c r="C85" s="168">
        <v>86600</v>
      </c>
      <c r="D85" s="465">
        <f>86600+300</f>
        <v>86900</v>
      </c>
      <c r="E85" s="465">
        <f>86600+300-1300</f>
        <v>85600</v>
      </c>
      <c r="F85" s="168">
        <f>86600+300-1300</f>
        <v>85600</v>
      </c>
      <c r="G85" s="168">
        <f>86600+300-1300</f>
        <v>85600</v>
      </c>
      <c r="H85" s="168">
        <v>30699</v>
      </c>
      <c r="I85" s="466">
        <f t="shared" si="25"/>
        <v>0.35863317757009344</v>
      </c>
    </row>
    <row r="86" spans="1:9" x14ac:dyDescent="0.25">
      <c r="A86" s="136" t="s">
        <v>53</v>
      </c>
      <c r="B86" s="25" t="s">
        <v>172</v>
      </c>
      <c r="C86" s="168">
        <v>4000</v>
      </c>
      <c r="D86" s="168">
        <v>4000</v>
      </c>
      <c r="E86" s="168">
        <f>4000</f>
        <v>4000</v>
      </c>
      <c r="F86" s="465">
        <f>4000+2000</f>
        <v>6000</v>
      </c>
      <c r="G86" s="168">
        <f>4000+2000</f>
        <v>6000</v>
      </c>
      <c r="H86" s="168">
        <v>2151</v>
      </c>
      <c r="I86" s="466">
        <f t="shared" si="25"/>
        <v>0.35849999999999999</v>
      </c>
    </row>
    <row r="87" spans="1:9" x14ac:dyDescent="0.25">
      <c r="A87" s="137" t="s">
        <v>54</v>
      </c>
      <c r="B87" s="25" t="s">
        <v>356</v>
      </c>
      <c r="C87" s="168">
        <v>53000</v>
      </c>
      <c r="D87" s="168">
        <f>53000</f>
        <v>53000</v>
      </c>
      <c r="E87" s="168">
        <f>53000</f>
        <v>53000</v>
      </c>
      <c r="F87" s="465">
        <f>53000+440</f>
        <v>53440</v>
      </c>
      <c r="G87" s="168">
        <f>53000+440</f>
        <v>53440</v>
      </c>
      <c r="H87" s="168">
        <v>19781</v>
      </c>
      <c r="I87" s="466">
        <f t="shared" si="25"/>
        <v>0.37015344311377246</v>
      </c>
    </row>
    <row r="88" spans="1:9" ht="15.75" thickBot="1" x14ac:dyDescent="0.3">
      <c r="A88" s="138" t="s">
        <v>56</v>
      </c>
      <c r="B88" s="3" t="s">
        <v>57</v>
      </c>
      <c r="C88" s="42">
        <v>4000</v>
      </c>
      <c r="D88" s="454">
        <f>4000+2100</f>
        <v>6100</v>
      </c>
      <c r="E88" s="454">
        <f>4000+2100+145</f>
        <v>6245</v>
      </c>
      <c r="F88" s="454">
        <f>4000+2100+145+5</f>
        <v>6250</v>
      </c>
      <c r="G88" s="50">
        <f>4000+2100+145+5</f>
        <v>6250</v>
      </c>
      <c r="H88" s="42">
        <v>6211</v>
      </c>
      <c r="I88" s="466">
        <f t="shared" si="25"/>
        <v>0.99375999999999998</v>
      </c>
    </row>
    <row r="89" spans="1:9" ht="15.75" thickBot="1" x14ac:dyDescent="0.3">
      <c r="A89" s="43" t="s">
        <v>58</v>
      </c>
      <c r="B89" s="44"/>
      <c r="C89" s="38">
        <f t="shared" ref="C89:H89" si="26">SUM(C90)</f>
        <v>1660</v>
      </c>
      <c r="D89" s="38">
        <f t="shared" si="26"/>
        <v>1672</v>
      </c>
      <c r="E89" s="38">
        <f t="shared" si="26"/>
        <v>1672</v>
      </c>
      <c r="F89" s="38">
        <f t="shared" si="26"/>
        <v>1672</v>
      </c>
      <c r="G89" s="38">
        <f t="shared" si="26"/>
        <v>1672</v>
      </c>
      <c r="H89" s="38">
        <f t="shared" si="26"/>
        <v>170</v>
      </c>
      <c r="I89" s="466">
        <f t="shared" si="25"/>
        <v>0.10167464114832536</v>
      </c>
    </row>
    <row r="90" spans="1:9" ht="15.75" thickBot="1" x14ac:dyDescent="0.3">
      <c r="A90" s="139" t="s">
        <v>59</v>
      </c>
      <c r="B90" s="34" t="s">
        <v>60</v>
      </c>
      <c r="C90" s="180">
        <v>1660</v>
      </c>
      <c r="D90" s="476">
        <f>1660+12</f>
        <v>1672</v>
      </c>
      <c r="E90" s="180">
        <f>1660+12</f>
        <v>1672</v>
      </c>
      <c r="F90" s="180">
        <f>1660+12</f>
        <v>1672</v>
      </c>
      <c r="G90" s="180">
        <f>1660+12</f>
        <v>1672</v>
      </c>
      <c r="H90" s="180">
        <v>170</v>
      </c>
      <c r="I90" s="466">
        <f t="shared" si="25"/>
        <v>0.10167464114832536</v>
      </c>
    </row>
    <row r="91" spans="1:9" ht="15.75" thickBot="1" x14ac:dyDescent="0.3">
      <c r="A91" s="43" t="s">
        <v>61</v>
      </c>
      <c r="B91" s="44"/>
      <c r="C91" s="38">
        <f t="shared" ref="C91:H91" si="27">SUM(C92:C93)</f>
        <v>14900</v>
      </c>
      <c r="D91" s="38">
        <f t="shared" si="27"/>
        <v>14900</v>
      </c>
      <c r="E91" s="38">
        <f t="shared" si="27"/>
        <v>16200</v>
      </c>
      <c r="F91" s="38">
        <f t="shared" si="27"/>
        <v>14900</v>
      </c>
      <c r="G91" s="38">
        <f t="shared" ref="G91" si="28">SUM(G92:G93)</f>
        <v>14900</v>
      </c>
      <c r="H91" s="38">
        <f t="shared" si="27"/>
        <v>1918</v>
      </c>
      <c r="I91" s="466">
        <f t="shared" si="25"/>
        <v>0.12872483221476511</v>
      </c>
    </row>
    <row r="92" spans="1:9" x14ac:dyDescent="0.25">
      <c r="A92" s="45" t="s">
        <v>62</v>
      </c>
      <c r="B92" s="46" t="s">
        <v>63</v>
      </c>
      <c r="C92" s="47">
        <v>13600</v>
      </c>
      <c r="D92" s="47">
        <v>13600</v>
      </c>
      <c r="E92" s="478">
        <f>13600+1300</f>
        <v>14900</v>
      </c>
      <c r="F92" s="478">
        <f>13600+1300-1300</f>
        <v>13600</v>
      </c>
      <c r="G92" s="47">
        <f>13600+1300-1300</f>
        <v>13600</v>
      </c>
      <c r="H92" s="47">
        <v>1414</v>
      </c>
      <c r="I92" s="466">
        <f t="shared" si="25"/>
        <v>0.10397058823529412</v>
      </c>
    </row>
    <row r="93" spans="1:9" ht="15.75" thickBot="1" x14ac:dyDescent="0.3">
      <c r="A93" s="48" t="s">
        <v>64</v>
      </c>
      <c r="B93" s="49" t="s">
        <v>65</v>
      </c>
      <c r="C93" s="50">
        <v>1300</v>
      </c>
      <c r="D93" s="50">
        <v>1300</v>
      </c>
      <c r="E93" s="50">
        <v>1300</v>
      </c>
      <c r="F93" s="50">
        <v>1300</v>
      </c>
      <c r="G93" s="50">
        <v>1300</v>
      </c>
      <c r="H93" s="50">
        <v>504</v>
      </c>
      <c r="I93" s="466">
        <f t="shared" si="25"/>
        <v>0.38769230769230767</v>
      </c>
    </row>
    <row r="94" spans="1:9" ht="15.75" thickBot="1" x14ac:dyDescent="0.3">
      <c r="A94" s="36" t="s">
        <v>66</v>
      </c>
      <c r="B94" s="140"/>
      <c r="C94" s="38">
        <f t="shared" ref="C94:H94" si="29">SUM(C95:C98)</f>
        <v>66150</v>
      </c>
      <c r="D94" s="38">
        <f t="shared" si="29"/>
        <v>81870</v>
      </c>
      <c r="E94" s="38">
        <f t="shared" si="29"/>
        <v>79870</v>
      </c>
      <c r="F94" s="38">
        <f t="shared" si="29"/>
        <v>79170</v>
      </c>
      <c r="G94" s="38">
        <f t="shared" ref="G94" si="30">SUM(G95:G98)</f>
        <v>73170</v>
      </c>
      <c r="H94" s="38">
        <f t="shared" si="29"/>
        <v>29389</v>
      </c>
      <c r="I94" s="466">
        <f t="shared" si="25"/>
        <v>0.4016536832034987</v>
      </c>
    </row>
    <row r="95" spans="1:9" x14ac:dyDescent="0.25">
      <c r="A95" s="51" t="s">
        <v>67</v>
      </c>
      <c r="B95" s="14" t="s">
        <v>68</v>
      </c>
      <c r="C95" s="15">
        <v>20200</v>
      </c>
      <c r="D95" s="15">
        <v>20200</v>
      </c>
      <c r="E95" s="15">
        <v>20200</v>
      </c>
      <c r="F95" s="15">
        <v>20200</v>
      </c>
      <c r="G95" s="15">
        <v>20200</v>
      </c>
      <c r="H95" s="15">
        <v>7870</v>
      </c>
      <c r="I95" s="466">
        <f t="shared" si="25"/>
        <v>0.38960396039603962</v>
      </c>
    </row>
    <row r="96" spans="1:9" x14ac:dyDescent="0.25">
      <c r="A96" s="137" t="s">
        <v>69</v>
      </c>
      <c r="B96" s="25" t="s">
        <v>70</v>
      </c>
      <c r="C96" s="41">
        <v>20800</v>
      </c>
      <c r="D96" s="477">
        <f>20800+17000-1500</f>
        <v>36300</v>
      </c>
      <c r="E96" s="477">
        <f>20800+17000-1500-2000</f>
        <v>34300</v>
      </c>
      <c r="F96" s="18">
        <f>20800+17000-1500-2000</f>
        <v>34300</v>
      </c>
      <c r="G96" s="18">
        <f>20800+17000-1500-2000</f>
        <v>34300</v>
      </c>
      <c r="H96" s="18">
        <v>12834</v>
      </c>
      <c r="I96" s="466">
        <f t="shared" si="25"/>
        <v>0.37416909620991251</v>
      </c>
    </row>
    <row r="97" spans="1:9" x14ac:dyDescent="0.25">
      <c r="A97" s="137" t="s">
        <v>71</v>
      </c>
      <c r="B97" s="25" t="s">
        <v>72</v>
      </c>
      <c r="C97" s="18">
        <v>25000</v>
      </c>
      <c r="D97" s="18">
        <v>25000</v>
      </c>
      <c r="E97" s="18">
        <v>25000</v>
      </c>
      <c r="F97" s="477">
        <f>25000-700</f>
        <v>24300</v>
      </c>
      <c r="G97" s="477">
        <f>25000-700-6000</f>
        <v>18300</v>
      </c>
      <c r="H97" s="18">
        <v>8685</v>
      </c>
      <c r="I97" s="466">
        <f t="shared" si="25"/>
        <v>0.47459016393442621</v>
      </c>
    </row>
    <row r="98" spans="1:9" ht="15.75" thickBot="1" x14ac:dyDescent="0.3">
      <c r="A98" s="137" t="s">
        <v>73</v>
      </c>
      <c r="B98" s="25" t="s">
        <v>74</v>
      </c>
      <c r="C98" s="18">
        <v>150</v>
      </c>
      <c r="D98" s="477">
        <f>150+220</f>
        <v>370</v>
      </c>
      <c r="E98" s="18">
        <f>150+220</f>
        <v>370</v>
      </c>
      <c r="F98" s="18">
        <f>150+220</f>
        <v>370</v>
      </c>
      <c r="G98" s="18">
        <f>150+220</f>
        <v>370</v>
      </c>
      <c r="H98" s="18">
        <v>0</v>
      </c>
      <c r="I98" s="466">
        <f t="shared" si="25"/>
        <v>0</v>
      </c>
    </row>
    <row r="99" spans="1:9" ht="15.75" thickBot="1" x14ac:dyDescent="0.3">
      <c r="A99" s="652" t="s">
        <v>75</v>
      </c>
      <c r="B99" s="653"/>
      <c r="C99" s="38">
        <f t="shared" ref="C99:H99" si="31">SUM(C100:C103)</f>
        <v>112450</v>
      </c>
      <c r="D99" s="38">
        <f t="shared" si="31"/>
        <v>108600</v>
      </c>
      <c r="E99" s="38">
        <f t="shared" si="31"/>
        <v>108600</v>
      </c>
      <c r="F99" s="38">
        <f t="shared" si="31"/>
        <v>108600</v>
      </c>
      <c r="G99" s="38">
        <f t="shared" ref="G99" si="32">SUM(G100:G103)</f>
        <v>108600</v>
      </c>
      <c r="H99" s="38">
        <f t="shared" si="31"/>
        <v>44624</v>
      </c>
      <c r="I99" s="466">
        <f t="shared" si="25"/>
        <v>0.41090239410681401</v>
      </c>
    </row>
    <row r="100" spans="1:9" x14ac:dyDescent="0.25">
      <c r="A100" s="141" t="s">
        <v>76</v>
      </c>
      <c r="B100" s="52" t="s">
        <v>260</v>
      </c>
      <c r="C100" s="53">
        <v>66000</v>
      </c>
      <c r="D100" s="478">
        <f>66000+150</f>
        <v>66150</v>
      </c>
      <c r="E100" s="47">
        <f>66000+150</f>
        <v>66150</v>
      </c>
      <c r="F100" s="47">
        <f>66000+150</f>
        <v>66150</v>
      </c>
      <c r="G100" s="47">
        <f>66000+150</f>
        <v>66150</v>
      </c>
      <c r="H100" s="53">
        <v>27301</v>
      </c>
      <c r="I100" s="466">
        <f t="shared" si="25"/>
        <v>0.41271352985638698</v>
      </c>
    </row>
    <row r="101" spans="1:9" x14ac:dyDescent="0.25">
      <c r="A101" s="137" t="s">
        <v>77</v>
      </c>
      <c r="B101" s="467" t="s">
        <v>78</v>
      </c>
      <c r="C101" s="41">
        <v>36800</v>
      </c>
      <c r="D101" s="479">
        <f>36800-4000</f>
        <v>32800</v>
      </c>
      <c r="E101" s="320">
        <f>36800-4000</f>
        <v>32800</v>
      </c>
      <c r="F101" s="320">
        <f>36800-4000</f>
        <v>32800</v>
      </c>
      <c r="G101" s="320">
        <f>36800-4000</f>
        <v>32800</v>
      </c>
      <c r="H101" s="41">
        <v>15054</v>
      </c>
      <c r="I101" s="466">
        <f t="shared" si="25"/>
        <v>0.45896341463414636</v>
      </c>
    </row>
    <row r="102" spans="1:9" x14ac:dyDescent="0.25">
      <c r="A102" s="139" t="s">
        <v>79</v>
      </c>
      <c r="B102" s="468" t="s">
        <v>80</v>
      </c>
      <c r="C102" s="55">
        <v>1450</v>
      </c>
      <c r="D102" s="308">
        <v>1450</v>
      </c>
      <c r="E102" s="499">
        <v>1450</v>
      </c>
      <c r="F102" s="499">
        <v>1450</v>
      </c>
      <c r="G102" s="499">
        <v>1450</v>
      </c>
      <c r="H102" s="306">
        <v>20</v>
      </c>
      <c r="I102" s="466">
        <f t="shared" si="25"/>
        <v>1.3793103448275862E-2</v>
      </c>
    </row>
    <row r="103" spans="1:9" ht="15.75" thickBot="1" x14ac:dyDescent="0.3">
      <c r="A103" s="142" t="s">
        <v>81</v>
      </c>
      <c r="B103" s="469" t="s">
        <v>170</v>
      </c>
      <c r="C103" s="57">
        <v>8200</v>
      </c>
      <c r="D103" s="309">
        <v>8200</v>
      </c>
      <c r="E103" s="309">
        <v>8200</v>
      </c>
      <c r="F103" s="309">
        <v>8200</v>
      </c>
      <c r="G103" s="309">
        <v>8200</v>
      </c>
      <c r="H103" s="309">
        <v>2249</v>
      </c>
      <c r="I103" s="466">
        <f t="shared" si="25"/>
        <v>0.27426829268292685</v>
      </c>
    </row>
    <row r="104" spans="1:9" ht="15.75" thickBot="1" x14ac:dyDescent="0.3">
      <c r="A104" s="36" t="s">
        <v>82</v>
      </c>
      <c r="B104" s="470"/>
      <c r="C104" s="38">
        <f t="shared" ref="C104:H104" si="33">SUM(C105:C107)</f>
        <v>167335</v>
      </c>
      <c r="D104" s="310">
        <f t="shared" si="33"/>
        <v>165110</v>
      </c>
      <c r="E104" s="310">
        <f t="shared" si="33"/>
        <v>165110</v>
      </c>
      <c r="F104" s="310">
        <f t="shared" si="33"/>
        <v>166710</v>
      </c>
      <c r="G104" s="310">
        <f t="shared" si="33"/>
        <v>168710</v>
      </c>
      <c r="H104" s="310">
        <f t="shared" si="33"/>
        <v>57784</v>
      </c>
      <c r="I104" s="466">
        <f t="shared" si="25"/>
        <v>0.34250489004801138</v>
      </c>
    </row>
    <row r="105" spans="1:9" x14ac:dyDescent="0.25">
      <c r="A105" s="51" t="s">
        <v>83</v>
      </c>
      <c r="B105" s="471" t="s">
        <v>84</v>
      </c>
      <c r="C105" s="178">
        <v>128035</v>
      </c>
      <c r="D105" s="483">
        <f>128035-2000</f>
        <v>126035</v>
      </c>
      <c r="E105" s="319">
        <f>128035-2000</f>
        <v>126035</v>
      </c>
      <c r="F105" s="319">
        <f>128035-2000</f>
        <v>126035</v>
      </c>
      <c r="G105" s="483">
        <f>128035-2000+2000</f>
        <v>128035</v>
      </c>
      <c r="H105" s="319">
        <v>43382</v>
      </c>
      <c r="I105" s="466">
        <f t="shared" si="25"/>
        <v>0.33882922638341079</v>
      </c>
    </row>
    <row r="106" spans="1:9" x14ac:dyDescent="0.25">
      <c r="A106" s="58" t="s">
        <v>85</v>
      </c>
      <c r="B106" s="467" t="s">
        <v>86</v>
      </c>
      <c r="C106" s="41">
        <v>20800</v>
      </c>
      <c r="D106" s="479">
        <f>20800-3000</f>
        <v>17800</v>
      </c>
      <c r="E106" s="320">
        <f>20800-3000</f>
        <v>17800</v>
      </c>
      <c r="F106" s="320">
        <f>20800-3000</f>
        <v>17800</v>
      </c>
      <c r="G106" s="320">
        <f>20800-3000</f>
        <v>17800</v>
      </c>
      <c r="H106" s="320">
        <v>7430</v>
      </c>
      <c r="I106" s="466">
        <f t="shared" si="25"/>
        <v>0.41741573033707863</v>
      </c>
    </row>
    <row r="107" spans="1:9" ht="15.75" thickBot="1" x14ac:dyDescent="0.3">
      <c r="A107" s="59" t="s">
        <v>87</v>
      </c>
      <c r="B107" s="469" t="s">
        <v>88</v>
      </c>
      <c r="C107" s="181">
        <v>18500</v>
      </c>
      <c r="D107" s="480">
        <f>18500+2400+375</f>
        <v>21275</v>
      </c>
      <c r="E107" s="312">
        <f>18500+2400+375</f>
        <v>21275</v>
      </c>
      <c r="F107" s="480">
        <f>18500+2400+375+1600</f>
        <v>22875</v>
      </c>
      <c r="G107" s="312">
        <f>18500+2400+375+1600</f>
        <v>22875</v>
      </c>
      <c r="H107" s="312">
        <v>6972</v>
      </c>
      <c r="I107" s="466">
        <f t="shared" si="25"/>
        <v>0.30478688524590164</v>
      </c>
    </row>
    <row r="108" spans="1:9" ht="15.75" thickBot="1" x14ac:dyDescent="0.3">
      <c r="A108" s="60" t="s">
        <v>89</v>
      </c>
      <c r="B108" s="472"/>
      <c r="C108" s="61">
        <f t="shared" ref="C108:H108" si="34">SUM(C109:C112)</f>
        <v>700</v>
      </c>
      <c r="D108" s="313">
        <f t="shared" si="34"/>
        <v>1000</v>
      </c>
      <c r="E108" s="313">
        <f t="shared" si="34"/>
        <v>1000</v>
      </c>
      <c r="F108" s="313">
        <f t="shared" si="34"/>
        <v>1000</v>
      </c>
      <c r="G108" s="313">
        <f t="shared" ref="G108" si="35">SUM(G109:G112)</f>
        <v>1000</v>
      </c>
      <c r="H108" s="313">
        <f t="shared" si="34"/>
        <v>739</v>
      </c>
      <c r="I108" s="466">
        <f t="shared" si="25"/>
        <v>0.73899999999999999</v>
      </c>
    </row>
    <row r="109" spans="1:9" x14ac:dyDescent="0.25">
      <c r="A109" s="45" t="s">
        <v>90</v>
      </c>
      <c r="B109" s="473" t="s">
        <v>91</v>
      </c>
      <c r="C109" s="53">
        <v>50</v>
      </c>
      <c r="D109" s="53">
        <v>50</v>
      </c>
      <c r="E109" s="53">
        <v>50</v>
      </c>
      <c r="F109" s="53">
        <v>50</v>
      </c>
      <c r="G109" s="53">
        <v>50</v>
      </c>
      <c r="H109" s="314">
        <v>34</v>
      </c>
      <c r="I109" s="466">
        <f t="shared" si="25"/>
        <v>0.68</v>
      </c>
    </row>
    <row r="110" spans="1:9" x14ac:dyDescent="0.25">
      <c r="A110" s="58" t="s">
        <v>92</v>
      </c>
      <c r="B110" s="467" t="s">
        <v>93</v>
      </c>
      <c r="C110" s="179">
        <v>50</v>
      </c>
      <c r="D110" s="179">
        <v>50</v>
      </c>
      <c r="E110" s="179">
        <v>50</v>
      </c>
      <c r="F110" s="179">
        <v>50</v>
      </c>
      <c r="G110" s="179">
        <v>50</v>
      </c>
      <c r="H110" s="321">
        <v>24</v>
      </c>
      <c r="I110" s="466">
        <f t="shared" si="25"/>
        <v>0.48</v>
      </c>
    </row>
    <row r="111" spans="1:9" ht="15.75" thickBot="1" x14ac:dyDescent="0.3">
      <c r="A111" s="59" t="s">
        <v>94</v>
      </c>
      <c r="B111" s="469" t="s">
        <v>358</v>
      </c>
      <c r="C111" s="57">
        <v>300</v>
      </c>
      <c r="D111" s="481">
        <f>300+300</f>
        <v>600</v>
      </c>
      <c r="E111" s="181">
        <f>300+300</f>
        <v>600</v>
      </c>
      <c r="F111" s="181">
        <f>300+300</f>
        <v>600</v>
      </c>
      <c r="G111" s="181">
        <f>300+300</f>
        <v>600</v>
      </c>
      <c r="H111" s="309">
        <v>381</v>
      </c>
      <c r="I111" s="466">
        <f t="shared" si="25"/>
        <v>0.63500000000000001</v>
      </c>
    </row>
    <row r="112" spans="1:9" ht="15.75" thickBot="1" x14ac:dyDescent="0.3">
      <c r="A112" s="279" t="s">
        <v>242</v>
      </c>
      <c r="B112" s="474" t="s">
        <v>261</v>
      </c>
      <c r="C112" s="42">
        <v>300</v>
      </c>
      <c r="D112" s="42">
        <v>300</v>
      </c>
      <c r="E112" s="42">
        <v>300</v>
      </c>
      <c r="F112" s="42">
        <v>300</v>
      </c>
      <c r="G112" s="42">
        <v>300</v>
      </c>
      <c r="H112" s="316">
        <v>300</v>
      </c>
      <c r="I112" s="466">
        <f t="shared" si="25"/>
        <v>1</v>
      </c>
    </row>
    <row r="113" spans="1:13" ht="15.75" thickBot="1" x14ac:dyDescent="0.3">
      <c r="A113" s="62" t="s">
        <v>96</v>
      </c>
      <c r="B113" s="475"/>
      <c r="C113" s="64">
        <f t="shared" ref="C113:H113" si="36">SUM(C114:C118)</f>
        <v>132750</v>
      </c>
      <c r="D113" s="317">
        <f t="shared" si="36"/>
        <v>147184</v>
      </c>
      <c r="E113" s="317">
        <f t="shared" si="36"/>
        <v>153184</v>
      </c>
      <c r="F113" s="317">
        <f t="shared" si="36"/>
        <v>173884</v>
      </c>
      <c r="G113" s="317">
        <f t="shared" ref="G113" si="37">SUM(G114:G118)</f>
        <v>168984</v>
      </c>
      <c r="H113" s="317">
        <f t="shared" si="36"/>
        <v>78336</v>
      </c>
      <c r="I113" s="466">
        <f t="shared" si="25"/>
        <v>0.4635705155517682</v>
      </c>
    </row>
    <row r="114" spans="1:13" x14ac:dyDescent="0.25">
      <c r="A114" s="141" t="s">
        <v>97</v>
      </c>
      <c r="B114" s="52" t="s">
        <v>359</v>
      </c>
      <c r="C114" s="47">
        <v>20700</v>
      </c>
      <c r="D114" s="478">
        <f>20700+500+904</f>
        <v>22104</v>
      </c>
      <c r="E114" s="47">
        <f>20700+500+904</f>
        <v>22104</v>
      </c>
      <c r="F114" s="478">
        <f>20700+500+904-800-1300</f>
        <v>20004</v>
      </c>
      <c r="G114" s="47">
        <f>20700+500+904-800-1300</f>
        <v>20004</v>
      </c>
      <c r="H114" s="322">
        <v>9484</v>
      </c>
      <c r="I114" s="466">
        <f t="shared" si="25"/>
        <v>0.47410517896420717</v>
      </c>
    </row>
    <row r="115" spans="1:13" x14ac:dyDescent="0.25">
      <c r="A115" s="144" t="s">
        <v>99</v>
      </c>
      <c r="B115" s="65" t="s">
        <v>198</v>
      </c>
      <c r="C115" s="15">
        <v>81800</v>
      </c>
      <c r="D115" s="482">
        <f>81800+2400+4600</f>
        <v>88800</v>
      </c>
      <c r="E115" s="15">
        <f>81800+2400+4600</f>
        <v>88800</v>
      </c>
      <c r="F115" s="482">
        <f>81800+2400+4600+2250+2000+3000+50+2800+3000</f>
        <v>101900</v>
      </c>
      <c r="G115" s="482">
        <f>81800+2400+4600+2250+2000+3000+50+2800+3000-1500-2400-1000</f>
        <v>97000</v>
      </c>
      <c r="H115" s="323">
        <v>59311</v>
      </c>
      <c r="I115" s="466">
        <f t="shared" si="25"/>
        <v>0.61145360824742268</v>
      </c>
    </row>
    <row r="116" spans="1:13" x14ac:dyDescent="0.25">
      <c r="A116" s="144" t="s">
        <v>100</v>
      </c>
      <c r="B116" s="39" t="s">
        <v>101</v>
      </c>
      <c r="C116" s="15">
        <v>3950</v>
      </c>
      <c r="D116" s="15">
        <v>3950</v>
      </c>
      <c r="E116" s="15">
        <v>3950</v>
      </c>
      <c r="F116" s="15">
        <v>3950</v>
      </c>
      <c r="G116" s="15">
        <v>3950</v>
      </c>
      <c r="H116" s="15">
        <v>2244</v>
      </c>
      <c r="I116" s="466">
        <f t="shared" si="25"/>
        <v>0.56810126582278486</v>
      </c>
    </row>
    <row r="117" spans="1:13" x14ac:dyDescent="0.25">
      <c r="A117" s="144" t="s">
        <v>102</v>
      </c>
      <c r="B117" s="39" t="s">
        <v>103</v>
      </c>
      <c r="C117" s="15">
        <v>16300</v>
      </c>
      <c r="D117" s="482">
        <f>16300+30</f>
        <v>16330</v>
      </c>
      <c r="E117" s="15">
        <f>16300+30</f>
        <v>16330</v>
      </c>
      <c r="F117" s="15">
        <f>16300+30</f>
        <v>16330</v>
      </c>
      <c r="G117" s="15">
        <f>16300+30</f>
        <v>16330</v>
      </c>
      <c r="H117" s="15">
        <v>4004</v>
      </c>
      <c r="I117" s="466">
        <f t="shared" si="25"/>
        <v>0.24519289650949172</v>
      </c>
    </row>
    <row r="118" spans="1:13" ht="15.75" thickBot="1" x14ac:dyDescent="0.3">
      <c r="A118" s="142" t="s">
        <v>104</v>
      </c>
      <c r="B118" s="56" t="s">
        <v>361</v>
      </c>
      <c r="C118" s="181">
        <v>10000</v>
      </c>
      <c r="D118" s="481">
        <f>10000+6000</f>
        <v>16000</v>
      </c>
      <c r="E118" s="481">
        <f>10000+6000+6000</f>
        <v>22000</v>
      </c>
      <c r="F118" s="481">
        <f>10000+6000+6000+8800+700+200</f>
        <v>31700</v>
      </c>
      <c r="G118" s="181">
        <f>10000+6000+6000+8800+700+200</f>
        <v>31700</v>
      </c>
      <c r="H118" s="181">
        <v>3293</v>
      </c>
      <c r="I118" s="466">
        <f t="shared" si="25"/>
        <v>0.1038801261829653</v>
      </c>
    </row>
    <row r="119" spans="1:13" ht="15.75" thickBot="1" x14ac:dyDescent="0.3">
      <c r="A119" s="43" t="s">
        <v>105</v>
      </c>
      <c r="B119" s="44"/>
      <c r="C119" s="38">
        <f t="shared" ref="C119:H119" si="38">SUM(C120:C128)</f>
        <v>309800</v>
      </c>
      <c r="D119" s="38">
        <f t="shared" si="38"/>
        <v>309800</v>
      </c>
      <c r="E119" s="38">
        <f t="shared" si="38"/>
        <v>311800</v>
      </c>
      <c r="F119" s="38">
        <f t="shared" si="38"/>
        <v>314800</v>
      </c>
      <c r="G119" s="38">
        <f t="shared" si="38"/>
        <v>323700</v>
      </c>
      <c r="H119" s="38">
        <f t="shared" si="38"/>
        <v>134598</v>
      </c>
      <c r="I119" s="466">
        <f t="shared" si="25"/>
        <v>0.41581093605189989</v>
      </c>
    </row>
    <row r="120" spans="1:13" x14ac:dyDescent="0.25">
      <c r="A120" s="66" t="s">
        <v>106</v>
      </c>
      <c r="B120" s="67" t="s">
        <v>107</v>
      </c>
      <c r="C120" s="86">
        <v>149400</v>
      </c>
      <c r="D120" s="86">
        <f>149400</f>
        <v>149400</v>
      </c>
      <c r="E120" s="86">
        <f>149400</f>
        <v>149400</v>
      </c>
      <c r="F120" s="506">
        <f>149400+3000</f>
        <v>152400</v>
      </c>
      <c r="G120" s="506">
        <f>149400+3000+1700+4500</f>
        <v>158600</v>
      </c>
      <c r="H120" s="86">
        <v>67596</v>
      </c>
      <c r="I120" s="466">
        <f t="shared" si="25"/>
        <v>0.42620428751576295</v>
      </c>
    </row>
    <row r="121" spans="1:13" x14ac:dyDescent="0.25">
      <c r="A121" s="505" t="s">
        <v>444</v>
      </c>
      <c r="B121" s="14" t="s">
        <v>446</v>
      </c>
      <c r="C121" s="169">
        <v>0</v>
      </c>
      <c r="D121" s="169">
        <v>0</v>
      </c>
      <c r="E121" s="492">
        <v>1000</v>
      </c>
      <c r="F121" s="169">
        <v>1000</v>
      </c>
      <c r="G121" s="169">
        <v>1000</v>
      </c>
      <c r="H121" s="168">
        <v>0</v>
      </c>
      <c r="I121" s="466">
        <f t="shared" si="25"/>
        <v>0</v>
      </c>
    </row>
    <row r="122" spans="1:13" x14ac:dyDescent="0.25">
      <c r="A122" s="505" t="s">
        <v>445</v>
      </c>
      <c r="B122" s="14" t="s">
        <v>447</v>
      </c>
      <c r="C122" s="169">
        <v>0</v>
      </c>
      <c r="D122" s="169">
        <v>0</v>
      </c>
      <c r="E122" s="492">
        <v>1000</v>
      </c>
      <c r="F122" s="169">
        <v>1000</v>
      </c>
      <c r="G122" s="169">
        <v>1000</v>
      </c>
      <c r="H122" s="168">
        <v>0</v>
      </c>
      <c r="I122" s="466">
        <f t="shared" si="25"/>
        <v>0</v>
      </c>
    </row>
    <row r="123" spans="1:13" x14ac:dyDescent="0.25">
      <c r="A123" s="68" t="s">
        <v>108</v>
      </c>
      <c r="B123" s="17" t="s">
        <v>196</v>
      </c>
      <c r="C123" s="168">
        <v>3000</v>
      </c>
      <c r="D123" s="168">
        <v>3000</v>
      </c>
      <c r="E123" s="168">
        <v>3000</v>
      </c>
      <c r="F123" s="168">
        <v>3000</v>
      </c>
      <c r="G123" s="168">
        <v>3000</v>
      </c>
      <c r="H123" s="168">
        <v>1253</v>
      </c>
      <c r="I123" s="466">
        <f t="shared" si="25"/>
        <v>0.41766666666666669</v>
      </c>
    </row>
    <row r="124" spans="1:13" x14ac:dyDescent="0.25">
      <c r="A124" s="68" t="s">
        <v>109</v>
      </c>
      <c r="B124" s="17" t="s">
        <v>110</v>
      </c>
      <c r="C124" s="168">
        <v>27800</v>
      </c>
      <c r="D124" s="168">
        <v>27800</v>
      </c>
      <c r="E124" s="168">
        <f>27800-300+300</f>
        <v>27800</v>
      </c>
      <c r="F124" s="168">
        <f>27800-300+300</f>
        <v>27800</v>
      </c>
      <c r="G124" s="465">
        <f>27800-300+300+570</f>
        <v>28370</v>
      </c>
      <c r="H124" s="168">
        <v>11632</v>
      </c>
      <c r="I124" s="466">
        <f t="shared" si="25"/>
        <v>0.4100105745505816</v>
      </c>
    </row>
    <row r="125" spans="1:13" x14ac:dyDescent="0.25">
      <c r="A125" s="68" t="s">
        <v>111</v>
      </c>
      <c r="B125" s="17" t="s">
        <v>112</v>
      </c>
      <c r="C125" s="18">
        <v>41200</v>
      </c>
      <c r="D125" s="18">
        <v>41200</v>
      </c>
      <c r="E125" s="18">
        <f t="shared" ref="E125:F126" si="39">41200-400+400</f>
        <v>41200</v>
      </c>
      <c r="F125" s="18">
        <f t="shared" si="39"/>
        <v>41200</v>
      </c>
      <c r="G125" s="477">
        <f>41200-400+400+780</f>
        <v>41980</v>
      </c>
      <c r="H125" s="18">
        <v>17449</v>
      </c>
      <c r="I125" s="466">
        <f t="shared" si="25"/>
        <v>0.41565030967127203</v>
      </c>
    </row>
    <row r="126" spans="1:13" x14ac:dyDescent="0.25">
      <c r="A126" s="68" t="s">
        <v>113</v>
      </c>
      <c r="B126" s="17" t="s">
        <v>114</v>
      </c>
      <c r="C126" s="18">
        <v>41200</v>
      </c>
      <c r="D126" s="18">
        <v>41200</v>
      </c>
      <c r="E126" s="18">
        <f t="shared" si="39"/>
        <v>41200</v>
      </c>
      <c r="F126" s="18">
        <f t="shared" si="39"/>
        <v>41200</v>
      </c>
      <c r="G126" s="477">
        <f>41200-400+400+780</f>
        <v>41980</v>
      </c>
      <c r="H126" s="18">
        <v>17449</v>
      </c>
      <c r="I126" s="466">
        <f t="shared" si="25"/>
        <v>0.41565030967127203</v>
      </c>
    </row>
    <row r="127" spans="1:13" x14ac:dyDescent="0.25">
      <c r="A127" s="69" t="s">
        <v>115</v>
      </c>
      <c r="B127" s="17" t="s">
        <v>362</v>
      </c>
      <c r="C127" s="70">
        <v>43900</v>
      </c>
      <c r="D127" s="70">
        <v>43900</v>
      </c>
      <c r="E127" s="70">
        <f>43900+1100-1100</f>
        <v>43900</v>
      </c>
      <c r="F127" s="70">
        <f>43900+1100-1100</f>
        <v>43900</v>
      </c>
      <c r="G127" s="561">
        <f>43900+1100-1100+570</f>
        <v>44470</v>
      </c>
      <c r="H127" s="70">
        <v>17557</v>
      </c>
      <c r="I127" s="466">
        <f t="shared" si="25"/>
        <v>0.39480548684506411</v>
      </c>
      <c r="K127" s="123"/>
      <c r="L127" s="123"/>
      <c r="M127" s="123"/>
    </row>
    <row r="128" spans="1:13" ht="15.75" thickBot="1" x14ac:dyDescent="0.3">
      <c r="A128" s="68" t="s">
        <v>117</v>
      </c>
      <c r="B128" s="17" t="s">
        <v>118</v>
      </c>
      <c r="C128" s="70">
        <v>3300</v>
      </c>
      <c r="D128" s="70">
        <v>3300</v>
      </c>
      <c r="E128" s="70">
        <v>3300</v>
      </c>
      <c r="F128" s="70">
        <v>3300</v>
      </c>
      <c r="G128" s="70">
        <v>3300</v>
      </c>
      <c r="H128" s="70">
        <v>1662</v>
      </c>
      <c r="I128" s="466">
        <f t="shared" si="25"/>
        <v>0.50363636363636366</v>
      </c>
    </row>
    <row r="129" spans="1:14" ht="15.75" thickBot="1" x14ac:dyDescent="0.3">
      <c r="A129" s="36" t="s">
        <v>119</v>
      </c>
      <c r="B129" s="37"/>
      <c r="C129" s="38">
        <f t="shared" ref="C129:H129" si="40">SUM(C130:C134)</f>
        <v>307100</v>
      </c>
      <c r="D129" s="38">
        <f t="shared" si="40"/>
        <v>309680</v>
      </c>
      <c r="E129" s="38">
        <f t="shared" si="40"/>
        <v>310480</v>
      </c>
      <c r="F129" s="38">
        <f t="shared" si="40"/>
        <v>310480</v>
      </c>
      <c r="G129" s="38">
        <f t="shared" ref="G129" si="41">SUM(G130:G134)</f>
        <v>345480</v>
      </c>
      <c r="H129" s="38">
        <f t="shared" si="40"/>
        <v>99264</v>
      </c>
      <c r="I129" s="466">
        <f t="shared" si="25"/>
        <v>0.28732198680097254</v>
      </c>
    </row>
    <row r="130" spans="1:14" x14ac:dyDescent="0.25">
      <c r="A130" s="144" t="s">
        <v>120</v>
      </c>
      <c r="B130" s="39" t="s">
        <v>262</v>
      </c>
      <c r="C130" s="15">
        <v>276500</v>
      </c>
      <c r="D130" s="482">
        <f>276500+1080+1500</f>
        <v>279080</v>
      </c>
      <c r="E130" s="15">
        <f>276500+1080+1500</f>
        <v>279080</v>
      </c>
      <c r="F130" s="15">
        <f>276500+1080+1500</f>
        <v>279080</v>
      </c>
      <c r="G130" s="482">
        <f>276500+1080+1500+31000</f>
        <v>310080</v>
      </c>
      <c r="H130" s="15">
        <v>89771</v>
      </c>
      <c r="I130" s="466">
        <f t="shared" si="25"/>
        <v>0.28950915892672857</v>
      </c>
    </row>
    <row r="131" spans="1:14" x14ac:dyDescent="0.25">
      <c r="A131" s="144" t="s">
        <v>121</v>
      </c>
      <c r="B131" s="39" t="s">
        <v>167</v>
      </c>
      <c r="C131" s="15">
        <v>8200</v>
      </c>
      <c r="D131" s="15">
        <v>8200</v>
      </c>
      <c r="E131" s="15">
        <v>8200</v>
      </c>
      <c r="F131" s="15">
        <v>8200</v>
      </c>
      <c r="G131" s="15">
        <v>8200</v>
      </c>
      <c r="H131" s="40">
        <v>2997</v>
      </c>
      <c r="I131" s="466">
        <f t="shared" si="25"/>
        <v>0.36548780487804877</v>
      </c>
    </row>
    <row r="132" spans="1:14" x14ac:dyDescent="0.25">
      <c r="A132" s="137" t="s">
        <v>122</v>
      </c>
      <c r="B132" s="25" t="s">
        <v>168</v>
      </c>
      <c r="C132" s="41">
        <v>21400</v>
      </c>
      <c r="D132" s="41">
        <v>21400</v>
      </c>
      <c r="E132" s="477">
        <f>21400+500</f>
        <v>21900</v>
      </c>
      <c r="F132" s="18">
        <f>21400+500</f>
        <v>21900</v>
      </c>
      <c r="G132" s="477">
        <f>21400+500+4000</f>
        <v>25900</v>
      </c>
      <c r="H132" s="41">
        <v>6196</v>
      </c>
      <c r="I132" s="466">
        <f t="shared" si="25"/>
        <v>0.23922779922779921</v>
      </c>
      <c r="L132" s="123"/>
    </row>
    <row r="133" spans="1:14" x14ac:dyDescent="0.25">
      <c r="A133" s="137" t="s">
        <v>123</v>
      </c>
      <c r="B133" s="25" t="s">
        <v>124</v>
      </c>
      <c r="C133" s="41">
        <v>500</v>
      </c>
      <c r="D133" s="41">
        <v>500</v>
      </c>
      <c r="E133" s="41">
        <v>500</v>
      </c>
      <c r="F133" s="18">
        <v>500</v>
      </c>
      <c r="G133" s="18">
        <v>500</v>
      </c>
      <c r="H133" s="41">
        <v>0</v>
      </c>
      <c r="I133" s="466">
        <f t="shared" si="25"/>
        <v>0</v>
      </c>
    </row>
    <row r="134" spans="1:14" ht="15.75" thickBot="1" x14ac:dyDescent="0.3">
      <c r="A134" s="142" t="s">
        <v>125</v>
      </c>
      <c r="B134" s="56" t="s">
        <v>126</v>
      </c>
      <c r="C134" s="57">
        <v>500</v>
      </c>
      <c r="D134" s="57">
        <v>500</v>
      </c>
      <c r="E134" s="481">
        <f>500+300</f>
        <v>800</v>
      </c>
      <c r="F134" s="181">
        <f>500+300</f>
        <v>800</v>
      </c>
      <c r="G134" s="181">
        <f>500+300</f>
        <v>800</v>
      </c>
      <c r="H134" s="57">
        <v>300</v>
      </c>
      <c r="I134" s="466">
        <f t="shared" si="25"/>
        <v>0.375</v>
      </c>
      <c r="J134" s="123"/>
      <c r="K134" s="123"/>
    </row>
    <row r="135" spans="1:14" ht="21.75" customHeight="1" thickBot="1" x14ac:dyDescent="0.3">
      <c r="A135" s="71" t="s">
        <v>127</v>
      </c>
      <c r="B135" s="143"/>
      <c r="C135" s="72">
        <f t="shared" ref="C135:H135" si="42">SUM(C83+C89+C91+C94+C99+C104+C108+C113+C119+C129)</f>
        <v>1382145</v>
      </c>
      <c r="D135" s="72">
        <f t="shared" si="42"/>
        <v>1411816</v>
      </c>
      <c r="E135" s="72">
        <f t="shared" si="42"/>
        <v>1418761</v>
      </c>
      <c r="F135" s="72">
        <f t="shared" si="42"/>
        <v>1444506</v>
      </c>
      <c r="G135" s="72">
        <f t="shared" si="42"/>
        <v>1485506</v>
      </c>
      <c r="H135" s="72">
        <f t="shared" si="42"/>
        <v>544481</v>
      </c>
      <c r="I135" s="466">
        <f t="shared" si="25"/>
        <v>0.36652898069748624</v>
      </c>
      <c r="J135" s="123">
        <f>D135-C135</f>
        <v>29671</v>
      </c>
      <c r="K135" s="123">
        <f>E135-D135</f>
        <v>6945</v>
      </c>
      <c r="L135" s="123">
        <f>F135-E135</f>
        <v>25745</v>
      </c>
      <c r="M135" s="123">
        <f>G135-F135</f>
        <v>41000</v>
      </c>
      <c r="N135" s="123"/>
    </row>
    <row r="136" spans="1:14" x14ac:dyDescent="0.25">
      <c r="A136" s="247" t="s">
        <v>231</v>
      </c>
      <c r="B136" s="248" t="s">
        <v>264</v>
      </c>
      <c r="C136" s="249">
        <f t="shared" ref="C136:H136" si="43">C69</f>
        <v>472270</v>
      </c>
      <c r="D136" s="249">
        <f t="shared" si="43"/>
        <v>486089</v>
      </c>
      <c r="E136" s="249">
        <f t="shared" si="43"/>
        <v>486089</v>
      </c>
      <c r="F136" s="249">
        <f t="shared" si="43"/>
        <v>486089</v>
      </c>
      <c r="G136" s="249">
        <f t="shared" si="43"/>
        <v>486800</v>
      </c>
      <c r="H136" s="249">
        <f t="shared" si="43"/>
        <v>243703</v>
      </c>
      <c r="I136" s="466">
        <f t="shared" si="25"/>
        <v>0.5006224322103533</v>
      </c>
      <c r="J136" s="123"/>
      <c r="K136" s="123"/>
      <c r="L136" s="123"/>
    </row>
    <row r="137" spans="1:14" ht="16.5" customHeight="1" x14ac:dyDescent="0.25">
      <c r="A137" s="263" t="s">
        <v>231</v>
      </c>
      <c r="B137" s="264" t="s">
        <v>225</v>
      </c>
      <c r="C137" s="265">
        <f t="shared" ref="C137:H137" si="44">C71</f>
        <v>3000</v>
      </c>
      <c r="D137" s="265">
        <f t="shared" si="44"/>
        <v>3000</v>
      </c>
      <c r="E137" s="265">
        <f t="shared" si="44"/>
        <v>3000</v>
      </c>
      <c r="F137" s="265">
        <f t="shared" si="44"/>
        <v>3000</v>
      </c>
      <c r="G137" s="265">
        <f t="shared" si="44"/>
        <v>3000</v>
      </c>
      <c r="H137" s="265">
        <f t="shared" si="44"/>
        <v>1854</v>
      </c>
      <c r="I137" s="466">
        <f t="shared" si="25"/>
        <v>0.61799999999999999</v>
      </c>
      <c r="J137" s="123"/>
      <c r="K137" s="123"/>
      <c r="L137" s="123"/>
    </row>
    <row r="138" spans="1:14" ht="16.5" customHeight="1" x14ac:dyDescent="0.25">
      <c r="A138" s="263" t="s">
        <v>231</v>
      </c>
      <c r="B138" s="264" t="s">
        <v>265</v>
      </c>
      <c r="C138" s="265">
        <v>54240</v>
      </c>
      <c r="D138" s="265">
        <v>54240</v>
      </c>
      <c r="E138" s="265">
        <v>54240</v>
      </c>
      <c r="F138" s="265">
        <v>54240</v>
      </c>
      <c r="G138" s="265">
        <v>54240</v>
      </c>
      <c r="H138" s="265">
        <f>H73</f>
        <v>5459</v>
      </c>
      <c r="I138" s="466">
        <f t="shared" si="25"/>
        <v>0.1006452802359882</v>
      </c>
      <c r="J138" s="123"/>
      <c r="K138" s="123"/>
      <c r="L138" s="123"/>
    </row>
    <row r="139" spans="1:14" ht="15.75" thickBot="1" x14ac:dyDescent="0.3">
      <c r="A139" s="364" t="s">
        <v>231</v>
      </c>
      <c r="B139" s="365" t="s">
        <v>266</v>
      </c>
      <c r="C139" s="366">
        <v>2855</v>
      </c>
      <c r="D139" s="366">
        <v>2855</v>
      </c>
      <c r="E139" s="366">
        <v>2855</v>
      </c>
      <c r="F139" s="366">
        <v>2855</v>
      </c>
      <c r="G139" s="366">
        <v>2855</v>
      </c>
      <c r="H139" s="366">
        <v>1081</v>
      </c>
      <c r="I139" s="466">
        <f t="shared" si="25"/>
        <v>0.37863397548161121</v>
      </c>
      <c r="J139" s="123"/>
      <c r="K139" s="123"/>
      <c r="L139" s="123"/>
    </row>
    <row r="140" spans="1:14" x14ac:dyDescent="0.25">
      <c r="A140" s="361" t="s">
        <v>108</v>
      </c>
      <c r="B140" s="362" t="s">
        <v>267</v>
      </c>
      <c r="C140" s="363">
        <v>22500</v>
      </c>
      <c r="D140" s="363">
        <v>22500</v>
      </c>
      <c r="E140" s="363">
        <v>22500</v>
      </c>
      <c r="F140" s="363">
        <v>22500</v>
      </c>
      <c r="G140" s="363">
        <v>22500</v>
      </c>
      <c r="H140" s="363">
        <f>5625*2</f>
        <v>11250</v>
      </c>
      <c r="I140" s="466">
        <f t="shared" si="25"/>
        <v>0.5</v>
      </c>
      <c r="J140" s="123"/>
      <c r="K140" s="123"/>
      <c r="L140" s="123"/>
    </row>
    <row r="141" spans="1:14" ht="15" customHeight="1" thickBot="1" x14ac:dyDescent="0.3">
      <c r="A141" s="263" t="s">
        <v>108</v>
      </c>
      <c r="B141" s="264" t="s">
        <v>268</v>
      </c>
      <c r="C141" s="265">
        <f t="shared" ref="C141:H141" si="45">C72</f>
        <v>1320</v>
      </c>
      <c r="D141" s="265">
        <f t="shared" si="45"/>
        <v>1320</v>
      </c>
      <c r="E141" s="265">
        <f t="shared" si="45"/>
        <v>1320</v>
      </c>
      <c r="F141" s="265">
        <f t="shared" si="45"/>
        <v>1320</v>
      </c>
      <c r="G141" s="265">
        <f t="shared" si="45"/>
        <v>1320</v>
      </c>
      <c r="H141" s="265">
        <f t="shared" si="45"/>
        <v>726</v>
      </c>
      <c r="I141" s="466">
        <f t="shared" si="25"/>
        <v>0.55000000000000004</v>
      </c>
      <c r="J141" s="123">
        <f>H137+H139+H140+H141-1275</f>
        <v>13636</v>
      </c>
      <c r="K141" s="123"/>
      <c r="L141" s="123"/>
    </row>
    <row r="142" spans="1:14" ht="14.25" customHeight="1" thickBot="1" x14ac:dyDescent="0.3">
      <c r="A142" s="654" t="s">
        <v>183</v>
      </c>
      <c r="B142" s="655"/>
      <c r="C142" s="128">
        <f t="shared" ref="C142:H142" si="46">SUM(C136:C141)</f>
        <v>556185</v>
      </c>
      <c r="D142" s="128">
        <f t="shared" si="46"/>
        <v>570004</v>
      </c>
      <c r="E142" s="128">
        <f t="shared" si="46"/>
        <v>570004</v>
      </c>
      <c r="F142" s="128">
        <f t="shared" si="46"/>
        <v>570004</v>
      </c>
      <c r="G142" s="128">
        <f t="shared" ref="G142" si="47">SUM(G136:G141)</f>
        <v>570715</v>
      </c>
      <c r="H142" s="128">
        <f t="shared" si="46"/>
        <v>264073</v>
      </c>
      <c r="I142" s="466">
        <f t="shared" si="25"/>
        <v>0.46270555356000809</v>
      </c>
      <c r="J142" s="123">
        <f>D142-C142</f>
        <v>13819</v>
      </c>
      <c r="K142" s="123">
        <f>E142-D142</f>
        <v>0</v>
      </c>
      <c r="L142" s="123">
        <f>F142-E142</f>
        <v>0</v>
      </c>
      <c r="M142" s="123">
        <f>G142-F142</f>
        <v>711</v>
      </c>
    </row>
    <row r="143" spans="1:14" x14ac:dyDescent="0.25">
      <c r="A143" s="250" t="s">
        <v>108</v>
      </c>
      <c r="B143" s="251" t="s">
        <v>227</v>
      </c>
      <c r="C143" s="221">
        <f>190500+13510</f>
        <v>204010</v>
      </c>
      <c r="D143" s="221">
        <f>190500+13510</f>
        <v>204010</v>
      </c>
      <c r="E143" s="221">
        <f>190500+13510</f>
        <v>204010</v>
      </c>
      <c r="F143" s="221">
        <f>190500+13510</f>
        <v>204010</v>
      </c>
      <c r="G143" s="221">
        <f>190500+13510</f>
        <v>204010</v>
      </c>
      <c r="H143" s="221">
        <f>17000*6</f>
        <v>102000</v>
      </c>
      <c r="I143" s="466">
        <f t="shared" si="25"/>
        <v>0.49997549139748054</v>
      </c>
      <c r="J143" s="123"/>
      <c r="K143" s="123"/>
      <c r="L143" s="123"/>
    </row>
    <row r="144" spans="1:14" ht="17.25" customHeight="1" thickBot="1" x14ac:dyDescent="0.3">
      <c r="A144" s="266" t="s">
        <v>108</v>
      </c>
      <c r="B144" s="244" t="s">
        <v>228</v>
      </c>
      <c r="C144" s="217">
        <f t="shared" ref="C144:H144" si="48">C75</f>
        <v>9770</v>
      </c>
      <c r="D144" s="217">
        <f t="shared" si="48"/>
        <v>9770</v>
      </c>
      <c r="E144" s="217">
        <f t="shared" si="48"/>
        <v>9770</v>
      </c>
      <c r="F144" s="217">
        <f t="shared" si="48"/>
        <v>9770</v>
      </c>
      <c r="G144" s="217">
        <f t="shared" si="48"/>
        <v>9770</v>
      </c>
      <c r="H144" s="217">
        <f t="shared" si="48"/>
        <v>5017</v>
      </c>
      <c r="I144" s="466">
        <f t="shared" si="25"/>
        <v>0.51351074718526102</v>
      </c>
      <c r="J144" s="123"/>
      <c r="K144" s="123"/>
      <c r="L144" s="123"/>
    </row>
    <row r="145" spans="1:17" ht="16.5" customHeight="1" thickBot="1" x14ac:dyDescent="0.3">
      <c r="A145" s="656" t="s">
        <v>226</v>
      </c>
      <c r="B145" s="657"/>
      <c r="C145" s="367">
        <f t="shared" ref="C145:H145" si="49">SUM(C143:C144)</f>
        <v>213780</v>
      </c>
      <c r="D145" s="367">
        <f t="shared" si="49"/>
        <v>213780</v>
      </c>
      <c r="E145" s="367">
        <f t="shared" si="49"/>
        <v>213780</v>
      </c>
      <c r="F145" s="367">
        <f t="shared" si="49"/>
        <v>213780</v>
      </c>
      <c r="G145" s="367">
        <f t="shared" ref="G145" si="50">SUM(G143:G144)</f>
        <v>213780</v>
      </c>
      <c r="H145" s="367">
        <f t="shared" si="49"/>
        <v>107017</v>
      </c>
      <c r="I145" s="466">
        <f t="shared" si="25"/>
        <v>0.50059406866872491</v>
      </c>
      <c r="J145" s="123">
        <f t="shared" ref="J145:M147" si="51">D145-C145</f>
        <v>0</v>
      </c>
      <c r="K145" s="123">
        <f t="shared" si="51"/>
        <v>0</v>
      </c>
      <c r="L145" s="123">
        <f t="shared" si="51"/>
        <v>0</v>
      </c>
      <c r="M145" s="123">
        <f t="shared" si="51"/>
        <v>0</v>
      </c>
    </row>
    <row r="146" spans="1:17" ht="18.75" customHeight="1" thickBot="1" x14ac:dyDescent="0.3">
      <c r="A146" s="658" t="s">
        <v>220</v>
      </c>
      <c r="B146" s="659"/>
      <c r="C146" s="368">
        <f t="shared" ref="C146:H146" si="52">C142+C145</f>
        <v>769965</v>
      </c>
      <c r="D146" s="368">
        <f t="shared" si="52"/>
        <v>783784</v>
      </c>
      <c r="E146" s="368">
        <f t="shared" si="52"/>
        <v>783784</v>
      </c>
      <c r="F146" s="368">
        <f t="shared" si="52"/>
        <v>783784</v>
      </c>
      <c r="G146" s="368">
        <f t="shared" ref="G146" si="53">G142+G145</f>
        <v>784495</v>
      </c>
      <c r="H146" s="368">
        <f t="shared" si="52"/>
        <v>371090</v>
      </c>
      <c r="I146" s="466">
        <f t="shared" si="25"/>
        <v>0.47303042084398245</v>
      </c>
      <c r="J146" s="123">
        <f t="shared" si="51"/>
        <v>13819</v>
      </c>
      <c r="K146" s="123">
        <f t="shared" si="51"/>
        <v>0</v>
      </c>
      <c r="L146" s="123">
        <f t="shared" si="51"/>
        <v>0</v>
      </c>
      <c r="M146" s="123">
        <f t="shared" si="51"/>
        <v>711</v>
      </c>
    </row>
    <row r="147" spans="1:17" ht="30.75" customHeight="1" thickBot="1" x14ac:dyDescent="0.3">
      <c r="A147" s="73" t="s">
        <v>184</v>
      </c>
      <c r="B147" s="140"/>
      <c r="C147" s="74">
        <f t="shared" ref="C147:H147" si="54">C135+C146</f>
        <v>2152110</v>
      </c>
      <c r="D147" s="74">
        <f t="shared" si="54"/>
        <v>2195600</v>
      </c>
      <c r="E147" s="74">
        <f t="shared" si="54"/>
        <v>2202545</v>
      </c>
      <c r="F147" s="74">
        <f t="shared" si="54"/>
        <v>2228290</v>
      </c>
      <c r="G147" s="74">
        <f t="shared" si="54"/>
        <v>2270001</v>
      </c>
      <c r="H147" s="74">
        <f t="shared" si="54"/>
        <v>915571</v>
      </c>
      <c r="I147" s="466">
        <f t="shared" si="25"/>
        <v>0.40333506461010371</v>
      </c>
      <c r="J147" s="123">
        <f t="shared" si="51"/>
        <v>43490</v>
      </c>
      <c r="K147" s="123">
        <f t="shared" si="51"/>
        <v>6945</v>
      </c>
      <c r="L147" s="123">
        <f t="shared" si="51"/>
        <v>25745</v>
      </c>
      <c r="M147" s="123">
        <f t="shared" si="51"/>
        <v>41711</v>
      </c>
    </row>
    <row r="149" spans="1:17" ht="15" customHeight="1" x14ac:dyDescent="0.25">
      <c r="M149" s="123"/>
    </row>
    <row r="150" spans="1:17" ht="18.75" thickBot="1" x14ac:dyDescent="0.3">
      <c r="A150" s="660" t="s">
        <v>128</v>
      </c>
      <c r="B150" s="661"/>
      <c r="C150" s="661"/>
      <c r="D150" s="661"/>
      <c r="E150" s="661"/>
      <c r="F150" s="661"/>
      <c r="G150" s="661"/>
      <c r="H150" s="661"/>
      <c r="M150" s="123"/>
      <c r="N150" s="123"/>
      <c r="O150" s="123"/>
    </row>
    <row r="151" spans="1:17" ht="15" customHeight="1" x14ac:dyDescent="0.25">
      <c r="A151" s="644" t="s">
        <v>1</v>
      </c>
      <c r="B151" s="645"/>
      <c r="C151" s="638" t="s">
        <v>323</v>
      </c>
      <c r="D151" s="638" t="s">
        <v>322</v>
      </c>
      <c r="E151" s="638" t="s">
        <v>408</v>
      </c>
      <c r="F151" s="638" t="s">
        <v>413</v>
      </c>
      <c r="G151" s="638" t="s">
        <v>510</v>
      </c>
      <c r="H151" s="638" t="s">
        <v>509</v>
      </c>
      <c r="I151" s="640" t="s">
        <v>352</v>
      </c>
      <c r="L151" s="123"/>
      <c r="P151" s="123"/>
      <c r="Q151" s="123"/>
    </row>
    <row r="152" spans="1:17" ht="15.75" thickBot="1" x14ac:dyDescent="0.3">
      <c r="A152" s="646"/>
      <c r="B152" s="647"/>
      <c r="C152" s="639"/>
      <c r="D152" s="639"/>
      <c r="E152" s="639"/>
      <c r="F152" s="639"/>
      <c r="G152" s="639"/>
      <c r="H152" s="639"/>
      <c r="I152" s="641"/>
      <c r="J152" s="123"/>
      <c r="K152" s="123"/>
    </row>
    <row r="153" spans="1:17" ht="16.5" thickBot="1" x14ac:dyDescent="0.3">
      <c r="A153" s="648" t="s">
        <v>129</v>
      </c>
      <c r="B153" s="649"/>
      <c r="C153" s="328">
        <f t="shared" ref="C153:H153" si="55">SUM(C154:C159)</f>
        <v>620702</v>
      </c>
      <c r="D153" s="328">
        <f t="shared" si="55"/>
        <v>635220</v>
      </c>
      <c r="E153" s="328">
        <f t="shared" si="55"/>
        <v>635220</v>
      </c>
      <c r="F153" s="328">
        <f t="shared" si="55"/>
        <v>561520</v>
      </c>
      <c r="G153" s="328">
        <f t="shared" si="55"/>
        <v>519520</v>
      </c>
      <c r="H153" s="75">
        <f t="shared" si="55"/>
        <v>0</v>
      </c>
      <c r="I153" s="466">
        <f>H153/G153</f>
        <v>0</v>
      </c>
      <c r="J153" s="123">
        <f>D153-C153</f>
        <v>14518</v>
      </c>
      <c r="K153" s="123">
        <f>E153-D153</f>
        <v>0</v>
      </c>
      <c r="L153" s="123">
        <f>F153-E153</f>
        <v>-73700</v>
      </c>
      <c r="M153" s="123">
        <f>G153-F153</f>
        <v>-42000</v>
      </c>
    </row>
    <row r="154" spans="1:17" ht="15.75" thickBot="1" x14ac:dyDescent="0.3">
      <c r="A154" s="176">
        <v>233</v>
      </c>
      <c r="B154" s="56" t="s">
        <v>130</v>
      </c>
      <c r="C154" s="329">
        <v>1000</v>
      </c>
      <c r="D154" s="329">
        <v>1000</v>
      </c>
      <c r="E154" s="329">
        <v>1000</v>
      </c>
      <c r="F154" s="539">
        <f>1000+2000</f>
        <v>3000</v>
      </c>
      <c r="G154" s="334">
        <f>1000+2000</f>
        <v>3000</v>
      </c>
      <c r="H154" s="329">
        <v>0</v>
      </c>
      <c r="I154" s="466">
        <f t="shared" ref="I154:I183" si="56">H154/G154</f>
        <v>0</v>
      </c>
    </row>
    <row r="155" spans="1:17" x14ac:dyDescent="0.25">
      <c r="A155" s="540">
        <v>322</v>
      </c>
      <c r="B155" s="541" t="s">
        <v>468</v>
      </c>
      <c r="C155" s="542">
        <v>0</v>
      </c>
      <c r="D155" s="542">
        <v>0</v>
      </c>
      <c r="E155" s="542">
        <v>0</v>
      </c>
      <c r="F155" s="543">
        <v>42000</v>
      </c>
      <c r="G155" s="543">
        <f>42000-42000</f>
        <v>0</v>
      </c>
      <c r="H155" s="542"/>
      <c r="I155" s="466">
        <v>0</v>
      </c>
    </row>
    <row r="156" spans="1:17" x14ac:dyDescent="0.25">
      <c r="A156" s="102">
        <v>322</v>
      </c>
      <c r="B156" s="25" t="s">
        <v>241</v>
      </c>
      <c r="C156" s="331">
        <v>183255</v>
      </c>
      <c r="D156" s="485">
        <f>183255+18815</f>
        <v>202070</v>
      </c>
      <c r="E156" s="335">
        <f>183255+18815</f>
        <v>202070</v>
      </c>
      <c r="F156" s="335">
        <f>183255+18815</f>
        <v>202070</v>
      </c>
      <c r="G156" s="335">
        <f>183255+18815</f>
        <v>202070</v>
      </c>
      <c r="H156" s="331">
        <v>0</v>
      </c>
      <c r="I156" s="466">
        <f t="shared" si="56"/>
        <v>0</v>
      </c>
      <c r="N156" s="123"/>
      <c r="O156" s="123"/>
      <c r="P156" s="123"/>
      <c r="Q156" s="123"/>
    </row>
    <row r="157" spans="1:17" x14ac:dyDescent="0.25">
      <c r="A157" s="175">
        <v>322</v>
      </c>
      <c r="B157" s="39" t="s">
        <v>240</v>
      </c>
      <c r="C157" s="330">
        <v>120047</v>
      </c>
      <c r="D157" s="487">
        <f>120047+2253</f>
        <v>122300</v>
      </c>
      <c r="E157" s="333">
        <f>120047+2253</f>
        <v>122300</v>
      </c>
      <c r="F157" s="487">
        <f>120047+2253-55000</f>
        <v>67300</v>
      </c>
      <c r="G157" s="333">
        <f>120047+2253-55000</f>
        <v>67300</v>
      </c>
      <c r="H157" s="333">
        <v>0</v>
      </c>
      <c r="I157" s="466">
        <f t="shared" si="56"/>
        <v>0</v>
      </c>
      <c r="L157" s="123"/>
      <c r="M157" s="123"/>
    </row>
    <row r="158" spans="1:17" x14ac:dyDescent="0.25">
      <c r="A158" s="102">
        <v>322</v>
      </c>
      <c r="B158" s="25" t="s">
        <v>160</v>
      </c>
      <c r="C158" s="331">
        <v>121400</v>
      </c>
      <c r="D158" s="485">
        <f>121400-6550</f>
        <v>114850</v>
      </c>
      <c r="E158" s="335">
        <f>121400-6550</f>
        <v>114850</v>
      </c>
      <c r="F158" s="485">
        <f>121400-6550-61200</f>
        <v>53650</v>
      </c>
      <c r="G158" s="335">
        <f>121400-6550-61200</f>
        <v>53650</v>
      </c>
      <c r="H158" s="331">
        <v>0</v>
      </c>
      <c r="I158" s="466">
        <f t="shared" si="56"/>
        <v>0</v>
      </c>
    </row>
    <row r="159" spans="1:17" ht="15.75" thickBot="1" x14ac:dyDescent="0.3">
      <c r="A159" s="102">
        <v>322</v>
      </c>
      <c r="B159" s="25" t="s">
        <v>162</v>
      </c>
      <c r="C159" s="331">
        <v>195000</v>
      </c>
      <c r="D159" s="331">
        <v>195000</v>
      </c>
      <c r="E159" s="331">
        <v>195000</v>
      </c>
      <c r="F159" s="485">
        <f>195000-1500</f>
        <v>193500</v>
      </c>
      <c r="G159" s="335">
        <f>195000-1500</f>
        <v>193500</v>
      </c>
      <c r="H159" s="331">
        <v>0</v>
      </c>
      <c r="I159" s="466">
        <f t="shared" si="56"/>
        <v>0</v>
      </c>
      <c r="J159" s="123">
        <f>SUM(C155:C159)</f>
        <v>619702</v>
      </c>
      <c r="K159" s="123">
        <f>SUM(D155:D159)</f>
        <v>634220</v>
      </c>
      <c r="L159" s="123">
        <f>SUM(E155:E159)</f>
        <v>634220</v>
      </c>
      <c r="M159" s="123">
        <f>SUM(F155:F159)</f>
        <v>558520</v>
      </c>
    </row>
    <row r="160" spans="1:17" ht="16.5" thickBot="1" x14ac:dyDescent="0.3">
      <c r="A160" s="648" t="s">
        <v>131</v>
      </c>
      <c r="B160" s="649"/>
      <c r="C160" s="328">
        <f t="shared" ref="C160:H160" si="57">SUM(C161:C183)</f>
        <v>1020702</v>
      </c>
      <c r="D160" s="328">
        <f t="shared" si="57"/>
        <v>1035220</v>
      </c>
      <c r="E160" s="328">
        <f t="shared" si="57"/>
        <v>1035220</v>
      </c>
      <c r="F160" s="328">
        <f t="shared" si="57"/>
        <v>1086320</v>
      </c>
      <c r="G160" s="328">
        <f t="shared" si="57"/>
        <v>1044320</v>
      </c>
      <c r="H160" s="328">
        <f t="shared" si="57"/>
        <v>84118</v>
      </c>
      <c r="I160" s="466">
        <f t="shared" si="56"/>
        <v>8.0548107859659879E-2</v>
      </c>
      <c r="J160" s="123">
        <f>D160-C160</f>
        <v>14518</v>
      </c>
      <c r="K160" s="123">
        <f>E160-D160</f>
        <v>0</v>
      </c>
      <c r="L160" s="123">
        <f>F160-E160</f>
        <v>51100</v>
      </c>
      <c r="M160" s="123">
        <f>G160-F160</f>
        <v>-42000</v>
      </c>
      <c r="O160" s="123"/>
    </row>
    <row r="161" spans="1:21" x14ac:dyDescent="0.25">
      <c r="A161" s="210" t="s">
        <v>50</v>
      </c>
      <c r="B161" s="211" t="s">
        <v>158</v>
      </c>
      <c r="C161" s="303">
        <v>127047</v>
      </c>
      <c r="D161" s="486">
        <f>127047+2403</f>
        <v>129450</v>
      </c>
      <c r="E161" s="303">
        <f>127047+2403</f>
        <v>129450</v>
      </c>
      <c r="F161" s="303">
        <f>127047+2403</f>
        <v>129450</v>
      </c>
      <c r="G161" s="303">
        <f>127047+2403</f>
        <v>129450</v>
      </c>
      <c r="H161" s="303">
        <v>0</v>
      </c>
      <c r="I161" s="466">
        <f t="shared" si="56"/>
        <v>0</v>
      </c>
      <c r="L161" s="123">
        <f>SUM(D161:D163)</f>
        <v>182050</v>
      </c>
      <c r="M161" s="123">
        <f t="shared" ref="M161" si="58">SUM(H161:H163)</f>
        <v>0</v>
      </c>
      <c r="N161" s="123"/>
      <c r="O161" s="123"/>
    </row>
    <row r="162" spans="1:21" x14ac:dyDescent="0.25">
      <c r="A162" s="174" t="s">
        <v>50</v>
      </c>
      <c r="B162" s="152" t="s">
        <v>404</v>
      </c>
      <c r="C162" s="230">
        <v>15000</v>
      </c>
      <c r="D162" s="230">
        <v>15000</v>
      </c>
      <c r="E162" s="488">
        <f>15000+29000</f>
        <v>44000</v>
      </c>
      <c r="F162" s="488">
        <f>15000+29000-6500</f>
        <v>37500</v>
      </c>
      <c r="G162" s="230">
        <f>15000+29000-6500</f>
        <v>37500</v>
      </c>
      <c r="H162" s="230">
        <v>0</v>
      </c>
      <c r="I162" s="466">
        <f t="shared" si="56"/>
        <v>0</v>
      </c>
      <c r="M162" s="123"/>
      <c r="N162" s="123"/>
      <c r="O162" s="123"/>
      <c r="P162" s="123"/>
      <c r="Q162" s="123"/>
    </row>
    <row r="163" spans="1:21" ht="15.75" thickBot="1" x14ac:dyDescent="0.3">
      <c r="A163" s="358" t="s">
        <v>50</v>
      </c>
      <c r="B163" s="108" t="s">
        <v>253</v>
      </c>
      <c r="C163" s="228">
        <v>10000</v>
      </c>
      <c r="D163" s="484">
        <f>10000+27600</f>
        <v>37600</v>
      </c>
      <c r="E163" s="484">
        <f>10000+27600-11160</f>
        <v>26440</v>
      </c>
      <c r="F163" s="228">
        <f>10000+27600-11160</f>
        <v>26440</v>
      </c>
      <c r="G163" s="228">
        <f>10000+27600-11160</f>
        <v>26440</v>
      </c>
      <c r="H163" s="228">
        <v>0</v>
      </c>
      <c r="I163" s="466">
        <f t="shared" si="56"/>
        <v>0</v>
      </c>
      <c r="K163" s="123">
        <f>SUM(C161:C163)</f>
        <v>152047</v>
      </c>
      <c r="L163" s="123"/>
      <c r="M163" s="123"/>
      <c r="N163" s="123"/>
      <c r="O163" s="123"/>
    </row>
    <row r="164" spans="1:21" x14ac:dyDescent="0.25">
      <c r="A164" s="210" t="s">
        <v>62</v>
      </c>
      <c r="B164" s="211" t="s">
        <v>254</v>
      </c>
      <c r="C164" s="303">
        <v>10000</v>
      </c>
      <c r="D164" s="486">
        <f>10000+20000</f>
        <v>30000</v>
      </c>
      <c r="E164" s="303">
        <f>10000+20000</f>
        <v>30000</v>
      </c>
      <c r="F164" s="303">
        <f>10000+20000</f>
        <v>30000</v>
      </c>
      <c r="G164" s="303">
        <f>10000+20000</f>
        <v>30000</v>
      </c>
      <c r="H164" s="303">
        <v>0</v>
      </c>
      <c r="I164" s="466">
        <f t="shared" si="56"/>
        <v>0</v>
      </c>
      <c r="M164" s="123"/>
      <c r="P164" s="123"/>
      <c r="Q164" s="123"/>
      <c r="R164" s="123"/>
    </row>
    <row r="165" spans="1:21" ht="15.75" thickBot="1" x14ac:dyDescent="0.3">
      <c r="A165" s="357" t="s">
        <v>64</v>
      </c>
      <c r="B165" s="130" t="s">
        <v>465</v>
      </c>
      <c r="C165" s="231">
        <v>0</v>
      </c>
      <c r="D165" s="231">
        <v>0</v>
      </c>
      <c r="E165" s="231">
        <v>0</v>
      </c>
      <c r="F165" s="489">
        <v>45000</v>
      </c>
      <c r="G165" s="489">
        <f>45000-45000</f>
        <v>0</v>
      </c>
      <c r="H165" s="231">
        <v>0</v>
      </c>
      <c r="I165" s="466">
        <v>0</v>
      </c>
      <c r="M165" s="123"/>
    </row>
    <row r="166" spans="1:21" x14ac:dyDescent="0.25">
      <c r="A166" s="129" t="s">
        <v>69</v>
      </c>
      <c r="B166" s="76" t="s">
        <v>186</v>
      </c>
      <c r="C166" s="229">
        <v>6870</v>
      </c>
      <c r="D166" s="229">
        <v>6870</v>
      </c>
      <c r="E166" s="229">
        <v>6870</v>
      </c>
      <c r="F166" s="229">
        <v>6870</v>
      </c>
      <c r="G166" s="229">
        <v>6870</v>
      </c>
      <c r="H166" s="229">
        <v>0</v>
      </c>
      <c r="I166" s="466">
        <f t="shared" si="56"/>
        <v>0</v>
      </c>
    </row>
    <row r="167" spans="1:21" ht="15.75" thickBot="1" x14ac:dyDescent="0.3">
      <c r="A167" s="358" t="s">
        <v>71</v>
      </c>
      <c r="B167" s="108" t="s">
        <v>255</v>
      </c>
      <c r="C167" s="228">
        <v>30000</v>
      </c>
      <c r="D167" s="484">
        <f>30000-25000</f>
        <v>5000</v>
      </c>
      <c r="E167" s="228">
        <f>30000-25000</f>
        <v>5000</v>
      </c>
      <c r="F167" s="228">
        <f>30000-25000</f>
        <v>5000</v>
      </c>
      <c r="G167" s="228">
        <f>30000-25000</f>
        <v>5000</v>
      </c>
      <c r="H167" s="228">
        <v>0</v>
      </c>
      <c r="I167" s="466">
        <f t="shared" si="56"/>
        <v>0</v>
      </c>
      <c r="J167" s="123"/>
      <c r="K167" s="123"/>
      <c r="M167" s="123"/>
    </row>
    <row r="168" spans="1:21" x14ac:dyDescent="0.25">
      <c r="A168" s="174" t="s">
        <v>77</v>
      </c>
      <c r="B168" s="133" t="s">
        <v>164</v>
      </c>
      <c r="C168" s="230">
        <v>206000</v>
      </c>
      <c r="D168" s="230">
        <v>206000</v>
      </c>
      <c r="E168" s="230">
        <v>206000</v>
      </c>
      <c r="F168" s="488">
        <f>206000-2300</f>
        <v>203700</v>
      </c>
      <c r="G168" s="230">
        <f>206000-2300</f>
        <v>203700</v>
      </c>
      <c r="H168" s="230">
        <v>0</v>
      </c>
      <c r="I168" s="466">
        <f t="shared" si="56"/>
        <v>0</v>
      </c>
      <c r="J168" s="123"/>
      <c r="K168" s="123"/>
      <c r="M168" s="123"/>
    </row>
    <row r="169" spans="1:21" ht="15.75" thickBot="1" x14ac:dyDescent="0.3">
      <c r="A169" s="173" t="s">
        <v>81</v>
      </c>
      <c r="B169" s="134" t="s">
        <v>195</v>
      </c>
      <c r="C169" s="231">
        <v>10000</v>
      </c>
      <c r="D169" s="231">
        <v>10000</v>
      </c>
      <c r="E169" s="231">
        <v>10000</v>
      </c>
      <c r="F169" s="231">
        <v>10000</v>
      </c>
      <c r="G169" s="231">
        <v>10000</v>
      </c>
      <c r="H169" s="231">
        <v>0</v>
      </c>
      <c r="I169" s="466">
        <f t="shared" si="56"/>
        <v>0</v>
      </c>
      <c r="M169" s="123"/>
      <c r="O169" s="123"/>
      <c r="T169" s="123"/>
      <c r="U169" s="123"/>
    </row>
    <row r="170" spans="1:21" x14ac:dyDescent="0.25">
      <c r="A170" s="146" t="s">
        <v>132</v>
      </c>
      <c r="B170" s="147" t="s">
        <v>159</v>
      </c>
      <c r="C170" s="232">
        <v>6000</v>
      </c>
      <c r="D170" s="232">
        <v>6000</v>
      </c>
      <c r="E170" s="232">
        <v>6000</v>
      </c>
      <c r="F170" s="232">
        <v>6000</v>
      </c>
      <c r="G170" s="232">
        <v>6000</v>
      </c>
      <c r="H170" s="232">
        <v>0</v>
      </c>
      <c r="I170" s="466">
        <f t="shared" si="56"/>
        <v>0</v>
      </c>
      <c r="M170" s="123"/>
      <c r="N170" s="123"/>
      <c r="P170" s="123"/>
    </row>
    <row r="171" spans="1:21" ht="15.75" customHeight="1" x14ac:dyDescent="0.25">
      <c r="A171" s="188" t="s">
        <v>132</v>
      </c>
      <c r="B171" s="133" t="s">
        <v>215</v>
      </c>
      <c r="C171" s="230">
        <v>75730</v>
      </c>
      <c r="D171" s="488">
        <f>75730-9060</f>
        <v>66670</v>
      </c>
      <c r="E171" s="230">
        <f>75730-9060-17840</f>
        <v>48830</v>
      </c>
      <c r="F171" s="488">
        <f>75730-9060-17840+9800</f>
        <v>58630</v>
      </c>
      <c r="G171" s="488">
        <f>75730-9060-17840+9800+3000</f>
        <v>61630</v>
      </c>
      <c r="H171" s="230">
        <v>5087</v>
      </c>
      <c r="I171" s="466">
        <f t="shared" si="56"/>
        <v>8.2540970306668834E-2</v>
      </c>
      <c r="J171" s="123"/>
      <c r="M171" s="123"/>
    </row>
    <row r="172" spans="1:21" ht="15.75" customHeight="1" x14ac:dyDescent="0.25">
      <c r="A172" s="188" t="s">
        <v>83</v>
      </c>
      <c r="B172" s="133" t="s">
        <v>219</v>
      </c>
      <c r="C172" s="230">
        <v>2000</v>
      </c>
      <c r="D172" s="230">
        <v>2000</v>
      </c>
      <c r="E172" s="230">
        <v>2000</v>
      </c>
      <c r="F172" s="230">
        <v>2000</v>
      </c>
      <c r="G172" s="230">
        <v>2000</v>
      </c>
      <c r="H172" s="230">
        <v>0</v>
      </c>
      <c r="I172" s="466">
        <f t="shared" si="56"/>
        <v>0</v>
      </c>
      <c r="J172" s="123"/>
    </row>
    <row r="173" spans="1:21" x14ac:dyDescent="0.25">
      <c r="A173" s="188" t="s">
        <v>83</v>
      </c>
      <c r="B173" s="133" t="s">
        <v>256</v>
      </c>
      <c r="C173" s="230">
        <v>10000</v>
      </c>
      <c r="D173" s="230">
        <v>10000</v>
      </c>
      <c r="E173" s="230">
        <v>10000</v>
      </c>
      <c r="F173" s="230">
        <v>10000</v>
      </c>
      <c r="G173" s="230">
        <v>10000</v>
      </c>
      <c r="H173" s="230">
        <v>0</v>
      </c>
      <c r="I173" s="466">
        <f t="shared" si="56"/>
        <v>0</v>
      </c>
      <c r="J173" s="123"/>
    </row>
    <row r="174" spans="1:21" ht="15" customHeight="1" x14ac:dyDescent="0.25">
      <c r="A174" s="188" t="s">
        <v>83</v>
      </c>
      <c r="B174" s="133" t="s">
        <v>221</v>
      </c>
      <c r="C174" s="230">
        <v>47000</v>
      </c>
      <c r="D174" s="488">
        <f>47000-12270</f>
        <v>34730</v>
      </c>
      <c r="E174" s="230">
        <f>47000-12270</f>
        <v>34730</v>
      </c>
      <c r="F174" s="488">
        <f>47000-12270+1800</f>
        <v>36530</v>
      </c>
      <c r="G174" s="230">
        <f>47000-12270+1800</f>
        <v>36530</v>
      </c>
      <c r="H174" s="230">
        <v>0</v>
      </c>
      <c r="I174" s="466">
        <f t="shared" si="56"/>
        <v>0</v>
      </c>
      <c r="J174" s="123"/>
      <c r="K174" s="123"/>
    </row>
    <row r="175" spans="1:21" ht="16.5" customHeight="1" thickBot="1" x14ac:dyDescent="0.3">
      <c r="A175" s="145" t="s">
        <v>85</v>
      </c>
      <c r="B175" s="131" t="s">
        <v>194</v>
      </c>
      <c r="C175" s="228">
        <v>10000</v>
      </c>
      <c r="D175" s="228">
        <v>10000</v>
      </c>
      <c r="E175" s="228">
        <v>10000</v>
      </c>
      <c r="F175" s="228">
        <v>10000</v>
      </c>
      <c r="G175" s="228">
        <v>10000</v>
      </c>
      <c r="H175" s="228">
        <v>0</v>
      </c>
      <c r="I175" s="466">
        <f t="shared" si="56"/>
        <v>0</v>
      </c>
      <c r="O175" s="123"/>
      <c r="T175" s="123"/>
      <c r="U175" s="123"/>
    </row>
    <row r="176" spans="1:21" x14ac:dyDescent="0.25">
      <c r="A176" s="149" t="s">
        <v>97</v>
      </c>
      <c r="B176" s="106" t="s">
        <v>171</v>
      </c>
      <c r="C176" s="229">
        <v>31000</v>
      </c>
      <c r="D176" s="229">
        <v>31000</v>
      </c>
      <c r="E176" s="229">
        <v>31000</v>
      </c>
      <c r="F176" s="229">
        <v>31000</v>
      </c>
      <c r="G176" s="229">
        <v>31000</v>
      </c>
      <c r="H176" s="229">
        <v>0</v>
      </c>
      <c r="I176" s="466">
        <f t="shared" si="56"/>
        <v>0</v>
      </c>
      <c r="O176" s="123"/>
      <c r="P176" s="123"/>
      <c r="Q176" s="123"/>
      <c r="R176" s="123"/>
      <c r="S176" s="123"/>
      <c r="T176" s="123"/>
      <c r="U176" s="123"/>
    </row>
    <row r="177" spans="1:21" x14ac:dyDescent="0.25">
      <c r="A177" s="148" t="s">
        <v>97</v>
      </c>
      <c r="B177" s="105" t="s">
        <v>193</v>
      </c>
      <c r="C177" s="233">
        <v>20000</v>
      </c>
      <c r="D177" s="233">
        <v>20000</v>
      </c>
      <c r="E177" s="233">
        <v>20000</v>
      </c>
      <c r="F177" s="233">
        <v>20000</v>
      </c>
      <c r="G177" s="233">
        <v>20000</v>
      </c>
      <c r="H177" s="233">
        <v>0</v>
      </c>
      <c r="I177" s="466">
        <f t="shared" si="56"/>
        <v>0</v>
      </c>
      <c r="M177" s="123"/>
      <c r="N177" s="123"/>
    </row>
    <row r="178" spans="1:21" x14ac:dyDescent="0.25">
      <c r="A178" s="148" t="s">
        <v>97</v>
      </c>
      <c r="B178" s="105" t="s">
        <v>507</v>
      </c>
      <c r="C178" s="233">
        <v>0</v>
      </c>
      <c r="D178" s="233">
        <v>0</v>
      </c>
      <c r="E178" s="233">
        <v>0</v>
      </c>
      <c r="F178" s="554">
        <v>3300</v>
      </c>
      <c r="G178" s="233">
        <v>3300</v>
      </c>
      <c r="H178" s="233">
        <v>3300</v>
      </c>
      <c r="I178" s="466">
        <f t="shared" si="56"/>
        <v>1</v>
      </c>
      <c r="M178" s="123"/>
    </row>
    <row r="179" spans="1:21" x14ac:dyDescent="0.25">
      <c r="A179" s="151" t="s">
        <v>102</v>
      </c>
      <c r="B179" s="152" t="s">
        <v>373</v>
      </c>
      <c r="C179" s="230">
        <v>45000</v>
      </c>
      <c r="D179" s="230">
        <v>45000</v>
      </c>
      <c r="E179" s="230">
        <v>45000</v>
      </c>
      <c r="F179" s="230">
        <v>45000</v>
      </c>
      <c r="G179" s="230">
        <v>45000</v>
      </c>
      <c r="H179" s="230">
        <v>0</v>
      </c>
      <c r="I179" s="466">
        <f t="shared" si="56"/>
        <v>0</v>
      </c>
      <c r="J179" s="123"/>
      <c r="K179" s="123"/>
    </row>
    <row r="180" spans="1:21" ht="15.75" thickBot="1" x14ac:dyDescent="0.3">
      <c r="A180" s="153" t="s">
        <v>102</v>
      </c>
      <c r="B180" s="130" t="s">
        <v>342</v>
      </c>
      <c r="C180" s="231">
        <v>35000</v>
      </c>
      <c r="D180" s="231">
        <v>35000</v>
      </c>
      <c r="E180" s="231">
        <v>35000</v>
      </c>
      <c r="F180" s="231">
        <v>35000</v>
      </c>
      <c r="G180" s="231">
        <v>35000</v>
      </c>
      <c r="H180" s="231">
        <v>0</v>
      </c>
      <c r="I180" s="466">
        <f t="shared" si="56"/>
        <v>0</v>
      </c>
    </row>
    <row r="181" spans="1:21" x14ac:dyDescent="0.25">
      <c r="A181" s="213" t="s">
        <v>106</v>
      </c>
      <c r="B181" s="211" t="s">
        <v>165</v>
      </c>
      <c r="C181" s="303">
        <v>127800</v>
      </c>
      <c r="D181" s="486">
        <f>127800-800</f>
        <v>127000</v>
      </c>
      <c r="E181" s="303">
        <f>127800-800</f>
        <v>127000</v>
      </c>
      <c r="F181" s="303">
        <f>127800-800</f>
        <v>127000</v>
      </c>
      <c r="G181" s="303">
        <f>127800-800</f>
        <v>127000</v>
      </c>
      <c r="H181" s="303">
        <v>73343</v>
      </c>
      <c r="I181" s="466">
        <f t="shared" si="56"/>
        <v>0.57750393700787406</v>
      </c>
    </row>
    <row r="182" spans="1:21" ht="15" customHeight="1" thickBot="1" x14ac:dyDescent="0.3">
      <c r="A182" s="153" t="s">
        <v>115</v>
      </c>
      <c r="B182" s="130" t="s">
        <v>246</v>
      </c>
      <c r="C182" s="231">
        <v>3000</v>
      </c>
      <c r="D182" s="489">
        <f>3000+600</f>
        <v>3600</v>
      </c>
      <c r="E182" s="231">
        <f>3000+600</f>
        <v>3600</v>
      </c>
      <c r="F182" s="231">
        <f>3000+600</f>
        <v>3600</v>
      </c>
      <c r="G182" s="231">
        <f>3000+600</f>
        <v>3600</v>
      </c>
      <c r="H182" s="231">
        <v>2388</v>
      </c>
      <c r="I182" s="466">
        <f t="shared" si="56"/>
        <v>0.66333333333333333</v>
      </c>
      <c r="J182" s="123"/>
      <c r="K182" s="123"/>
      <c r="O182" s="123"/>
      <c r="P182" s="123"/>
    </row>
    <row r="183" spans="1:21" ht="15.75" thickBot="1" x14ac:dyDescent="0.3">
      <c r="A183" s="356" t="s">
        <v>248</v>
      </c>
      <c r="B183" s="108" t="s">
        <v>247</v>
      </c>
      <c r="C183" s="228">
        <v>193255</v>
      </c>
      <c r="D183" s="484">
        <f>193255+11045</f>
        <v>204300</v>
      </c>
      <c r="E183" s="228">
        <f>193255+11045</f>
        <v>204300</v>
      </c>
      <c r="F183" s="228">
        <f>193255+11045</f>
        <v>204300</v>
      </c>
      <c r="G183" s="228">
        <f>193255+11045</f>
        <v>204300</v>
      </c>
      <c r="H183" s="228">
        <v>0</v>
      </c>
      <c r="I183" s="466">
        <f t="shared" si="56"/>
        <v>0</v>
      </c>
      <c r="N183" s="123"/>
      <c r="O183" s="123"/>
    </row>
    <row r="184" spans="1:21" ht="15" customHeight="1" x14ac:dyDescent="0.25">
      <c r="A184" s="155"/>
      <c r="B184" s="156"/>
      <c r="C184" s="79"/>
      <c r="D184" s="79"/>
      <c r="E184" s="79"/>
      <c r="F184" s="79"/>
      <c r="G184" s="79"/>
      <c r="H184" s="79"/>
      <c r="I184" s="81"/>
      <c r="M184" s="123"/>
      <c r="N184" s="123"/>
      <c r="O184" s="123"/>
      <c r="T184" s="123"/>
      <c r="U184" s="123"/>
    </row>
    <row r="185" spans="1:21" x14ac:dyDescent="0.25">
      <c r="A185" s="154"/>
      <c r="B185" s="80"/>
      <c r="C185" s="81"/>
      <c r="D185" s="81"/>
      <c r="E185" s="81"/>
      <c r="F185" s="81"/>
      <c r="G185" s="81"/>
      <c r="H185" s="81"/>
      <c r="L185" s="123"/>
      <c r="M185" s="123"/>
      <c r="P185" s="123"/>
      <c r="Q185" s="123"/>
      <c r="R185" s="123"/>
      <c r="S185" s="123"/>
    </row>
    <row r="186" spans="1:21" ht="18.75" thickBot="1" x14ac:dyDescent="0.3">
      <c r="A186" s="650" t="s">
        <v>133</v>
      </c>
      <c r="B186" s="651"/>
      <c r="C186" s="651"/>
      <c r="D186" s="651"/>
      <c r="E186" s="651"/>
      <c r="F186" s="651"/>
      <c r="G186" s="651"/>
      <c r="H186" s="651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</row>
    <row r="187" spans="1:21" ht="15.75" customHeight="1" x14ac:dyDescent="0.25">
      <c r="A187" s="644" t="s">
        <v>1</v>
      </c>
      <c r="B187" s="645"/>
      <c r="C187" s="638" t="s">
        <v>323</v>
      </c>
      <c r="D187" s="638" t="s">
        <v>322</v>
      </c>
      <c r="E187" s="638" t="s">
        <v>408</v>
      </c>
      <c r="F187" s="638" t="s">
        <v>413</v>
      </c>
      <c r="G187" s="638" t="s">
        <v>510</v>
      </c>
      <c r="H187" s="638" t="s">
        <v>509</v>
      </c>
      <c r="I187" s="640" t="s">
        <v>352</v>
      </c>
      <c r="M187" s="123"/>
      <c r="N187" s="123"/>
      <c r="O187" s="123"/>
    </row>
    <row r="188" spans="1:21" ht="15" customHeight="1" thickBot="1" x14ac:dyDescent="0.3">
      <c r="A188" s="646"/>
      <c r="B188" s="647"/>
      <c r="C188" s="639"/>
      <c r="D188" s="639"/>
      <c r="E188" s="639"/>
      <c r="F188" s="639"/>
      <c r="G188" s="639"/>
      <c r="H188" s="639"/>
      <c r="I188" s="641"/>
      <c r="J188" s="123"/>
      <c r="K188" s="123"/>
      <c r="L188" s="123"/>
      <c r="M188" s="123"/>
      <c r="O188" s="123"/>
    </row>
    <row r="189" spans="1:21" ht="16.5" thickBot="1" x14ac:dyDescent="0.3">
      <c r="A189" s="82" t="s">
        <v>134</v>
      </c>
      <c r="B189" s="83"/>
      <c r="C189" s="84">
        <f t="shared" ref="C189:H189" si="59">SUM(C190:C194)</f>
        <v>402140</v>
      </c>
      <c r="D189" s="84">
        <f t="shared" si="59"/>
        <v>402140</v>
      </c>
      <c r="E189" s="84">
        <f t="shared" si="59"/>
        <v>402140</v>
      </c>
      <c r="F189" s="84">
        <f t="shared" ref="F189:G189" si="60">SUM(F190:F194)</f>
        <v>523640</v>
      </c>
      <c r="G189" s="84">
        <f t="shared" si="60"/>
        <v>523640</v>
      </c>
      <c r="H189" s="84">
        <f t="shared" si="59"/>
        <v>82144</v>
      </c>
      <c r="I189" s="466">
        <f>H189/G189</f>
        <v>0.15687113283935528</v>
      </c>
      <c r="J189" s="123">
        <f>D189-C189</f>
        <v>0</v>
      </c>
      <c r="K189" s="123">
        <f>E189-D189</f>
        <v>0</v>
      </c>
      <c r="L189" s="123">
        <f>F189-E189</f>
        <v>121500</v>
      </c>
      <c r="M189" s="123">
        <f>G189-F189</f>
        <v>0</v>
      </c>
      <c r="N189" s="123"/>
    </row>
    <row r="190" spans="1:21" ht="15" customHeight="1" x14ac:dyDescent="0.25">
      <c r="A190" s="158">
        <v>453</v>
      </c>
      <c r="B190" s="159" t="s">
        <v>355</v>
      </c>
      <c r="C190" s="172">
        <v>1000</v>
      </c>
      <c r="D190" s="172">
        <v>1000</v>
      </c>
      <c r="E190" s="172">
        <v>1000</v>
      </c>
      <c r="F190" s="172">
        <v>1000</v>
      </c>
      <c r="G190" s="172">
        <v>1000</v>
      </c>
      <c r="H190" s="172">
        <v>480</v>
      </c>
      <c r="I190" s="466">
        <f t="shared" ref="I190:I198" si="61">H190/G190</f>
        <v>0.48</v>
      </c>
      <c r="L190" s="123"/>
      <c r="M190" s="123"/>
    </row>
    <row r="191" spans="1:21" ht="15.75" customHeight="1" x14ac:dyDescent="0.25">
      <c r="A191" s="158">
        <v>453</v>
      </c>
      <c r="B191" s="159" t="s">
        <v>330</v>
      </c>
      <c r="C191" s="172">
        <v>1000</v>
      </c>
      <c r="D191" s="172">
        <v>1000</v>
      </c>
      <c r="E191" s="172">
        <v>1000</v>
      </c>
      <c r="F191" s="172">
        <v>1000</v>
      </c>
      <c r="G191" s="172">
        <v>1000</v>
      </c>
      <c r="H191" s="172">
        <f>444+390</f>
        <v>834</v>
      </c>
      <c r="I191" s="466">
        <f t="shared" si="61"/>
        <v>0.83399999999999996</v>
      </c>
      <c r="K191" s="123">
        <f>SUM(C190:C191)</f>
        <v>2000</v>
      </c>
      <c r="L191" s="123">
        <f>SUM(D190:D191)</f>
        <v>2000</v>
      </c>
      <c r="M191" s="123">
        <f>SUM(E190:E191)</f>
        <v>2000</v>
      </c>
      <c r="N191" s="123">
        <f>SUM(F190:F191)</f>
        <v>2000</v>
      </c>
    </row>
    <row r="192" spans="1:21" x14ac:dyDescent="0.25">
      <c r="A192" s="157">
        <v>454</v>
      </c>
      <c r="B192" s="126" t="s">
        <v>135</v>
      </c>
      <c r="C192" s="171">
        <v>100000</v>
      </c>
      <c r="D192" s="171">
        <v>100000</v>
      </c>
      <c r="E192" s="171">
        <v>100000</v>
      </c>
      <c r="F192" s="460">
        <f>100000+121500</f>
        <v>221500</v>
      </c>
      <c r="G192" s="171">
        <f>100000+121500</f>
        <v>221500</v>
      </c>
      <c r="H192" s="171">
        <v>80818</v>
      </c>
      <c r="I192" s="466">
        <f t="shared" si="61"/>
        <v>0.3648668171557562</v>
      </c>
      <c r="K192" s="123"/>
    </row>
    <row r="193" spans="1:15" ht="15.75" thickBot="1" x14ac:dyDescent="0.3">
      <c r="A193" s="225">
        <v>456</v>
      </c>
      <c r="B193" s="226" t="s">
        <v>204</v>
      </c>
      <c r="C193" s="227">
        <v>140</v>
      </c>
      <c r="D193" s="227">
        <v>140</v>
      </c>
      <c r="E193" s="227">
        <v>140</v>
      </c>
      <c r="F193" s="227">
        <v>140</v>
      </c>
      <c r="G193" s="227">
        <v>140</v>
      </c>
      <c r="H193" s="227">
        <v>12</v>
      </c>
      <c r="I193" s="466">
        <f t="shared" si="61"/>
        <v>8.5714285714285715E-2</v>
      </c>
      <c r="J193" s="89"/>
      <c r="K193" s="123">
        <f>SUM(C190:C193)</f>
        <v>102140</v>
      </c>
      <c r="L193" s="123">
        <f>SUM(D190:D193)</f>
        <v>102140</v>
      </c>
      <c r="M193" s="123">
        <f>SUM(E190:E193)</f>
        <v>102140</v>
      </c>
      <c r="N193" s="123">
        <f>SUM(F190:F193)</f>
        <v>223640</v>
      </c>
      <c r="O193" s="123"/>
    </row>
    <row r="194" spans="1:15" ht="15.75" thickBot="1" x14ac:dyDescent="0.3">
      <c r="A194" s="222">
        <v>513</v>
      </c>
      <c r="B194" s="223" t="s">
        <v>137</v>
      </c>
      <c r="C194" s="224">
        <v>300000</v>
      </c>
      <c r="D194" s="224">
        <v>300000</v>
      </c>
      <c r="E194" s="224">
        <v>300000</v>
      </c>
      <c r="F194" s="224">
        <v>300000</v>
      </c>
      <c r="G194" s="224">
        <v>300000</v>
      </c>
      <c r="H194" s="224">
        <v>0</v>
      </c>
      <c r="I194" s="466">
        <f t="shared" si="61"/>
        <v>0</v>
      </c>
      <c r="J194" s="123"/>
    </row>
    <row r="195" spans="1:15" ht="16.5" thickBot="1" x14ac:dyDescent="0.3">
      <c r="A195" s="82" t="s">
        <v>138</v>
      </c>
      <c r="B195" s="83"/>
      <c r="C195" s="84">
        <f t="shared" ref="C195:H195" si="62">SUM(C196:C198)</f>
        <v>10940</v>
      </c>
      <c r="D195" s="84">
        <f t="shared" si="62"/>
        <v>11000</v>
      </c>
      <c r="E195" s="84">
        <f t="shared" si="62"/>
        <v>11000</v>
      </c>
      <c r="F195" s="84">
        <f t="shared" si="62"/>
        <v>11000</v>
      </c>
      <c r="G195" s="84">
        <f t="shared" ref="G195" si="63">SUM(G196:G198)</f>
        <v>11000</v>
      </c>
      <c r="H195" s="84">
        <f t="shared" si="62"/>
        <v>436</v>
      </c>
      <c r="I195" s="466">
        <f t="shared" si="61"/>
        <v>3.9636363636363636E-2</v>
      </c>
      <c r="J195" s="123">
        <f>D195-C195</f>
        <v>60</v>
      </c>
      <c r="K195" s="123">
        <f>E195-D195</f>
        <v>0</v>
      </c>
      <c r="L195" s="123">
        <f t="shared" ref="L195:M195" si="64">F195-E195</f>
        <v>0</v>
      </c>
      <c r="M195" s="123">
        <f t="shared" si="64"/>
        <v>0</v>
      </c>
    </row>
    <row r="196" spans="1:15" x14ac:dyDescent="0.25">
      <c r="A196" s="206">
        <v>819</v>
      </c>
      <c r="B196" s="85" t="s">
        <v>203</v>
      </c>
      <c r="C196" s="86">
        <v>140</v>
      </c>
      <c r="D196" s="86">
        <v>140</v>
      </c>
      <c r="E196" s="86">
        <v>140</v>
      </c>
      <c r="F196" s="86">
        <v>140</v>
      </c>
      <c r="G196" s="86">
        <v>140</v>
      </c>
      <c r="H196" s="86">
        <v>12</v>
      </c>
      <c r="I196" s="466">
        <f t="shared" si="61"/>
        <v>8.5714285714285715E-2</v>
      </c>
    </row>
    <row r="197" spans="1:15" ht="15" customHeight="1" x14ac:dyDescent="0.25">
      <c r="A197" s="207">
        <v>821</v>
      </c>
      <c r="B197" s="208" t="s">
        <v>206</v>
      </c>
      <c r="C197" s="169">
        <v>10000</v>
      </c>
      <c r="D197" s="169">
        <v>10000</v>
      </c>
      <c r="E197" s="169">
        <v>10000</v>
      </c>
      <c r="F197" s="169">
        <v>10000</v>
      </c>
      <c r="G197" s="169">
        <v>10000</v>
      </c>
      <c r="H197" s="169">
        <v>0</v>
      </c>
      <c r="I197" s="466">
        <f t="shared" si="61"/>
        <v>0</v>
      </c>
    </row>
    <row r="198" spans="1:15" ht="15.75" thickBot="1" x14ac:dyDescent="0.3">
      <c r="A198" s="339">
        <v>821</v>
      </c>
      <c r="B198" s="87" t="s">
        <v>139</v>
      </c>
      <c r="C198" s="42">
        <v>800</v>
      </c>
      <c r="D198" s="454">
        <v>860</v>
      </c>
      <c r="E198" s="50">
        <v>860</v>
      </c>
      <c r="F198" s="50">
        <v>860</v>
      </c>
      <c r="G198" s="50">
        <v>860</v>
      </c>
      <c r="H198" s="42">
        <v>424</v>
      </c>
      <c r="I198" s="466">
        <f t="shared" si="61"/>
        <v>0.49302325581395351</v>
      </c>
    </row>
    <row r="199" spans="1:15" ht="15" customHeight="1" x14ac:dyDescent="0.25">
      <c r="A199" s="154"/>
      <c r="B199" s="88"/>
      <c r="C199" s="89"/>
      <c r="D199" s="89"/>
      <c r="E199" s="89"/>
      <c r="F199" s="89"/>
      <c r="G199" s="89"/>
      <c r="H199" s="89"/>
      <c r="I199" s="156"/>
    </row>
    <row r="200" spans="1:15" ht="15.75" x14ac:dyDescent="0.25">
      <c r="A200" s="33"/>
      <c r="B200" s="156"/>
      <c r="C200" s="156"/>
      <c r="D200" s="156"/>
      <c r="E200" s="156"/>
      <c r="F200" s="156"/>
      <c r="G200" s="156"/>
      <c r="H200" s="156"/>
    </row>
    <row r="201" spans="1:15" ht="18.75" thickBot="1" x14ac:dyDescent="0.3">
      <c r="A201" s="642" t="s">
        <v>140</v>
      </c>
      <c r="B201" s="643"/>
      <c r="C201" s="643"/>
      <c r="D201" s="643"/>
      <c r="E201" s="643"/>
      <c r="F201" s="643"/>
      <c r="G201" s="643"/>
      <c r="H201" s="643"/>
    </row>
    <row r="202" spans="1:15" ht="15" customHeight="1" x14ac:dyDescent="0.25">
      <c r="A202" s="644" t="s">
        <v>1</v>
      </c>
      <c r="B202" s="645"/>
      <c r="C202" s="638" t="s">
        <v>323</v>
      </c>
      <c r="D202" s="638" t="s">
        <v>322</v>
      </c>
      <c r="E202" s="638" t="s">
        <v>408</v>
      </c>
      <c r="F202" s="638" t="s">
        <v>413</v>
      </c>
      <c r="G202" s="638" t="s">
        <v>510</v>
      </c>
      <c r="H202" s="638" t="s">
        <v>509</v>
      </c>
    </row>
    <row r="203" spans="1:15" ht="15.75" thickBot="1" x14ac:dyDescent="0.3">
      <c r="A203" s="646"/>
      <c r="B203" s="647"/>
      <c r="C203" s="639"/>
      <c r="D203" s="639"/>
      <c r="E203" s="639"/>
      <c r="F203" s="639"/>
      <c r="G203" s="639"/>
      <c r="H203" s="639"/>
    </row>
    <row r="204" spans="1:15" ht="15.75" x14ac:dyDescent="0.25">
      <c r="A204" s="90" t="s">
        <v>141</v>
      </c>
      <c r="B204" s="120"/>
      <c r="C204" s="91">
        <f t="shared" ref="C204:H204" si="65">C77</f>
        <v>2160910</v>
      </c>
      <c r="D204" s="91">
        <f t="shared" si="65"/>
        <v>2204460</v>
      </c>
      <c r="E204" s="91">
        <f t="shared" si="65"/>
        <v>2211405</v>
      </c>
      <c r="F204" s="91">
        <f t="shared" si="65"/>
        <v>2240450</v>
      </c>
      <c r="G204" s="91">
        <f t="shared" si="65"/>
        <v>2282161</v>
      </c>
      <c r="H204" s="91">
        <f t="shared" si="65"/>
        <v>1065785</v>
      </c>
    </row>
    <row r="205" spans="1:15" ht="15.75" x14ac:dyDescent="0.25">
      <c r="A205" s="92" t="s">
        <v>142</v>
      </c>
      <c r="B205" s="209"/>
      <c r="C205" s="93">
        <f t="shared" ref="C205:H205" si="66">C147</f>
        <v>2152110</v>
      </c>
      <c r="D205" s="93">
        <f t="shared" si="66"/>
        <v>2195600</v>
      </c>
      <c r="E205" s="93">
        <f t="shared" si="66"/>
        <v>2202545</v>
      </c>
      <c r="F205" s="93">
        <f t="shared" si="66"/>
        <v>2228290</v>
      </c>
      <c r="G205" s="93">
        <f t="shared" si="66"/>
        <v>2270001</v>
      </c>
      <c r="H205" s="93">
        <f t="shared" si="66"/>
        <v>915571</v>
      </c>
    </row>
    <row r="206" spans="1:15" ht="15.75" x14ac:dyDescent="0.25">
      <c r="A206" s="634" t="s">
        <v>143</v>
      </c>
      <c r="B206" s="635"/>
      <c r="C206" s="94">
        <f t="shared" ref="C206:H206" si="67">C204-C205</f>
        <v>8800</v>
      </c>
      <c r="D206" s="94">
        <f t="shared" si="67"/>
        <v>8860</v>
      </c>
      <c r="E206" s="94">
        <f t="shared" si="67"/>
        <v>8860</v>
      </c>
      <c r="F206" s="94">
        <f t="shared" si="67"/>
        <v>12160</v>
      </c>
      <c r="G206" s="94">
        <f t="shared" ref="G206" si="68">G204-G205</f>
        <v>12160</v>
      </c>
      <c r="H206" s="94">
        <f t="shared" si="67"/>
        <v>150214</v>
      </c>
      <c r="O206" s="123"/>
    </row>
    <row r="207" spans="1:15" ht="15.75" x14ac:dyDescent="0.25">
      <c r="A207" s="92" t="s">
        <v>144</v>
      </c>
      <c r="B207" s="116"/>
      <c r="C207" s="93">
        <f t="shared" ref="C207:H207" si="69">C153</f>
        <v>620702</v>
      </c>
      <c r="D207" s="93">
        <f t="shared" si="69"/>
        <v>635220</v>
      </c>
      <c r="E207" s="93">
        <f t="shared" si="69"/>
        <v>635220</v>
      </c>
      <c r="F207" s="93">
        <f t="shared" si="69"/>
        <v>561520</v>
      </c>
      <c r="G207" s="93">
        <f t="shared" si="69"/>
        <v>519520</v>
      </c>
      <c r="H207" s="93">
        <f t="shared" si="69"/>
        <v>0</v>
      </c>
      <c r="O207" s="123"/>
    </row>
    <row r="208" spans="1:15" ht="15.75" x14ac:dyDescent="0.25">
      <c r="A208" s="92" t="s">
        <v>145</v>
      </c>
      <c r="B208" s="116"/>
      <c r="C208" s="8">
        <f t="shared" ref="C208:H208" si="70">C160</f>
        <v>1020702</v>
      </c>
      <c r="D208" s="8">
        <f t="shared" si="70"/>
        <v>1035220</v>
      </c>
      <c r="E208" s="8">
        <f t="shared" si="70"/>
        <v>1035220</v>
      </c>
      <c r="F208" s="8">
        <f t="shared" si="70"/>
        <v>1086320</v>
      </c>
      <c r="G208" s="8">
        <f t="shared" si="70"/>
        <v>1044320</v>
      </c>
      <c r="H208" s="8">
        <f t="shared" si="70"/>
        <v>84118</v>
      </c>
      <c r="N208" s="123"/>
      <c r="O208" s="123"/>
    </row>
    <row r="209" spans="1:15" ht="15.75" x14ac:dyDescent="0.25">
      <c r="A209" s="634" t="s">
        <v>146</v>
      </c>
      <c r="B209" s="635"/>
      <c r="C209" s="94">
        <f t="shared" ref="C209:H209" si="71">C207-C208</f>
        <v>-400000</v>
      </c>
      <c r="D209" s="94">
        <f t="shared" si="71"/>
        <v>-400000</v>
      </c>
      <c r="E209" s="94">
        <f t="shared" si="71"/>
        <v>-400000</v>
      </c>
      <c r="F209" s="94">
        <f t="shared" si="71"/>
        <v>-524800</v>
      </c>
      <c r="G209" s="94">
        <f t="shared" ref="G209" si="72">G207-G208</f>
        <v>-524800</v>
      </c>
      <c r="H209" s="94">
        <f t="shared" si="71"/>
        <v>-84118</v>
      </c>
      <c r="M209" s="123"/>
      <c r="N209" s="123"/>
      <c r="O209" s="123"/>
    </row>
    <row r="210" spans="1:15" ht="15.75" x14ac:dyDescent="0.25">
      <c r="A210" s="95" t="s">
        <v>147</v>
      </c>
      <c r="B210" s="96"/>
      <c r="C210" s="97">
        <f t="shared" ref="C210:H210" si="73">C189</f>
        <v>402140</v>
      </c>
      <c r="D210" s="97">
        <f t="shared" si="73"/>
        <v>402140</v>
      </c>
      <c r="E210" s="97">
        <f t="shared" si="73"/>
        <v>402140</v>
      </c>
      <c r="F210" s="97">
        <f t="shared" si="73"/>
        <v>523640</v>
      </c>
      <c r="G210" s="97">
        <f t="shared" ref="G210" si="74">G189</f>
        <v>523640</v>
      </c>
      <c r="H210" s="97">
        <f t="shared" si="73"/>
        <v>82144</v>
      </c>
      <c r="L210" s="123"/>
      <c r="M210" s="123"/>
      <c r="N210" s="123"/>
      <c r="O210" s="123"/>
    </row>
    <row r="211" spans="1:15" ht="15.75" x14ac:dyDescent="0.25">
      <c r="A211" s="95" t="s">
        <v>148</v>
      </c>
      <c r="B211" s="96"/>
      <c r="C211" s="97">
        <f t="shared" ref="C211:H211" si="75">C195</f>
        <v>10940</v>
      </c>
      <c r="D211" s="97">
        <f t="shared" si="75"/>
        <v>11000</v>
      </c>
      <c r="E211" s="97">
        <f t="shared" si="75"/>
        <v>11000</v>
      </c>
      <c r="F211" s="97">
        <f t="shared" si="75"/>
        <v>11000</v>
      </c>
      <c r="G211" s="97">
        <f t="shared" ref="G211" si="76">G195</f>
        <v>11000</v>
      </c>
      <c r="H211" s="97">
        <f t="shared" si="75"/>
        <v>436</v>
      </c>
      <c r="L211" s="123"/>
      <c r="M211" s="123"/>
      <c r="N211" s="123"/>
    </row>
    <row r="212" spans="1:15" ht="16.5" thickBot="1" x14ac:dyDescent="0.3">
      <c r="A212" s="636" t="s">
        <v>149</v>
      </c>
      <c r="B212" s="637"/>
      <c r="C212" s="98">
        <f t="shared" ref="C212:H212" si="77">C210-C211</f>
        <v>391200</v>
      </c>
      <c r="D212" s="98">
        <f t="shared" si="77"/>
        <v>391140</v>
      </c>
      <c r="E212" s="98">
        <f t="shared" si="77"/>
        <v>391140</v>
      </c>
      <c r="F212" s="98">
        <f t="shared" si="77"/>
        <v>512640</v>
      </c>
      <c r="G212" s="98">
        <f t="shared" ref="G212" si="78">G210-G211</f>
        <v>512640</v>
      </c>
      <c r="H212" s="98">
        <f t="shared" si="77"/>
        <v>81708</v>
      </c>
      <c r="L212" s="123"/>
      <c r="M212" s="123"/>
      <c r="N212" s="123"/>
    </row>
    <row r="213" spans="1:15" ht="16.5" thickBot="1" x14ac:dyDescent="0.3">
      <c r="A213" s="160" t="s">
        <v>150</v>
      </c>
      <c r="B213" s="99"/>
      <c r="C213" s="161">
        <f t="shared" ref="C213:H213" si="79">C206+C209+C212</f>
        <v>0</v>
      </c>
      <c r="D213" s="161">
        <f t="shared" si="79"/>
        <v>0</v>
      </c>
      <c r="E213" s="161">
        <f t="shared" si="79"/>
        <v>0</v>
      </c>
      <c r="F213" s="161">
        <f t="shared" si="79"/>
        <v>0</v>
      </c>
      <c r="G213" s="161">
        <f t="shared" ref="G213" si="80">G206+G209+G212</f>
        <v>0</v>
      </c>
      <c r="H213" s="161">
        <f t="shared" si="79"/>
        <v>147804</v>
      </c>
      <c r="K213" s="123"/>
      <c r="L213" s="123"/>
      <c r="M213" s="123"/>
    </row>
    <row r="214" spans="1:15" x14ac:dyDescent="0.25">
      <c r="I214" s="123"/>
      <c r="J214" s="123"/>
      <c r="K214" s="123"/>
      <c r="L214" s="123"/>
    </row>
    <row r="215" spans="1:15" x14ac:dyDescent="0.25">
      <c r="B215" s="162" t="s">
        <v>151</v>
      </c>
      <c r="C215" s="123">
        <f t="shared" ref="C215:H216" si="81">C204+C207+C210</f>
        <v>3183752</v>
      </c>
      <c r="D215" s="123">
        <f t="shared" si="81"/>
        <v>3241820</v>
      </c>
      <c r="E215" s="123">
        <f t="shared" si="81"/>
        <v>3248765</v>
      </c>
      <c r="F215" s="123">
        <f t="shared" si="81"/>
        <v>3325610</v>
      </c>
      <c r="G215" s="123">
        <f t="shared" ref="G215" si="82">G204+G207+G210</f>
        <v>3325321</v>
      </c>
      <c r="H215" s="123">
        <f t="shared" si="81"/>
        <v>1147929</v>
      </c>
      <c r="I215" s="123"/>
      <c r="J215" s="123">
        <f>D215-C215</f>
        <v>58068</v>
      </c>
      <c r="K215" s="123">
        <f>E215-D215</f>
        <v>6945</v>
      </c>
      <c r="L215" s="123">
        <f>F215-E215</f>
        <v>76845</v>
      </c>
      <c r="M215" s="123">
        <f>G215-F215</f>
        <v>-289</v>
      </c>
    </row>
    <row r="216" spans="1:15" x14ac:dyDescent="0.25">
      <c r="B216" s="162" t="s">
        <v>152</v>
      </c>
      <c r="C216" s="123">
        <f t="shared" si="81"/>
        <v>3183752</v>
      </c>
      <c r="D216" s="123">
        <f t="shared" si="81"/>
        <v>3241820</v>
      </c>
      <c r="E216" s="123">
        <f t="shared" si="81"/>
        <v>3248765</v>
      </c>
      <c r="F216" s="123">
        <f t="shared" si="81"/>
        <v>3325610</v>
      </c>
      <c r="G216" s="123">
        <f t="shared" ref="G216" si="83">G205+G208+G211</f>
        <v>3325321</v>
      </c>
      <c r="H216" s="123">
        <f t="shared" si="81"/>
        <v>1000125</v>
      </c>
      <c r="I216" s="123"/>
      <c r="J216" s="123">
        <f t="shared" ref="J216:K219" si="84">D216-C216</f>
        <v>58068</v>
      </c>
      <c r="K216" s="123">
        <f t="shared" si="84"/>
        <v>6945</v>
      </c>
      <c r="L216" s="123">
        <f>F216-E216</f>
        <v>76845</v>
      </c>
      <c r="M216" s="123">
        <f>G216-F216</f>
        <v>-289</v>
      </c>
    </row>
    <row r="217" spans="1:15" x14ac:dyDescent="0.25">
      <c r="B217" s="16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1:15" x14ac:dyDescent="0.25">
      <c r="B218" s="162" t="s">
        <v>153</v>
      </c>
      <c r="C218" s="123">
        <f t="shared" ref="C218:H218" si="85">C215-C76</f>
        <v>3115422</v>
      </c>
      <c r="D218" s="123">
        <f t="shared" si="85"/>
        <v>3173490</v>
      </c>
      <c r="E218" s="123">
        <f t="shared" si="85"/>
        <v>3180435</v>
      </c>
      <c r="F218" s="123">
        <f t="shared" si="85"/>
        <v>3257280</v>
      </c>
      <c r="G218" s="123">
        <f t="shared" si="85"/>
        <v>3256991</v>
      </c>
      <c r="H218" s="123">
        <f t="shared" si="85"/>
        <v>1134873</v>
      </c>
      <c r="I218" s="123"/>
      <c r="J218" s="123">
        <f t="shared" si="84"/>
        <v>58068</v>
      </c>
      <c r="K218" s="123">
        <f t="shared" si="84"/>
        <v>6945</v>
      </c>
      <c r="L218" s="123">
        <f>F218-E218</f>
        <v>76845</v>
      </c>
      <c r="M218" s="123">
        <f>G218-F218</f>
        <v>-289</v>
      </c>
    </row>
    <row r="219" spans="1:15" x14ac:dyDescent="0.25">
      <c r="B219" s="162" t="s">
        <v>154</v>
      </c>
      <c r="C219" s="123">
        <f t="shared" ref="C219:H219" si="86">C216-C146</f>
        <v>2413787</v>
      </c>
      <c r="D219" s="123">
        <f t="shared" si="86"/>
        <v>2458036</v>
      </c>
      <c r="E219" s="123">
        <f t="shared" si="86"/>
        <v>2464981</v>
      </c>
      <c r="F219" s="123">
        <f t="shared" si="86"/>
        <v>2541826</v>
      </c>
      <c r="G219" s="123">
        <f t="shared" si="86"/>
        <v>2540826</v>
      </c>
      <c r="H219" s="123">
        <f t="shared" si="86"/>
        <v>629035</v>
      </c>
      <c r="I219" s="123"/>
      <c r="J219" s="123">
        <f t="shared" si="84"/>
        <v>44249</v>
      </c>
      <c r="K219" s="123">
        <f t="shared" si="84"/>
        <v>6945</v>
      </c>
      <c r="L219" s="123">
        <f>F219-E219</f>
        <v>76845</v>
      </c>
      <c r="M219" s="123">
        <f>G219-F219</f>
        <v>-1000</v>
      </c>
    </row>
    <row r="220" spans="1:15" x14ac:dyDescent="0.25">
      <c r="B220" s="162"/>
      <c r="C220" s="123"/>
      <c r="D220" s="123"/>
      <c r="E220" s="123"/>
      <c r="F220" s="123"/>
      <c r="G220" s="123"/>
      <c r="H220" s="123"/>
    </row>
    <row r="221" spans="1:15" x14ac:dyDescent="0.25">
      <c r="A221" s="236"/>
      <c r="B221" s="237" t="s">
        <v>214</v>
      </c>
    </row>
    <row r="223" spans="1:15" x14ac:dyDescent="0.25">
      <c r="B223" s="110" t="s">
        <v>155</v>
      </c>
    </row>
    <row r="225" spans="2:2" x14ac:dyDescent="0.25">
      <c r="B225" s="100" t="s">
        <v>271</v>
      </c>
    </row>
    <row r="226" spans="2:2" x14ac:dyDescent="0.25">
      <c r="B226" s="215" t="s">
        <v>377</v>
      </c>
    </row>
    <row r="227" spans="2:2" x14ac:dyDescent="0.25">
      <c r="B227" s="215" t="s">
        <v>419</v>
      </c>
    </row>
    <row r="228" spans="2:2" x14ac:dyDescent="0.25">
      <c r="B228" s="215" t="s">
        <v>501</v>
      </c>
    </row>
    <row r="229" spans="2:2" x14ac:dyDescent="0.25">
      <c r="B229" s="215" t="s">
        <v>535</v>
      </c>
    </row>
    <row r="230" spans="2:2" x14ac:dyDescent="0.25">
      <c r="B230" s="215"/>
    </row>
    <row r="231" spans="2:2" x14ac:dyDescent="0.25">
      <c r="B231" s="110" t="s">
        <v>537</v>
      </c>
    </row>
    <row r="232" spans="2:2" x14ac:dyDescent="0.25">
      <c r="B232" s="110" t="s">
        <v>524</v>
      </c>
    </row>
    <row r="233" spans="2:2" x14ac:dyDescent="0.25">
      <c r="B233" s="110" t="s">
        <v>536</v>
      </c>
    </row>
  </sheetData>
  <mergeCells count="57">
    <mergeCell ref="A206:B206"/>
    <mergeCell ref="A209:B209"/>
    <mergeCell ref="A212:B212"/>
    <mergeCell ref="G2:G3"/>
    <mergeCell ref="G81:G82"/>
    <mergeCell ref="G151:G152"/>
    <mergeCell ref="G202:G203"/>
    <mergeCell ref="G187:G188"/>
    <mergeCell ref="A150:H150"/>
    <mergeCell ref="A80:H80"/>
    <mergeCell ref="I187:I188"/>
    <mergeCell ref="A201:H201"/>
    <mergeCell ref="A202:B203"/>
    <mergeCell ref="C202:C203"/>
    <mergeCell ref="D202:D203"/>
    <mergeCell ref="E202:E203"/>
    <mergeCell ref="F202:F203"/>
    <mergeCell ref="H202:H203"/>
    <mergeCell ref="I151:I152"/>
    <mergeCell ref="A153:B153"/>
    <mergeCell ref="A160:B160"/>
    <mergeCell ref="A186:H186"/>
    <mergeCell ref="A187:B188"/>
    <mergeCell ref="C187:C188"/>
    <mergeCell ref="D187:D188"/>
    <mergeCell ref="E187:E188"/>
    <mergeCell ref="F187:F188"/>
    <mergeCell ref="H187:H188"/>
    <mergeCell ref="A151:B152"/>
    <mergeCell ref="C151:C152"/>
    <mergeCell ref="D151:D152"/>
    <mergeCell ref="E151:E152"/>
    <mergeCell ref="F151:F152"/>
    <mergeCell ref="H151:H152"/>
    <mergeCell ref="I81:I82"/>
    <mergeCell ref="A99:B99"/>
    <mergeCell ref="A142:B142"/>
    <mergeCell ref="A145:B145"/>
    <mergeCell ref="A146:B146"/>
    <mergeCell ref="A81:B82"/>
    <mergeCell ref="C81:C82"/>
    <mergeCell ref="D81:D82"/>
    <mergeCell ref="E81:E82"/>
    <mergeCell ref="F81:F82"/>
    <mergeCell ref="H81:H82"/>
    <mergeCell ref="I2:I3"/>
    <mergeCell ref="A4:B4"/>
    <mergeCell ref="A12:B12"/>
    <mergeCell ref="A74:B74"/>
    <mergeCell ref="A76:B76"/>
    <mergeCell ref="A1:H1"/>
    <mergeCell ref="A2:B3"/>
    <mergeCell ref="C2:C3"/>
    <mergeCell ref="D2:D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Header xml:space="preserve">&amp;C&amp;"Arial,Tučné"&amp;14Rozpočet na rok 2019
4. zmena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32"/>
  <sheetViews>
    <sheetView zoomScale="98" zoomScaleNormal="98" workbookViewId="0">
      <selection sqref="A1:G1"/>
    </sheetView>
  </sheetViews>
  <sheetFormatPr defaultRowHeight="15" x14ac:dyDescent="0.25"/>
  <cols>
    <col min="1" max="1" width="6" style="110" customWidth="1"/>
    <col min="2" max="2" width="68.42578125" style="110" customWidth="1"/>
    <col min="3" max="7" width="12.5703125" style="110" customWidth="1"/>
    <col min="8" max="8" width="7.85546875" style="110" customWidth="1"/>
    <col min="9" max="9" width="9.140625" style="110"/>
    <col min="10" max="10" width="11.7109375" style="110" customWidth="1"/>
    <col min="11" max="11" width="11.28515625" style="110" customWidth="1"/>
    <col min="12" max="12" width="9.140625" style="110"/>
    <col min="13" max="13" width="11" style="110" customWidth="1"/>
    <col min="14" max="16384" width="9.140625" style="110"/>
  </cols>
  <sheetData>
    <row r="1" spans="1:8" ht="18.75" thickBot="1" x14ac:dyDescent="0.3">
      <c r="A1" s="674" t="s">
        <v>0</v>
      </c>
      <c r="B1" s="675"/>
      <c r="C1" s="675"/>
      <c r="D1" s="675"/>
      <c r="E1" s="675"/>
      <c r="F1" s="675"/>
      <c r="G1" s="675"/>
    </row>
    <row r="2" spans="1:8" ht="18.75" customHeight="1" x14ac:dyDescent="0.25">
      <c r="A2" s="644" t="s">
        <v>1</v>
      </c>
      <c r="B2" s="645"/>
      <c r="C2" s="638" t="s">
        <v>323</v>
      </c>
      <c r="D2" s="638" t="s">
        <v>322</v>
      </c>
      <c r="E2" s="638" t="s">
        <v>408</v>
      </c>
      <c r="F2" s="638" t="s">
        <v>413</v>
      </c>
      <c r="G2" s="638" t="s">
        <v>500</v>
      </c>
      <c r="H2" s="662" t="s">
        <v>352</v>
      </c>
    </row>
    <row r="3" spans="1:8" ht="15.75" thickBot="1" x14ac:dyDescent="0.3">
      <c r="A3" s="646"/>
      <c r="B3" s="647"/>
      <c r="C3" s="639"/>
      <c r="D3" s="639"/>
      <c r="E3" s="639"/>
      <c r="F3" s="639"/>
      <c r="G3" s="639"/>
      <c r="H3" s="663"/>
    </row>
    <row r="4" spans="1:8" ht="15.75" thickBot="1" x14ac:dyDescent="0.3">
      <c r="A4" s="664" t="s">
        <v>2</v>
      </c>
      <c r="B4" s="665"/>
      <c r="C4" s="1">
        <f t="shared" ref="C4:D4" si="0">SUM(C5:C11)</f>
        <v>1151580</v>
      </c>
      <c r="D4" s="1">
        <f t="shared" si="0"/>
        <v>1173580</v>
      </c>
      <c r="E4" s="1">
        <f t="shared" ref="E4:F4" si="1">SUM(E5:E11)</f>
        <v>1174080</v>
      </c>
      <c r="F4" s="1">
        <f t="shared" si="1"/>
        <v>1175080</v>
      </c>
      <c r="G4" s="1">
        <f t="shared" ref="G4" si="2">SUM(G5:G11)</f>
        <v>507450</v>
      </c>
      <c r="H4" s="466">
        <f>G4/F4</f>
        <v>0.43184293835313342</v>
      </c>
    </row>
    <row r="5" spans="1:8" ht="15.75" thickBot="1" x14ac:dyDescent="0.3">
      <c r="A5" s="2">
        <v>111</v>
      </c>
      <c r="B5" s="3" t="s">
        <v>3</v>
      </c>
      <c r="C5" s="4">
        <v>1087000</v>
      </c>
      <c r="D5" s="452">
        <f>C5+22000</f>
        <v>1109000</v>
      </c>
      <c r="E5" s="4">
        <f>1109000</f>
        <v>1109000</v>
      </c>
      <c r="F5" s="4">
        <f>1109000</f>
        <v>1109000</v>
      </c>
      <c r="G5" s="4">
        <v>476236</v>
      </c>
      <c r="H5" s="466">
        <f t="shared" ref="H5:H68" si="3">G5/F5</f>
        <v>0.42942831379621282</v>
      </c>
    </row>
    <row r="6" spans="1:8" ht="15.75" thickBot="1" x14ac:dyDescent="0.3">
      <c r="A6" s="111">
        <v>121</v>
      </c>
      <c r="B6" s="112" t="s">
        <v>4</v>
      </c>
      <c r="C6" s="101">
        <v>34680</v>
      </c>
      <c r="D6" s="101">
        <v>34680</v>
      </c>
      <c r="E6" s="101">
        <v>34680</v>
      </c>
      <c r="F6" s="101">
        <v>34680</v>
      </c>
      <c r="G6" s="101">
        <v>17127</v>
      </c>
      <c r="H6" s="466">
        <f t="shared" si="3"/>
        <v>0.49385813148788926</v>
      </c>
    </row>
    <row r="7" spans="1:8" x14ac:dyDescent="0.25">
      <c r="A7" s="113">
        <v>133</v>
      </c>
      <c r="B7" s="114" t="s">
        <v>5</v>
      </c>
      <c r="C7" s="7">
        <v>1000</v>
      </c>
      <c r="D7" s="7">
        <v>1000</v>
      </c>
      <c r="E7" s="7">
        <v>1000</v>
      </c>
      <c r="F7" s="7">
        <v>1000</v>
      </c>
      <c r="G7" s="7">
        <v>699</v>
      </c>
      <c r="H7" s="466">
        <f t="shared" si="3"/>
        <v>0.69899999999999995</v>
      </c>
    </row>
    <row r="8" spans="1:8" x14ac:dyDescent="0.25">
      <c r="A8" s="115">
        <v>133</v>
      </c>
      <c r="B8" s="116" t="s">
        <v>6</v>
      </c>
      <c r="C8" s="8">
        <v>400</v>
      </c>
      <c r="D8" s="8">
        <v>400</v>
      </c>
      <c r="E8" s="459">
        <f>400+500</f>
        <v>900</v>
      </c>
      <c r="F8" s="9">
        <f>400+500</f>
        <v>900</v>
      </c>
      <c r="G8" s="8">
        <v>520</v>
      </c>
      <c r="H8" s="466">
        <f t="shared" si="3"/>
        <v>0.57777777777777772</v>
      </c>
    </row>
    <row r="9" spans="1:8" x14ac:dyDescent="0.25">
      <c r="A9" s="115">
        <v>133</v>
      </c>
      <c r="B9" s="116" t="s">
        <v>7</v>
      </c>
      <c r="C9" s="8">
        <v>1500</v>
      </c>
      <c r="D9" s="8">
        <v>1500</v>
      </c>
      <c r="E9" s="8">
        <v>1500</v>
      </c>
      <c r="F9" s="8">
        <v>1500</v>
      </c>
      <c r="G9" s="8">
        <v>897</v>
      </c>
      <c r="H9" s="466">
        <f t="shared" si="3"/>
        <v>0.59799999999999998</v>
      </c>
    </row>
    <row r="10" spans="1:8" x14ac:dyDescent="0.25">
      <c r="A10" s="115">
        <v>133</v>
      </c>
      <c r="B10" s="116" t="s">
        <v>8</v>
      </c>
      <c r="C10" s="8">
        <v>4000</v>
      </c>
      <c r="D10" s="8">
        <v>4000</v>
      </c>
      <c r="E10" s="8">
        <v>4000</v>
      </c>
      <c r="F10" s="459">
        <f>4000+1000</f>
        <v>5000</v>
      </c>
      <c r="G10" s="8">
        <v>703</v>
      </c>
      <c r="H10" s="466">
        <f t="shared" si="3"/>
        <v>0.1406</v>
      </c>
    </row>
    <row r="11" spans="1:8" ht="15.75" thickBot="1" x14ac:dyDescent="0.3">
      <c r="A11" s="117">
        <v>133</v>
      </c>
      <c r="B11" s="118" t="s">
        <v>9</v>
      </c>
      <c r="C11" s="337">
        <v>23000</v>
      </c>
      <c r="D11" s="337">
        <v>23000</v>
      </c>
      <c r="E11" s="337">
        <v>23000</v>
      </c>
      <c r="F11" s="337">
        <v>23000</v>
      </c>
      <c r="G11" s="337">
        <v>11268</v>
      </c>
      <c r="H11" s="466">
        <f t="shared" si="3"/>
        <v>0.48991304347826087</v>
      </c>
    </row>
    <row r="12" spans="1:8" ht="15.75" thickBot="1" x14ac:dyDescent="0.3">
      <c r="A12" s="664" t="s">
        <v>10</v>
      </c>
      <c r="B12" s="665"/>
      <c r="C12" s="1">
        <f t="shared" ref="C12:E12" si="4">SUM(C13:C33)</f>
        <v>218240</v>
      </c>
      <c r="D12" s="1">
        <f t="shared" si="4"/>
        <v>217115</v>
      </c>
      <c r="E12" s="1">
        <f t="shared" si="4"/>
        <v>217115</v>
      </c>
      <c r="F12" s="1">
        <f t="shared" ref="F12" si="5">SUM(F13:F33)</f>
        <v>219115</v>
      </c>
      <c r="G12" s="1">
        <f t="shared" ref="G12" si="6">SUM(G13:G33)</f>
        <v>75182</v>
      </c>
      <c r="H12" s="466">
        <f t="shared" si="3"/>
        <v>0.34311662825456951</v>
      </c>
    </row>
    <row r="13" spans="1:8" x14ac:dyDescent="0.25">
      <c r="A13" s="119">
        <v>212</v>
      </c>
      <c r="B13" s="120" t="s">
        <v>11</v>
      </c>
      <c r="C13" s="270">
        <v>1967</v>
      </c>
      <c r="D13" s="270">
        <v>1967</v>
      </c>
      <c r="E13" s="504">
        <f>1967+140</f>
        <v>2107</v>
      </c>
      <c r="F13" s="270">
        <f>1967+140</f>
        <v>2107</v>
      </c>
      <c r="G13" s="270">
        <v>792</v>
      </c>
      <c r="H13" s="466">
        <f t="shared" si="3"/>
        <v>0.37588989084005697</v>
      </c>
    </row>
    <row r="14" spans="1:8" x14ac:dyDescent="0.25">
      <c r="A14" s="113">
        <v>212</v>
      </c>
      <c r="B14" s="114" t="s">
        <v>12</v>
      </c>
      <c r="C14" s="216">
        <v>7300</v>
      </c>
      <c r="D14" s="216">
        <v>7300</v>
      </c>
      <c r="E14" s="216">
        <v>7300</v>
      </c>
      <c r="F14" s="216">
        <v>7300</v>
      </c>
      <c r="G14" s="216">
        <v>3020</v>
      </c>
      <c r="H14" s="466">
        <f t="shared" si="3"/>
        <v>0.41369863013698632</v>
      </c>
    </row>
    <row r="15" spans="1:8" x14ac:dyDescent="0.25">
      <c r="A15" s="115">
        <v>212</v>
      </c>
      <c r="B15" s="116" t="s">
        <v>13</v>
      </c>
      <c r="C15" s="170">
        <v>3910</v>
      </c>
      <c r="D15" s="170">
        <v>3910</v>
      </c>
      <c r="E15" s="464">
        <f>3910-140</f>
        <v>3770</v>
      </c>
      <c r="F15" s="170">
        <f>3910-140</f>
        <v>3770</v>
      </c>
      <c r="G15" s="170">
        <v>2073</v>
      </c>
      <c r="H15" s="466">
        <f t="shared" si="3"/>
        <v>0.54986737400530505</v>
      </c>
    </row>
    <row r="16" spans="1:8" x14ac:dyDescent="0.25">
      <c r="A16" s="115">
        <v>212</v>
      </c>
      <c r="B16" s="116" t="s">
        <v>14</v>
      </c>
      <c r="C16" s="9">
        <v>18763</v>
      </c>
      <c r="D16" s="459">
        <f>18763+500+375</f>
        <v>19638</v>
      </c>
      <c r="E16" s="9">
        <f>18763+500+375</f>
        <v>19638</v>
      </c>
      <c r="F16" s="9">
        <f>18763+500+375</f>
        <v>19638</v>
      </c>
      <c r="G16" s="9">
        <v>6281</v>
      </c>
      <c r="H16" s="466">
        <f t="shared" si="3"/>
        <v>0.31983908748345047</v>
      </c>
    </row>
    <row r="17" spans="1:19" ht="15.75" thickBot="1" x14ac:dyDescent="0.3">
      <c r="A17" s="121">
        <v>212</v>
      </c>
      <c r="B17" s="122" t="s">
        <v>15</v>
      </c>
      <c r="C17" s="219">
        <v>400</v>
      </c>
      <c r="D17" s="219">
        <v>400</v>
      </c>
      <c r="E17" s="219">
        <v>400</v>
      </c>
      <c r="F17" s="555">
        <f>400+1000</f>
        <v>1400</v>
      </c>
      <c r="G17" s="219">
        <v>0</v>
      </c>
      <c r="H17" s="466">
        <f t="shared" si="3"/>
        <v>0</v>
      </c>
      <c r="I17" s="123">
        <f>SUM(C13:C17)</f>
        <v>32340</v>
      </c>
      <c r="J17" s="123">
        <f>SUM(D13:D17)</f>
        <v>33215</v>
      </c>
      <c r="K17" s="123">
        <f t="shared" ref="K17" si="7">SUM(G13:G17)</f>
        <v>12166</v>
      </c>
      <c r="L17" s="123"/>
      <c r="M17" s="123"/>
      <c r="N17" s="123"/>
      <c r="O17" s="123"/>
      <c r="P17" s="123"/>
    </row>
    <row r="18" spans="1:19" ht="15.75" thickBot="1" x14ac:dyDescent="0.3">
      <c r="A18" s="111">
        <v>221</v>
      </c>
      <c r="B18" s="112" t="s">
        <v>16</v>
      </c>
      <c r="C18" s="220">
        <v>5000</v>
      </c>
      <c r="D18" s="220">
        <v>5000</v>
      </c>
      <c r="E18" s="220">
        <v>5000</v>
      </c>
      <c r="F18" s="220">
        <v>5000</v>
      </c>
      <c r="G18" s="220">
        <v>2686</v>
      </c>
      <c r="H18" s="466">
        <f t="shared" si="3"/>
        <v>0.53720000000000001</v>
      </c>
    </row>
    <row r="19" spans="1:19" ht="15.75" thickBot="1" x14ac:dyDescent="0.3">
      <c r="A19" s="121">
        <v>222</v>
      </c>
      <c r="B19" s="122" t="s">
        <v>17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466">
        <v>0</v>
      </c>
    </row>
    <row r="20" spans="1:19" x14ac:dyDescent="0.25">
      <c r="A20" s="113">
        <v>223</v>
      </c>
      <c r="B20" s="114" t="s">
        <v>18</v>
      </c>
      <c r="C20" s="216">
        <v>900</v>
      </c>
      <c r="D20" s="216">
        <v>900</v>
      </c>
      <c r="E20" s="216">
        <v>900</v>
      </c>
      <c r="F20" s="216">
        <v>900</v>
      </c>
      <c r="G20" s="216">
        <v>146</v>
      </c>
      <c r="H20" s="466">
        <f t="shared" si="3"/>
        <v>0.16222222222222221</v>
      </c>
    </row>
    <row r="21" spans="1:19" x14ac:dyDescent="0.25">
      <c r="A21" s="115">
        <v>223</v>
      </c>
      <c r="B21" s="116" t="s">
        <v>19</v>
      </c>
      <c r="C21" s="9">
        <v>20000</v>
      </c>
      <c r="D21" s="459">
        <f>20000-2000</f>
        <v>18000</v>
      </c>
      <c r="E21" s="9">
        <f>20000-2000</f>
        <v>18000</v>
      </c>
      <c r="F21" s="9">
        <f>20000-2000</f>
        <v>18000</v>
      </c>
      <c r="G21" s="9">
        <v>6426</v>
      </c>
      <c r="H21" s="466">
        <f t="shared" si="3"/>
        <v>0.35699999999999998</v>
      </c>
    </row>
    <row r="22" spans="1:19" x14ac:dyDescent="0.25">
      <c r="A22" s="115">
        <v>223</v>
      </c>
      <c r="B22" s="116" t="s">
        <v>234</v>
      </c>
      <c r="C22" s="9">
        <v>500</v>
      </c>
      <c r="D22" s="9">
        <v>500</v>
      </c>
      <c r="E22" s="9">
        <v>500</v>
      </c>
      <c r="F22" s="9">
        <v>500</v>
      </c>
      <c r="G22" s="9">
        <v>0</v>
      </c>
      <c r="H22" s="466">
        <f t="shared" si="3"/>
        <v>0</v>
      </c>
    </row>
    <row r="23" spans="1:19" x14ac:dyDescent="0.25">
      <c r="A23" s="115">
        <v>223</v>
      </c>
      <c r="B23" s="116" t="s">
        <v>174</v>
      </c>
      <c r="C23" s="9">
        <v>33000</v>
      </c>
      <c r="D23" s="9">
        <v>33000</v>
      </c>
      <c r="E23" s="9">
        <v>33000</v>
      </c>
      <c r="F23" s="459">
        <f>33000+1000</f>
        <v>34000</v>
      </c>
      <c r="G23" s="9">
        <v>1277</v>
      </c>
      <c r="H23" s="466">
        <f t="shared" si="3"/>
        <v>3.7558823529411763E-2</v>
      </c>
    </row>
    <row r="24" spans="1:19" x14ac:dyDescent="0.25">
      <c r="A24" s="115">
        <v>223</v>
      </c>
      <c r="B24" s="116" t="s">
        <v>20</v>
      </c>
      <c r="C24" s="9">
        <v>1000</v>
      </c>
      <c r="D24" s="9">
        <v>1000</v>
      </c>
      <c r="E24" s="9">
        <v>1000</v>
      </c>
      <c r="F24" s="9">
        <v>1000</v>
      </c>
      <c r="G24" s="9">
        <v>124</v>
      </c>
      <c r="H24" s="466">
        <f t="shared" si="3"/>
        <v>0.124</v>
      </c>
    </row>
    <row r="25" spans="1:19" x14ac:dyDescent="0.25">
      <c r="A25" s="115">
        <v>223</v>
      </c>
      <c r="B25" s="116" t="s">
        <v>175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466">
        <v>0</v>
      </c>
    </row>
    <row r="26" spans="1:19" x14ac:dyDescent="0.25">
      <c r="A26" s="115">
        <v>223</v>
      </c>
      <c r="B26" s="116" t="s">
        <v>21</v>
      </c>
      <c r="C26" s="9">
        <v>700</v>
      </c>
      <c r="D26" s="9">
        <v>700</v>
      </c>
      <c r="E26" s="9">
        <v>700</v>
      </c>
      <c r="F26" s="9">
        <v>700</v>
      </c>
      <c r="G26" s="9">
        <v>332</v>
      </c>
      <c r="H26" s="466">
        <f t="shared" si="3"/>
        <v>0.47428571428571431</v>
      </c>
    </row>
    <row r="27" spans="1:19" x14ac:dyDescent="0.25">
      <c r="A27" s="115">
        <v>223</v>
      </c>
      <c r="B27" s="116" t="s">
        <v>22</v>
      </c>
      <c r="C27" s="9">
        <f t="shared" ref="C27:F27" si="8">31000+2000</f>
        <v>33000</v>
      </c>
      <c r="D27" s="9">
        <f t="shared" si="8"/>
        <v>33000</v>
      </c>
      <c r="E27" s="9">
        <f t="shared" si="8"/>
        <v>33000</v>
      </c>
      <c r="F27" s="9">
        <f t="shared" si="8"/>
        <v>33000</v>
      </c>
      <c r="G27" s="9">
        <v>15391</v>
      </c>
      <c r="H27" s="466">
        <f t="shared" si="3"/>
        <v>0.46639393939393942</v>
      </c>
    </row>
    <row r="28" spans="1:19" x14ac:dyDescent="0.25">
      <c r="A28" s="115">
        <v>223</v>
      </c>
      <c r="B28" s="116" t="s">
        <v>23</v>
      </c>
      <c r="C28" s="9">
        <v>21460</v>
      </c>
      <c r="D28" s="9">
        <v>21460</v>
      </c>
      <c r="E28" s="9">
        <v>21460</v>
      </c>
      <c r="F28" s="9">
        <v>21460</v>
      </c>
      <c r="G28" s="9">
        <v>7550</v>
      </c>
      <c r="H28" s="466">
        <f t="shared" si="3"/>
        <v>0.35181733457595527</v>
      </c>
    </row>
    <row r="29" spans="1:19" x14ac:dyDescent="0.25">
      <c r="A29" s="115">
        <v>223</v>
      </c>
      <c r="B29" s="116" t="s">
        <v>24</v>
      </c>
      <c r="C29" s="9">
        <v>18000</v>
      </c>
      <c r="D29" s="9">
        <v>18000</v>
      </c>
      <c r="E29" s="9">
        <v>18000</v>
      </c>
      <c r="F29" s="9">
        <v>18000</v>
      </c>
      <c r="G29" s="9">
        <v>8737</v>
      </c>
      <c r="H29" s="466">
        <f t="shared" si="3"/>
        <v>0.48538888888888887</v>
      </c>
    </row>
    <row r="30" spans="1:19" x14ac:dyDescent="0.25">
      <c r="A30" s="115">
        <v>223</v>
      </c>
      <c r="B30" s="116" t="s">
        <v>222</v>
      </c>
      <c r="C30" s="9">
        <v>240</v>
      </c>
      <c r="D30" s="9">
        <v>240</v>
      </c>
      <c r="E30" s="9">
        <v>240</v>
      </c>
      <c r="F30" s="9">
        <v>240</v>
      </c>
      <c r="G30" s="9">
        <v>16</v>
      </c>
      <c r="H30" s="466">
        <f t="shared" si="3"/>
        <v>6.6666666666666666E-2</v>
      </c>
    </row>
    <row r="31" spans="1:19" x14ac:dyDescent="0.25">
      <c r="A31" s="115">
        <v>223</v>
      </c>
      <c r="B31" s="116" t="s">
        <v>25</v>
      </c>
      <c r="C31" s="9">
        <v>2000</v>
      </c>
      <c r="D31" s="9">
        <v>2000</v>
      </c>
      <c r="E31" s="9">
        <v>2000</v>
      </c>
      <c r="F31" s="9">
        <v>2000</v>
      </c>
      <c r="G31" s="9">
        <v>860</v>
      </c>
      <c r="H31" s="466">
        <f t="shared" si="3"/>
        <v>0.43</v>
      </c>
    </row>
    <row r="32" spans="1:19" x14ac:dyDescent="0.25">
      <c r="A32" s="164">
        <v>223</v>
      </c>
      <c r="B32" s="165" t="s">
        <v>187</v>
      </c>
      <c r="C32" s="271">
        <v>50000</v>
      </c>
      <c r="D32" s="271">
        <v>50000</v>
      </c>
      <c r="E32" s="271">
        <v>50000</v>
      </c>
      <c r="F32" s="271">
        <v>50000</v>
      </c>
      <c r="G32" s="271">
        <v>19471</v>
      </c>
      <c r="H32" s="466">
        <f t="shared" si="3"/>
        <v>0.38941999999999999</v>
      </c>
      <c r="I32" s="123">
        <f>SUM(C20:C33)</f>
        <v>180900</v>
      </c>
      <c r="J32" s="123">
        <f>SUM(D20:D33)</f>
        <v>178900</v>
      </c>
      <c r="K32" s="123">
        <f t="shared" ref="K32" si="9">SUM(G20:G33)</f>
        <v>60330</v>
      </c>
      <c r="L32" s="123"/>
      <c r="M32" s="123"/>
      <c r="N32" s="123"/>
      <c r="O32" s="123"/>
      <c r="P32" s="123"/>
      <c r="Q32" s="123"/>
      <c r="R32" s="123"/>
      <c r="S32" s="123"/>
    </row>
    <row r="33" spans="1:16" ht="15.75" thickBot="1" x14ac:dyDescent="0.3">
      <c r="A33" s="117">
        <v>223</v>
      </c>
      <c r="B33" s="118" t="s">
        <v>26</v>
      </c>
      <c r="C33" s="12">
        <v>100</v>
      </c>
      <c r="D33" s="12">
        <v>100</v>
      </c>
      <c r="E33" s="12">
        <v>100</v>
      </c>
      <c r="F33" s="12">
        <v>100</v>
      </c>
      <c r="G33" s="12">
        <v>0</v>
      </c>
      <c r="H33" s="466">
        <f t="shared" si="3"/>
        <v>0</v>
      </c>
      <c r="I33" s="123">
        <f>SUM(C18:C33)</f>
        <v>185900</v>
      </c>
      <c r="J33" s="123">
        <f>SUM(D18:D33)</f>
        <v>183900</v>
      </c>
      <c r="K33" s="123">
        <f t="shared" ref="K33" si="10">SUM(G18:G33)</f>
        <v>63016</v>
      </c>
      <c r="L33" s="123"/>
      <c r="M33" s="123"/>
      <c r="N33" s="123"/>
      <c r="O33" s="123"/>
      <c r="P33" s="123"/>
    </row>
    <row r="34" spans="1:16" ht="15.75" thickBot="1" x14ac:dyDescent="0.3">
      <c r="A34" s="500" t="s">
        <v>27</v>
      </c>
      <c r="B34" s="501"/>
      <c r="C34" s="1">
        <f t="shared" ref="C34:F34" si="11">SUM(C35)</f>
        <v>400</v>
      </c>
      <c r="D34" s="1">
        <f t="shared" si="11"/>
        <v>400</v>
      </c>
      <c r="E34" s="1">
        <f t="shared" si="11"/>
        <v>400</v>
      </c>
      <c r="F34" s="1">
        <f t="shared" si="11"/>
        <v>400</v>
      </c>
      <c r="G34" s="1">
        <f t="shared" ref="G34" si="12">SUM(G35)</f>
        <v>196</v>
      </c>
      <c r="H34" s="466">
        <f t="shared" si="3"/>
        <v>0.49</v>
      </c>
      <c r="I34" s="123"/>
      <c r="J34" s="123"/>
      <c r="K34" s="123"/>
      <c r="L34" s="123"/>
      <c r="M34" s="123"/>
      <c r="N34" s="123"/>
      <c r="O34" s="123"/>
      <c r="P34" s="123"/>
    </row>
    <row r="35" spans="1:16" ht="15.75" thickBot="1" x14ac:dyDescent="0.3">
      <c r="A35" s="124">
        <v>240</v>
      </c>
      <c r="B35" s="125" t="s">
        <v>28</v>
      </c>
      <c r="C35" s="10">
        <v>400</v>
      </c>
      <c r="D35" s="10">
        <v>400</v>
      </c>
      <c r="E35" s="10">
        <v>400</v>
      </c>
      <c r="F35" s="10">
        <v>400</v>
      </c>
      <c r="G35" s="10">
        <v>196</v>
      </c>
      <c r="H35" s="466">
        <f t="shared" si="3"/>
        <v>0.49</v>
      </c>
    </row>
    <row r="36" spans="1:16" ht="15.75" thickBot="1" x14ac:dyDescent="0.3">
      <c r="A36" s="500" t="s">
        <v>29</v>
      </c>
      <c r="B36" s="501"/>
      <c r="C36" s="1">
        <f t="shared" ref="C36:E36" si="13">SUM(C37:C43)</f>
        <v>28250</v>
      </c>
      <c r="D36" s="1">
        <f t="shared" si="13"/>
        <v>31212</v>
      </c>
      <c r="E36" s="1">
        <f t="shared" si="13"/>
        <v>31212</v>
      </c>
      <c r="F36" s="1">
        <f t="shared" ref="F36" si="14">SUM(F37:F43)</f>
        <v>34212</v>
      </c>
      <c r="G36" s="1">
        <f t="shared" ref="G36" si="15">SUM(G37:G43)</f>
        <v>7876</v>
      </c>
      <c r="H36" s="466">
        <f t="shared" si="3"/>
        <v>0.23021162165322109</v>
      </c>
    </row>
    <row r="37" spans="1:16" x14ac:dyDescent="0.25">
      <c r="A37" s="13">
        <v>292</v>
      </c>
      <c r="B37" s="14" t="s">
        <v>30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466">
        <v>0</v>
      </c>
    </row>
    <row r="38" spans="1:16" x14ac:dyDescent="0.25">
      <c r="A38" s="13">
        <v>292</v>
      </c>
      <c r="B38" s="14" t="s">
        <v>31</v>
      </c>
      <c r="C38" s="15">
        <v>400</v>
      </c>
      <c r="D38" s="15">
        <v>400</v>
      </c>
      <c r="E38" s="15">
        <v>400</v>
      </c>
      <c r="F38" s="15">
        <v>400</v>
      </c>
      <c r="G38" s="15">
        <v>127</v>
      </c>
      <c r="H38" s="466">
        <f t="shared" si="3"/>
        <v>0.3175</v>
      </c>
    </row>
    <row r="39" spans="1:16" x14ac:dyDescent="0.25">
      <c r="A39" s="16">
        <v>292</v>
      </c>
      <c r="B39" s="17" t="s">
        <v>176</v>
      </c>
      <c r="C39" s="168">
        <v>0</v>
      </c>
      <c r="D39" s="465">
        <v>2950</v>
      </c>
      <c r="E39" s="168">
        <v>2950</v>
      </c>
      <c r="F39" s="168">
        <v>2950</v>
      </c>
      <c r="G39" s="168">
        <v>2949</v>
      </c>
      <c r="H39" s="466">
        <f t="shared" si="3"/>
        <v>0.99966101694915255</v>
      </c>
    </row>
    <row r="40" spans="1:16" x14ac:dyDescent="0.25">
      <c r="A40" s="16">
        <v>292</v>
      </c>
      <c r="B40" s="17" t="s">
        <v>177</v>
      </c>
      <c r="C40" s="18">
        <v>10000</v>
      </c>
      <c r="D40" s="18">
        <v>10000</v>
      </c>
      <c r="E40" s="18">
        <v>10000</v>
      </c>
      <c r="F40" s="18">
        <v>10000</v>
      </c>
      <c r="G40" s="18">
        <v>196</v>
      </c>
      <c r="H40" s="466">
        <f t="shared" si="3"/>
        <v>1.9599999999999999E-2</v>
      </c>
    </row>
    <row r="41" spans="1:16" x14ac:dyDescent="0.25">
      <c r="A41" s="16">
        <v>292</v>
      </c>
      <c r="B41" s="116" t="s">
        <v>32</v>
      </c>
      <c r="C41" s="171">
        <v>240</v>
      </c>
      <c r="D41" s="460">
        <f>240+12</f>
        <v>252</v>
      </c>
      <c r="E41" s="171">
        <f>240+12</f>
        <v>252</v>
      </c>
      <c r="F41" s="171">
        <f>240+12</f>
        <v>252</v>
      </c>
      <c r="G41" s="171">
        <v>0</v>
      </c>
      <c r="H41" s="466">
        <f t="shared" si="3"/>
        <v>0</v>
      </c>
    </row>
    <row r="42" spans="1:16" x14ac:dyDescent="0.25">
      <c r="A42" s="16">
        <v>292</v>
      </c>
      <c r="B42" s="17" t="s">
        <v>33</v>
      </c>
      <c r="C42" s="18">
        <f>17710-240</f>
        <v>17470</v>
      </c>
      <c r="D42" s="18">
        <f>17710+12-D41</f>
        <v>17470</v>
      </c>
      <c r="E42" s="18">
        <f>17710+12-E41</f>
        <v>17470</v>
      </c>
      <c r="F42" s="477">
        <f>17710+12-F41+3000</f>
        <v>20470</v>
      </c>
      <c r="G42" s="18">
        <v>4464</v>
      </c>
      <c r="H42" s="466">
        <f t="shared" si="3"/>
        <v>0.21807523204689791</v>
      </c>
    </row>
    <row r="43" spans="1:16" ht="15.75" thickBot="1" x14ac:dyDescent="0.3">
      <c r="A43" s="16">
        <v>292</v>
      </c>
      <c r="B43" s="17" t="s">
        <v>235</v>
      </c>
      <c r="C43" s="18">
        <v>140</v>
      </c>
      <c r="D43" s="18">
        <v>140</v>
      </c>
      <c r="E43" s="18">
        <v>140</v>
      </c>
      <c r="F43" s="18">
        <v>140</v>
      </c>
      <c r="G43" s="18">
        <v>140</v>
      </c>
      <c r="H43" s="466">
        <f t="shared" si="3"/>
        <v>1</v>
      </c>
    </row>
    <row r="44" spans="1:16" ht="15.75" thickBot="1" x14ac:dyDescent="0.3">
      <c r="A44" s="19" t="s">
        <v>34</v>
      </c>
      <c r="B44" s="20"/>
      <c r="C44" s="1">
        <f>SUM(C45:C69)</f>
        <v>694110</v>
      </c>
      <c r="D44" s="1">
        <f>SUM(D45:D69)</f>
        <v>713823</v>
      </c>
      <c r="E44" s="1">
        <f>SUM(E45:E69)</f>
        <v>720268</v>
      </c>
      <c r="F44" s="1">
        <f>SUM(F45:F69)</f>
        <v>743313</v>
      </c>
      <c r="G44" s="1">
        <f>SUM(G45:G69)</f>
        <v>266352</v>
      </c>
      <c r="H44" s="466">
        <f t="shared" si="3"/>
        <v>0.35833087810922182</v>
      </c>
    </row>
    <row r="45" spans="1:16" x14ac:dyDescent="0.25">
      <c r="A45" s="21">
        <v>311</v>
      </c>
      <c r="B45" s="22" t="s">
        <v>178</v>
      </c>
      <c r="C45" s="23">
        <v>0</v>
      </c>
      <c r="D45" s="23">
        <v>0</v>
      </c>
      <c r="E45" s="23">
        <v>0</v>
      </c>
      <c r="F45" s="461">
        <v>3000</v>
      </c>
      <c r="G45" s="23">
        <v>0</v>
      </c>
      <c r="H45" s="466">
        <f t="shared" si="3"/>
        <v>0</v>
      </c>
    </row>
    <row r="46" spans="1:16" x14ac:dyDescent="0.25">
      <c r="A46" s="21">
        <v>311</v>
      </c>
      <c r="B46" s="22" t="s">
        <v>212</v>
      </c>
      <c r="C46" s="23">
        <v>0</v>
      </c>
      <c r="D46" s="461">
        <v>460</v>
      </c>
      <c r="E46" s="23">
        <v>460</v>
      </c>
      <c r="F46" s="23">
        <v>460</v>
      </c>
      <c r="G46" s="23">
        <v>0</v>
      </c>
      <c r="H46" s="466">
        <f t="shared" si="3"/>
        <v>0</v>
      </c>
    </row>
    <row r="47" spans="1:16" x14ac:dyDescent="0.25">
      <c r="A47" s="27">
        <v>312</v>
      </c>
      <c r="B47" s="22" t="s">
        <v>443</v>
      </c>
      <c r="C47" s="28">
        <v>0</v>
      </c>
      <c r="D47" s="28">
        <v>0</v>
      </c>
      <c r="E47" s="462">
        <v>6000</v>
      </c>
      <c r="F47" s="28">
        <v>6000</v>
      </c>
      <c r="G47" s="28">
        <v>0</v>
      </c>
      <c r="H47" s="466">
        <f t="shared" si="3"/>
        <v>0</v>
      </c>
    </row>
    <row r="48" spans="1:16" x14ac:dyDescent="0.25">
      <c r="A48" s="21">
        <v>312</v>
      </c>
      <c r="B48" s="22" t="s">
        <v>236</v>
      </c>
      <c r="C48" s="23">
        <v>8220</v>
      </c>
      <c r="D48" s="23">
        <v>8220</v>
      </c>
      <c r="E48" s="23">
        <v>8220</v>
      </c>
      <c r="F48" s="23">
        <v>8220</v>
      </c>
      <c r="G48" s="23">
        <v>2496</v>
      </c>
      <c r="H48" s="466">
        <f t="shared" si="3"/>
        <v>0.30364963503649633</v>
      </c>
    </row>
    <row r="49" spans="1:8" x14ac:dyDescent="0.25">
      <c r="A49" s="21">
        <v>312</v>
      </c>
      <c r="B49" s="22" t="s">
        <v>35</v>
      </c>
      <c r="C49" s="23">
        <v>4000</v>
      </c>
      <c r="D49" s="461">
        <f>4000+2100</f>
        <v>6100</v>
      </c>
      <c r="E49" s="461">
        <f>4000+2100+145</f>
        <v>6245</v>
      </c>
      <c r="F49" s="461">
        <f>4000+2100+145+5</f>
        <v>6250</v>
      </c>
      <c r="G49" s="23">
        <v>6211</v>
      </c>
      <c r="H49" s="466">
        <f t="shared" si="3"/>
        <v>0.99375999999999998</v>
      </c>
    </row>
    <row r="50" spans="1:8" x14ac:dyDescent="0.25">
      <c r="A50" s="24">
        <v>312</v>
      </c>
      <c r="B50" s="116" t="s">
        <v>36</v>
      </c>
      <c r="C50" s="7">
        <v>7200</v>
      </c>
      <c r="D50" s="7">
        <v>7200</v>
      </c>
      <c r="E50" s="7">
        <v>7200</v>
      </c>
      <c r="F50" s="216">
        <v>7200</v>
      </c>
      <c r="G50" s="7">
        <v>5840</v>
      </c>
      <c r="H50" s="466">
        <f t="shared" si="3"/>
        <v>0.81111111111111112</v>
      </c>
    </row>
    <row r="51" spans="1:8" x14ac:dyDescent="0.25">
      <c r="A51" s="24">
        <v>312</v>
      </c>
      <c r="B51" s="116" t="s">
        <v>37</v>
      </c>
      <c r="C51" s="7">
        <v>1000</v>
      </c>
      <c r="D51" s="7">
        <v>1000</v>
      </c>
      <c r="E51" s="7">
        <v>1000</v>
      </c>
      <c r="F51" s="216">
        <v>1000</v>
      </c>
      <c r="G51" s="7">
        <v>227</v>
      </c>
      <c r="H51" s="466">
        <f t="shared" si="3"/>
        <v>0.22700000000000001</v>
      </c>
    </row>
    <row r="52" spans="1:8" x14ac:dyDescent="0.25">
      <c r="A52" s="21">
        <v>312</v>
      </c>
      <c r="B52" s="22" t="s">
        <v>402</v>
      </c>
      <c r="C52" s="23">
        <v>0</v>
      </c>
      <c r="D52" s="23">
        <v>0</v>
      </c>
      <c r="E52" s="461">
        <v>300</v>
      </c>
      <c r="F52" s="23">
        <v>300</v>
      </c>
      <c r="G52" s="23">
        <v>300</v>
      </c>
      <c r="H52" s="466">
        <f t="shared" si="3"/>
        <v>1</v>
      </c>
    </row>
    <row r="53" spans="1:8" x14ac:dyDescent="0.25">
      <c r="A53" s="24">
        <v>312</v>
      </c>
      <c r="B53" s="25" t="s">
        <v>166</v>
      </c>
      <c r="C53" s="26">
        <v>14440</v>
      </c>
      <c r="D53" s="26">
        <v>14440</v>
      </c>
      <c r="E53" s="26">
        <v>14440</v>
      </c>
      <c r="F53" s="262">
        <v>14440</v>
      </c>
      <c r="G53" s="26">
        <v>1007</v>
      </c>
      <c r="H53" s="466">
        <f t="shared" si="3"/>
        <v>6.9736842105263153E-2</v>
      </c>
    </row>
    <row r="54" spans="1:8" x14ac:dyDescent="0.25">
      <c r="A54" s="24">
        <v>312</v>
      </c>
      <c r="B54" s="25" t="s">
        <v>238</v>
      </c>
      <c r="C54" s="26">
        <v>3800</v>
      </c>
      <c r="D54" s="26">
        <v>3800</v>
      </c>
      <c r="E54" s="26">
        <v>3800</v>
      </c>
      <c r="F54" s="262">
        <v>3800</v>
      </c>
      <c r="G54" s="26">
        <v>0</v>
      </c>
      <c r="H54" s="466">
        <f t="shared" si="3"/>
        <v>0</v>
      </c>
    </row>
    <row r="55" spans="1:8" x14ac:dyDescent="0.25">
      <c r="A55" s="24">
        <v>312</v>
      </c>
      <c r="B55" s="25" t="s">
        <v>237</v>
      </c>
      <c r="C55" s="26">
        <v>950</v>
      </c>
      <c r="D55" s="26">
        <v>950</v>
      </c>
      <c r="E55" s="26">
        <v>950</v>
      </c>
      <c r="F55" s="262">
        <v>950</v>
      </c>
      <c r="G55" s="26">
        <v>0</v>
      </c>
      <c r="H55" s="466">
        <f t="shared" si="3"/>
        <v>0</v>
      </c>
    </row>
    <row r="56" spans="1:8" x14ac:dyDescent="0.25">
      <c r="A56" s="21">
        <v>312</v>
      </c>
      <c r="B56" s="22" t="s">
        <v>349</v>
      </c>
      <c r="C56" s="23">
        <v>0</v>
      </c>
      <c r="D56" s="461">
        <v>30</v>
      </c>
      <c r="E56" s="23">
        <v>30</v>
      </c>
      <c r="F56" s="23">
        <v>30</v>
      </c>
      <c r="G56" s="23">
        <v>30</v>
      </c>
      <c r="H56" s="466">
        <f t="shared" si="3"/>
        <v>1</v>
      </c>
    </row>
    <row r="57" spans="1:8" x14ac:dyDescent="0.25">
      <c r="A57" s="24">
        <v>312</v>
      </c>
      <c r="B57" s="25" t="s">
        <v>38</v>
      </c>
      <c r="C57" s="7">
        <v>18300</v>
      </c>
      <c r="D57" s="7">
        <v>18300</v>
      </c>
      <c r="E57" s="7">
        <v>18300</v>
      </c>
      <c r="F57" s="216">
        <v>18300</v>
      </c>
      <c r="G57" s="7">
        <v>9223</v>
      </c>
      <c r="H57" s="466">
        <f t="shared" si="3"/>
        <v>0.50398907103825141</v>
      </c>
    </row>
    <row r="58" spans="1:8" x14ac:dyDescent="0.25">
      <c r="A58" s="24">
        <v>312</v>
      </c>
      <c r="B58" s="25" t="s">
        <v>39</v>
      </c>
      <c r="C58" s="7">
        <v>8700</v>
      </c>
      <c r="D58" s="7">
        <v>8700</v>
      </c>
      <c r="E58" s="7">
        <v>8700</v>
      </c>
      <c r="F58" s="7">
        <v>8700</v>
      </c>
      <c r="G58" s="7">
        <v>4350</v>
      </c>
      <c r="H58" s="466">
        <f t="shared" si="3"/>
        <v>0.5</v>
      </c>
    </row>
    <row r="59" spans="1:8" x14ac:dyDescent="0.25">
      <c r="A59" s="24">
        <v>312</v>
      </c>
      <c r="B59" s="25" t="s">
        <v>40</v>
      </c>
      <c r="C59" s="7">
        <v>7900</v>
      </c>
      <c r="D59" s="7">
        <v>7900</v>
      </c>
      <c r="E59" s="7">
        <v>7900</v>
      </c>
      <c r="F59" s="463">
        <f>7900+200</f>
        <v>8100</v>
      </c>
      <c r="G59" s="7">
        <v>1400</v>
      </c>
      <c r="H59" s="466">
        <f t="shared" si="3"/>
        <v>0.1728395061728395</v>
      </c>
    </row>
    <row r="60" spans="1:8" x14ac:dyDescent="0.25">
      <c r="A60" s="24">
        <v>312</v>
      </c>
      <c r="B60" s="25" t="s">
        <v>499</v>
      </c>
      <c r="C60" s="7">
        <v>0</v>
      </c>
      <c r="D60" s="7">
        <v>0</v>
      </c>
      <c r="E60" s="7">
        <v>0</v>
      </c>
      <c r="F60" s="463">
        <f>2000+1500</f>
        <v>3500</v>
      </c>
      <c r="G60" s="7">
        <v>0</v>
      </c>
      <c r="H60" s="466">
        <f t="shared" si="3"/>
        <v>0</v>
      </c>
    </row>
    <row r="61" spans="1:8" x14ac:dyDescent="0.25">
      <c r="A61" s="24">
        <v>312</v>
      </c>
      <c r="B61" s="25" t="s">
        <v>213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466">
        <v>0</v>
      </c>
    </row>
    <row r="62" spans="1:8" x14ac:dyDescent="0.25">
      <c r="A62" s="24">
        <v>312</v>
      </c>
      <c r="B62" s="25" t="s">
        <v>41</v>
      </c>
      <c r="C62" s="7">
        <v>3000</v>
      </c>
      <c r="D62" s="7">
        <v>3000</v>
      </c>
      <c r="E62" s="7">
        <v>3000</v>
      </c>
      <c r="F62" s="7">
        <v>3000</v>
      </c>
      <c r="G62" s="7">
        <v>3000</v>
      </c>
      <c r="H62" s="466">
        <f t="shared" si="3"/>
        <v>1</v>
      </c>
    </row>
    <row r="63" spans="1:8" x14ac:dyDescent="0.25">
      <c r="A63" s="27">
        <v>312</v>
      </c>
      <c r="B63" s="22" t="s">
        <v>180</v>
      </c>
      <c r="C63" s="28">
        <v>0</v>
      </c>
      <c r="D63" s="462">
        <f>2000+2000</f>
        <v>4000</v>
      </c>
      <c r="E63" s="28">
        <f>2000+2000</f>
        <v>4000</v>
      </c>
      <c r="F63" s="462">
        <f>2000+2000+1900+2000+2200+2000+8000</f>
        <v>20100</v>
      </c>
      <c r="G63" s="28">
        <v>2000</v>
      </c>
      <c r="H63" s="466">
        <f t="shared" si="3"/>
        <v>9.950248756218906E-2</v>
      </c>
    </row>
    <row r="64" spans="1:8" x14ac:dyDescent="0.25">
      <c r="A64" s="29">
        <v>312</v>
      </c>
      <c r="B64" s="116" t="s">
        <v>42</v>
      </c>
      <c r="C64" s="170">
        <v>4430</v>
      </c>
      <c r="D64" s="464">
        <f>4430-130</f>
        <v>4300</v>
      </c>
      <c r="E64" s="170">
        <f>4430-130</f>
        <v>4300</v>
      </c>
      <c r="F64" s="464">
        <f>4430-130+440</f>
        <v>4740</v>
      </c>
      <c r="G64" s="170">
        <v>4132</v>
      </c>
      <c r="H64" s="466">
        <f t="shared" si="3"/>
        <v>0.87172995780590712</v>
      </c>
    </row>
    <row r="65" spans="1:11" x14ac:dyDescent="0.25">
      <c r="A65" s="29">
        <v>312</v>
      </c>
      <c r="B65" s="126" t="s">
        <v>43</v>
      </c>
      <c r="C65" s="9">
        <v>3700</v>
      </c>
      <c r="D65" s="459">
        <f>3700-200</f>
        <v>3500</v>
      </c>
      <c r="E65" s="9">
        <f>3700-200</f>
        <v>3500</v>
      </c>
      <c r="F65" s="459">
        <f>3700-200-200</f>
        <v>3300</v>
      </c>
      <c r="G65" s="9">
        <v>3014</v>
      </c>
      <c r="H65" s="466">
        <f t="shared" si="3"/>
        <v>0.91333333333333333</v>
      </c>
    </row>
    <row r="66" spans="1:11" x14ac:dyDescent="0.25">
      <c r="A66" s="29">
        <v>312</v>
      </c>
      <c r="B66" s="30" t="s">
        <v>44</v>
      </c>
      <c r="C66" s="170">
        <v>3000</v>
      </c>
      <c r="D66" s="464">
        <f>3000-470</f>
        <v>2530</v>
      </c>
      <c r="E66" s="170">
        <f>3000-470</f>
        <v>2530</v>
      </c>
      <c r="F66" s="170">
        <f>3000-470</f>
        <v>2530</v>
      </c>
      <c r="G66" s="170">
        <v>1685</v>
      </c>
      <c r="H66" s="466">
        <f t="shared" si="3"/>
        <v>0.66600790513833996</v>
      </c>
    </row>
    <row r="67" spans="1:11" ht="15.75" customHeight="1" x14ac:dyDescent="0.25">
      <c r="A67" s="24">
        <v>312</v>
      </c>
      <c r="B67" s="25" t="s">
        <v>181</v>
      </c>
      <c r="C67" s="216">
        <v>102200</v>
      </c>
      <c r="D67" s="216">
        <v>102200</v>
      </c>
      <c r="E67" s="216">
        <v>102200</v>
      </c>
      <c r="F67" s="216">
        <v>102200</v>
      </c>
      <c r="G67" s="216">
        <v>0</v>
      </c>
      <c r="H67" s="466">
        <f t="shared" si="3"/>
        <v>0</v>
      </c>
    </row>
    <row r="68" spans="1:11" x14ac:dyDescent="0.25">
      <c r="A68" s="24">
        <v>312</v>
      </c>
      <c r="B68" s="25" t="s">
        <v>239</v>
      </c>
      <c r="C68" s="216">
        <v>31000</v>
      </c>
      <c r="D68" s="463">
        <f>31000+104</f>
        <v>31104</v>
      </c>
      <c r="E68" s="216">
        <f>31000+104</f>
        <v>31104</v>
      </c>
      <c r="F68" s="216">
        <f>31000+104</f>
        <v>31104</v>
      </c>
      <c r="G68" s="216">
        <v>15552</v>
      </c>
      <c r="H68" s="466">
        <f t="shared" si="3"/>
        <v>0.5</v>
      </c>
    </row>
    <row r="69" spans="1:11" ht="16.5" thickBot="1" x14ac:dyDescent="0.3">
      <c r="A69" s="241">
        <v>312</v>
      </c>
      <c r="B69" s="242" t="s">
        <v>270</v>
      </c>
      <c r="C69" s="218">
        <f>440000+32270</f>
        <v>472270</v>
      </c>
      <c r="D69" s="218">
        <f>440000+32270+13819</f>
        <v>486089</v>
      </c>
      <c r="E69" s="218">
        <f>440000+32270+13819</f>
        <v>486089</v>
      </c>
      <c r="F69" s="218">
        <f>440000+32270+13819</f>
        <v>486089</v>
      </c>
      <c r="G69" s="218">
        <v>205885</v>
      </c>
      <c r="H69" s="466">
        <f t="shared" ref="H69:H77" si="16">G69/F69</f>
        <v>0.42355412280467158</v>
      </c>
      <c r="I69" s="123"/>
    </row>
    <row r="70" spans="1:11" ht="16.5" thickBot="1" x14ac:dyDescent="0.3">
      <c r="A70" s="31" t="s">
        <v>45</v>
      </c>
      <c r="B70" s="127"/>
      <c r="C70" s="32">
        <f>SUM(C4+C12+C34+C36+C44)</f>
        <v>2092580</v>
      </c>
      <c r="D70" s="32">
        <f>SUM(D4+D12+D34+D36+D44)</f>
        <v>2136130</v>
      </c>
      <c r="E70" s="32">
        <f>SUM(E4+E12+E34+E36+E44)</f>
        <v>2143075</v>
      </c>
      <c r="F70" s="32">
        <f>SUM(F4+F12+F34+F36+F44)</f>
        <v>2172120</v>
      </c>
      <c r="G70" s="32">
        <f>SUM(G4+G12+G34+G36+G44)</f>
        <v>857056</v>
      </c>
      <c r="H70" s="466">
        <f t="shared" si="16"/>
        <v>0.39457120232767989</v>
      </c>
      <c r="I70" s="123">
        <f>D70-C70</f>
        <v>43550</v>
      </c>
      <c r="J70" s="123">
        <f>E70-D70</f>
        <v>6945</v>
      </c>
      <c r="K70" s="123">
        <f>F70-E70</f>
        <v>29045</v>
      </c>
    </row>
    <row r="71" spans="1:11" x14ac:dyDescent="0.25">
      <c r="A71" s="243" t="s">
        <v>46</v>
      </c>
      <c r="B71" s="244" t="s">
        <v>269</v>
      </c>
      <c r="C71" s="217">
        <v>3000</v>
      </c>
      <c r="D71" s="217">
        <v>3000</v>
      </c>
      <c r="E71" s="217">
        <v>3000</v>
      </c>
      <c r="F71" s="217">
        <v>3000</v>
      </c>
      <c r="G71" s="217">
        <f>1275+121+171+12</f>
        <v>1579</v>
      </c>
      <c r="H71" s="466">
        <f t="shared" si="16"/>
        <v>0.52633333333333332</v>
      </c>
      <c r="I71" s="123"/>
      <c r="J71" s="123"/>
      <c r="K71" s="123"/>
    </row>
    <row r="72" spans="1:11" ht="15.75" customHeight="1" x14ac:dyDescent="0.25">
      <c r="A72" s="359" t="s">
        <v>46</v>
      </c>
      <c r="B72" s="244" t="s">
        <v>263</v>
      </c>
      <c r="C72" s="360">
        <v>1320</v>
      </c>
      <c r="D72" s="360">
        <v>1320</v>
      </c>
      <c r="E72" s="360">
        <v>1320</v>
      </c>
      <c r="F72" s="360">
        <v>1320</v>
      </c>
      <c r="G72" s="360">
        <v>369</v>
      </c>
      <c r="H72" s="466">
        <f t="shared" si="16"/>
        <v>0.27954545454545454</v>
      </c>
      <c r="I72" s="123"/>
      <c r="J72" s="123"/>
      <c r="K72" s="123"/>
    </row>
    <row r="73" spans="1:11" ht="15.75" customHeight="1" thickBot="1" x14ac:dyDescent="0.3">
      <c r="A73" s="245" t="s">
        <v>46</v>
      </c>
      <c r="B73" s="246" t="s">
        <v>229</v>
      </c>
      <c r="C73" s="234">
        <v>54240</v>
      </c>
      <c r="D73" s="234">
        <v>54240</v>
      </c>
      <c r="E73" s="234">
        <v>54240</v>
      </c>
      <c r="F73" s="234">
        <v>54240</v>
      </c>
      <c r="G73" s="234">
        <v>5459</v>
      </c>
      <c r="H73" s="466">
        <f t="shared" si="16"/>
        <v>0.1006452802359882</v>
      </c>
      <c r="I73" s="123"/>
      <c r="J73" s="123"/>
      <c r="K73" s="123"/>
    </row>
    <row r="74" spans="1:11" ht="15.75" thickBot="1" x14ac:dyDescent="0.3">
      <c r="A74" s="668" t="s">
        <v>277</v>
      </c>
      <c r="B74" s="669"/>
      <c r="C74" s="369">
        <f t="shared" ref="C74:D74" si="17">SUM(C71:C73)</f>
        <v>58560</v>
      </c>
      <c r="D74" s="369">
        <f t="shared" si="17"/>
        <v>58560</v>
      </c>
      <c r="E74" s="369">
        <f t="shared" ref="E74:F74" si="18">SUM(E71:E73)</f>
        <v>58560</v>
      </c>
      <c r="F74" s="369">
        <f t="shared" si="18"/>
        <v>58560</v>
      </c>
      <c r="G74" s="369">
        <f t="shared" ref="G74" si="19">SUM(G71:G73)</f>
        <v>7407</v>
      </c>
      <c r="H74" s="466">
        <f t="shared" si="16"/>
        <v>0.12648565573770493</v>
      </c>
      <c r="I74" s="123">
        <f t="shared" ref="I74:K77" si="20">D74-C74</f>
        <v>0</v>
      </c>
      <c r="J74" s="123">
        <f t="shared" si="20"/>
        <v>0</v>
      </c>
      <c r="K74" s="123">
        <f t="shared" si="20"/>
        <v>0</v>
      </c>
    </row>
    <row r="75" spans="1:11" ht="14.25" customHeight="1" thickBot="1" x14ac:dyDescent="0.3">
      <c r="A75" s="267" t="s">
        <v>46</v>
      </c>
      <c r="B75" s="268" t="s">
        <v>278</v>
      </c>
      <c r="C75" s="269">
        <v>9770</v>
      </c>
      <c r="D75" s="269">
        <v>9770</v>
      </c>
      <c r="E75" s="269">
        <v>9770</v>
      </c>
      <c r="F75" s="269">
        <v>9770</v>
      </c>
      <c r="G75" s="269">
        <v>4955</v>
      </c>
      <c r="H75" s="466">
        <f t="shared" si="16"/>
        <v>0.50716479017400207</v>
      </c>
      <c r="I75" s="123">
        <f t="shared" si="20"/>
        <v>0</v>
      </c>
      <c r="J75" s="123">
        <f t="shared" si="20"/>
        <v>0</v>
      </c>
      <c r="K75" s="123">
        <f t="shared" si="20"/>
        <v>0</v>
      </c>
    </row>
    <row r="76" spans="1:11" ht="17.25" customHeight="1" thickBot="1" x14ac:dyDescent="0.3">
      <c r="A76" s="670" t="s">
        <v>182</v>
      </c>
      <c r="B76" s="671"/>
      <c r="C76" s="235">
        <f t="shared" ref="C76:E76" si="21">C74+C75</f>
        <v>68330</v>
      </c>
      <c r="D76" s="235">
        <f t="shared" si="21"/>
        <v>68330</v>
      </c>
      <c r="E76" s="235">
        <f t="shared" si="21"/>
        <v>68330</v>
      </c>
      <c r="F76" s="235">
        <f t="shared" ref="F76" si="22">F74+F75</f>
        <v>68330</v>
      </c>
      <c r="G76" s="235">
        <f t="shared" ref="G76" si="23">G74+G75</f>
        <v>12362</v>
      </c>
      <c r="H76" s="466">
        <f t="shared" si="16"/>
        <v>0.18091614225084152</v>
      </c>
      <c r="I76" s="123">
        <f t="shared" si="20"/>
        <v>0</v>
      </c>
      <c r="J76" s="123">
        <f t="shared" si="20"/>
        <v>0</v>
      </c>
      <c r="K76" s="123">
        <f t="shared" si="20"/>
        <v>0</v>
      </c>
    </row>
    <row r="77" spans="1:11" ht="27" customHeight="1" thickBot="1" x14ac:dyDescent="0.3">
      <c r="A77" s="31" t="s">
        <v>47</v>
      </c>
      <c r="B77" s="20"/>
      <c r="C77" s="32">
        <f t="shared" ref="C77:E77" si="24">C70+C76</f>
        <v>2160910</v>
      </c>
      <c r="D77" s="32">
        <f t="shared" si="24"/>
        <v>2204460</v>
      </c>
      <c r="E77" s="32">
        <f t="shared" si="24"/>
        <v>2211405</v>
      </c>
      <c r="F77" s="32">
        <f t="shared" ref="F77" si="25">F70+F76</f>
        <v>2240450</v>
      </c>
      <c r="G77" s="32">
        <f t="shared" ref="G77" si="26">G70+G76</f>
        <v>869418</v>
      </c>
      <c r="H77" s="466">
        <f t="shared" si="16"/>
        <v>0.38805507822089313</v>
      </c>
      <c r="I77" s="123">
        <f t="shared" si="20"/>
        <v>43550</v>
      </c>
      <c r="J77" s="123">
        <f t="shared" si="20"/>
        <v>6945</v>
      </c>
      <c r="K77" s="123">
        <f t="shared" si="20"/>
        <v>29045</v>
      </c>
    </row>
    <row r="78" spans="1:11" ht="37.5" customHeight="1" x14ac:dyDescent="0.25">
      <c r="C78" s="214"/>
      <c r="D78" s="214"/>
      <c r="E78" s="214"/>
      <c r="F78" s="214"/>
      <c r="G78" s="214"/>
      <c r="H78" s="35"/>
    </row>
    <row r="79" spans="1:11" ht="16.5" customHeight="1" x14ac:dyDescent="0.25">
      <c r="A79" s="33"/>
      <c r="B79" s="34"/>
      <c r="C79" s="35"/>
      <c r="D79" s="35"/>
      <c r="E79" s="35"/>
      <c r="F79" s="35"/>
      <c r="G79" s="35"/>
    </row>
    <row r="80" spans="1:11" ht="15" customHeight="1" thickBot="1" x14ac:dyDescent="0.3">
      <c r="A80" s="672" t="s">
        <v>48</v>
      </c>
      <c r="B80" s="673"/>
      <c r="C80" s="673"/>
      <c r="D80" s="673"/>
      <c r="E80" s="673"/>
      <c r="F80" s="673"/>
      <c r="G80" s="673"/>
    </row>
    <row r="81" spans="1:8" ht="15" customHeight="1" x14ac:dyDescent="0.25">
      <c r="A81" s="644" t="s">
        <v>1</v>
      </c>
      <c r="B81" s="645"/>
      <c r="C81" s="638" t="s">
        <v>323</v>
      </c>
      <c r="D81" s="638" t="s">
        <v>322</v>
      </c>
      <c r="E81" s="638" t="s">
        <v>408</v>
      </c>
      <c r="F81" s="638" t="s">
        <v>413</v>
      </c>
      <c r="G81" s="638" t="s">
        <v>500</v>
      </c>
      <c r="H81" s="666" t="s">
        <v>354</v>
      </c>
    </row>
    <row r="82" spans="1:8" ht="15.75" thickBot="1" x14ac:dyDescent="0.3">
      <c r="A82" s="646"/>
      <c r="B82" s="647"/>
      <c r="C82" s="639"/>
      <c r="D82" s="639"/>
      <c r="E82" s="639"/>
      <c r="F82" s="639"/>
      <c r="G82" s="639"/>
      <c r="H82" s="667"/>
    </row>
    <row r="83" spans="1:8" ht="15.75" thickBot="1" x14ac:dyDescent="0.3">
      <c r="A83" s="36" t="s">
        <v>49</v>
      </c>
      <c r="B83" s="37"/>
      <c r="C83" s="38">
        <f t="shared" ref="C83:E83" si="27">SUM(C84:C88)</f>
        <v>269300</v>
      </c>
      <c r="D83" s="38">
        <f t="shared" si="27"/>
        <v>272000</v>
      </c>
      <c r="E83" s="38">
        <f t="shared" si="27"/>
        <v>270845</v>
      </c>
      <c r="F83" s="38">
        <f t="shared" ref="F83" si="28">SUM(F84:F88)</f>
        <v>273290</v>
      </c>
      <c r="G83" s="38">
        <f t="shared" ref="G83" si="29">SUM(G84:G88)</f>
        <v>84188</v>
      </c>
      <c r="H83" s="466">
        <f>G83/F83</f>
        <v>0.3080537158329979</v>
      </c>
    </row>
    <row r="84" spans="1:8" x14ac:dyDescent="0.25">
      <c r="A84" s="135" t="s">
        <v>50</v>
      </c>
      <c r="B84" s="39" t="s">
        <v>51</v>
      </c>
      <c r="C84" s="169">
        <v>121700</v>
      </c>
      <c r="D84" s="492">
        <f>121700+300</f>
        <v>122000</v>
      </c>
      <c r="E84" s="169">
        <f>121700+300</f>
        <v>122000</v>
      </c>
      <c r="F84" s="169">
        <f>121700+300</f>
        <v>122000</v>
      </c>
      <c r="G84" s="169">
        <v>33910</v>
      </c>
      <c r="H84" s="466">
        <f t="shared" ref="H84:H147" si="30">G84/F84</f>
        <v>0.27795081967213114</v>
      </c>
    </row>
    <row r="85" spans="1:8" x14ac:dyDescent="0.25">
      <c r="A85" s="136" t="s">
        <v>52</v>
      </c>
      <c r="B85" s="25" t="s">
        <v>173</v>
      </c>
      <c r="C85" s="168">
        <v>86600</v>
      </c>
      <c r="D85" s="465">
        <f>86600+300</f>
        <v>86900</v>
      </c>
      <c r="E85" s="465">
        <f>86600+300-1300</f>
        <v>85600</v>
      </c>
      <c r="F85" s="168">
        <f>86600+300-1300</f>
        <v>85600</v>
      </c>
      <c r="G85" s="168">
        <v>27464</v>
      </c>
      <c r="H85" s="466">
        <f t="shared" si="30"/>
        <v>0.32084112149532712</v>
      </c>
    </row>
    <row r="86" spans="1:8" x14ac:dyDescent="0.25">
      <c r="A86" s="136" t="s">
        <v>53</v>
      </c>
      <c r="B86" s="25" t="s">
        <v>172</v>
      </c>
      <c r="C86" s="168">
        <v>4000</v>
      </c>
      <c r="D86" s="168">
        <v>4000</v>
      </c>
      <c r="E86" s="168">
        <f>4000</f>
        <v>4000</v>
      </c>
      <c r="F86" s="465">
        <f>4000+2000</f>
        <v>6000</v>
      </c>
      <c r="G86" s="168">
        <v>764</v>
      </c>
      <c r="H86" s="466">
        <f t="shared" si="30"/>
        <v>0.12733333333333333</v>
      </c>
    </row>
    <row r="87" spans="1:8" x14ac:dyDescent="0.25">
      <c r="A87" s="137" t="s">
        <v>54</v>
      </c>
      <c r="B87" s="25" t="s">
        <v>356</v>
      </c>
      <c r="C87" s="168">
        <v>53000</v>
      </c>
      <c r="D87" s="168">
        <f>53000</f>
        <v>53000</v>
      </c>
      <c r="E87" s="168">
        <f>53000</f>
        <v>53000</v>
      </c>
      <c r="F87" s="465">
        <f>53000+440</f>
        <v>53440</v>
      </c>
      <c r="G87" s="168">
        <v>16171</v>
      </c>
      <c r="H87" s="466">
        <f t="shared" si="30"/>
        <v>0.30260104790419162</v>
      </c>
    </row>
    <row r="88" spans="1:8" ht="15.75" thickBot="1" x14ac:dyDescent="0.3">
      <c r="A88" s="138" t="s">
        <v>56</v>
      </c>
      <c r="B88" s="3" t="s">
        <v>57</v>
      </c>
      <c r="C88" s="42">
        <v>4000</v>
      </c>
      <c r="D88" s="454">
        <f>4000+2100</f>
        <v>6100</v>
      </c>
      <c r="E88" s="454">
        <f>4000+2100+145</f>
        <v>6245</v>
      </c>
      <c r="F88" s="454">
        <f>4000+2100+145+5</f>
        <v>6250</v>
      </c>
      <c r="G88" s="42">
        <v>5879</v>
      </c>
      <c r="H88" s="466">
        <f t="shared" si="30"/>
        <v>0.94064000000000003</v>
      </c>
    </row>
    <row r="89" spans="1:8" ht="15.75" thickBot="1" x14ac:dyDescent="0.3">
      <c r="A89" s="43" t="s">
        <v>58</v>
      </c>
      <c r="B89" s="44"/>
      <c r="C89" s="38">
        <f t="shared" ref="C89:F89" si="31">SUM(C90)</f>
        <v>1660</v>
      </c>
      <c r="D89" s="38">
        <f t="shared" si="31"/>
        <v>1672</v>
      </c>
      <c r="E89" s="38">
        <f t="shared" si="31"/>
        <v>1672</v>
      </c>
      <c r="F89" s="38">
        <f t="shared" si="31"/>
        <v>1672</v>
      </c>
      <c r="G89" s="38">
        <f t="shared" ref="G89" si="32">SUM(G90)</f>
        <v>0</v>
      </c>
      <c r="H89" s="466">
        <f t="shared" si="30"/>
        <v>0</v>
      </c>
    </row>
    <row r="90" spans="1:8" ht="15.75" thickBot="1" x14ac:dyDescent="0.3">
      <c r="A90" s="139" t="s">
        <v>59</v>
      </c>
      <c r="B90" s="34" t="s">
        <v>60</v>
      </c>
      <c r="C90" s="180">
        <v>1660</v>
      </c>
      <c r="D90" s="476">
        <f>1660+12</f>
        <v>1672</v>
      </c>
      <c r="E90" s="180">
        <f>1660+12</f>
        <v>1672</v>
      </c>
      <c r="F90" s="180">
        <f>1660+12</f>
        <v>1672</v>
      </c>
      <c r="G90" s="180">
        <v>0</v>
      </c>
      <c r="H90" s="466">
        <f t="shared" si="30"/>
        <v>0</v>
      </c>
    </row>
    <row r="91" spans="1:8" ht="15.75" thickBot="1" x14ac:dyDescent="0.3">
      <c r="A91" s="43" t="s">
        <v>61</v>
      </c>
      <c r="B91" s="44"/>
      <c r="C91" s="38">
        <f t="shared" ref="C91:E91" si="33">SUM(C92:C93)</f>
        <v>14900</v>
      </c>
      <c r="D91" s="38">
        <f t="shared" si="33"/>
        <v>14900</v>
      </c>
      <c r="E91" s="38">
        <f t="shared" si="33"/>
        <v>16200</v>
      </c>
      <c r="F91" s="38">
        <f t="shared" ref="F91" si="34">SUM(F92:F93)</f>
        <v>14900</v>
      </c>
      <c r="G91" s="38">
        <f t="shared" ref="G91" si="35">SUM(G92:G93)</f>
        <v>1586</v>
      </c>
      <c r="H91" s="466">
        <f t="shared" si="30"/>
        <v>0.10644295302013423</v>
      </c>
    </row>
    <row r="92" spans="1:8" x14ac:dyDescent="0.25">
      <c r="A92" s="45" t="s">
        <v>62</v>
      </c>
      <c r="B92" s="46" t="s">
        <v>63</v>
      </c>
      <c r="C92" s="47">
        <v>13600</v>
      </c>
      <c r="D92" s="47">
        <v>13600</v>
      </c>
      <c r="E92" s="478">
        <f>13600+1300</f>
        <v>14900</v>
      </c>
      <c r="F92" s="478">
        <f>13600+1300-1300</f>
        <v>13600</v>
      </c>
      <c r="G92" s="47">
        <v>1166</v>
      </c>
      <c r="H92" s="466">
        <f t="shared" si="30"/>
        <v>8.5735294117647062E-2</v>
      </c>
    </row>
    <row r="93" spans="1:8" ht="15.75" thickBot="1" x14ac:dyDescent="0.3">
      <c r="A93" s="48" t="s">
        <v>64</v>
      </c>
      <c r="B93" s="49" t="s">
        <v>65</v>
      </c>
      <c r="C93" s="50">
        <v>1300</v>
      </c>
      <c r="D93" s="50">
        <v>1300</v>
      </c>
      <c r="E93" s="50">
        <v>1300</v>
      </c>
      <c r="F93" s="50">
        <v>1300</v>
      </c>
      <c r="G93" s="50">
        <v>420</v>
      </c>
      <c r="H93" s="466">
        <f t="shared" si="30"/>
        <v>0.32307692307692309</v>
      </c>
    </row>
    <row r="94" spans="1:8" ht="15.75" thickBot="1" x14ac:dyDescent="0.3">
      <c r="A94" s="36" t="s">
        <v>66</v>
      </c>
      <c r="B94" s="140"/>
      <c r="C94" s="38">
        <f t="shared" ref="C94:E94" si="36">SUM(C95:C98)</f>
        <v>66150</v>
      </c>
      <c r="D94" s="38">
        <f t="shared" si="36"/>
        <v>81870</v>
      </c>
      <c r="E94" s="38">
        <f t="shared" si="36"/>
        <v>79870</v>
      </c>
      <c r="F94" s="38">
        <f t="shared" ref="F94" si="37">SUM(F95:F98)</f>
        <v>79170</v>
      </c>
      <c r="G94" s="38">
        <f t="shared" ref="G94" si="38">SUM(G95:G98)</f>
        <v>25642</v>
      </c>
      <c r="H94" s="466">
        <f t="shared" si="30"/>
        <v>0.32388531009220667</v>
      </c>
    </row>
    <row r="95" spans="1:8" x14ac:dyDescent="0.25">
      <c r="A95" s="51" t="s">
        <v>67</v>
      </c>
      <c r="B95" s="14" t="s">
        <v>68</v>
      </c>
      <c r="C95" s="15">
        <v>20200</v>
      </c>
      <c r="D95" s="15">
        <v>20200</v>
      </c>
      <c r="E95" s="15">
        <v>20200</v>
      </c>
      <c r="F95" s="15">
        <v>20200</v>
      </c>
      <c r="G95" s="15">
        <v>7810</v>
      </c>
      <c r="H95" s="466">
        <f t="shared" si="30"/>
        <v>0.38663366336633664</v>
      </c>
    </row>
    <row r="96" spans="1:8" x14ac:dyDescent="0.25">
      <c r="A96" s="137" t="s">
        <v>69</v>
      </c>
      <c r="B96" s="25" t="s">
        <v>70</v>
      </c>
      <c r="C96" s="41">
        <v>20800</v>
      </c>
      <c r="D96" s="477">
        <f>20800+17000-1500</f>
        <v>36300</v>
      </c>
      <c r="E96" s="477">
        <f>20800+17000-1500-2000</f>
        <v>34300</v>
      </c>
      <c r="F96" s="18">
        <f>20800+17000-1500-2000</f>
        <v>34300</v>
      </c>
      <c r="G96" s="18">
        <v>9158</v>
      </c>
      <c r="H96" s="466">
        <f t="shared" si="30"/>
        <v>0.26699708454810495</v>
      </c>
    </row>
    <row r="97" spans="1:8" x14ac:dyDescent="0.25">
      <c r="A97" s="137" t="s">
        <v>71</v>
      </c>
      <c r="B97" s="25" t="s">
        <v>72</v>
      </c>
      <c r="C97" s="18">
        <v>25000</v>
      </c>
      <c r="D97" s="18">
        <v>25000</v>
      </c>
      <c r="E97" s="18">
        <v>25000</v>
      </c>
      <c r="F97" s="477">
        <f>25000-700</f>
        <v>24300</v>
      </c>
      <c r="G97" s="18">
        <v>8674</v>
      </c>
      <c r="H97" s="466">
        <f t="shared" si="30"/>
        <v>0.35695473251028809</v>
      </c>
    </row>
    <row r="98" spans="1:8" ht="15.75" thickBot="1" x14ac:dyDescent="0.3">
      <c r="A98" s="137" t="s">
        <v>73</v>
      </c>
      <c r="B98" s="25" t="s">
        <v>74</v>
      </c>
      <c r="C98" s="18">
        <v>150</v>
      </c>
      <c r="D98" s="477">
        <f>150+220</f>
        <v>370</v>
      </c>
      <c r="E98" s="18">
        <f>150+220</f>
        <v>370</v>
      </c>
      <c r="F98" s="18">
        <f>150+220</f>
        <v>370</v>
      </c>
      <c r="G98" s="18">
        <v>0</v>
      </c>
      <c r="H98" s="466">
        <f t="shared" si="30"/>
        <v>0</v>
      </c>
    </row>
    <row r="99" spans="1:8" ht="15.75" thickBot="1" x14ac:dyDescent="0.3">
      <c r="A99" s="652" t="s">
        <v>75</v>
      </c>
      <c r="B99" s="653"/>
      <c r="C99" s="38">
        <f t="shared" ref="C99:E99" si="39">SUM(C100:C103)</f>
        <v>112450</v>
      </c>
      <c r="D99" s="38">
        <f t="shared" si="39"/>
        <v>108600</v>
      </c>
      <c r="E99" s="38">
        <f t="shared" si="39"/>
        <v>108600</v>
      </c>
      <c r="F99" s="38">
        <f t="shared" ref="F99" si="40">SUM(F100:F103)</f>
        <v>108600</v>
      </c>
      <c r="G99" s="38">
        <f t="shared" ref="G99" si="41">SUM(G100:G103)</f>
        <v>36772</v>
      </c>
      <c r="H99" s="466">
        <f t="shared" si="30"/>
        <v>0.33860036832412521</v>
      </c>
    </row>
    <row r="100" spans="1:8" x14ac:dyDescent="0.25">
      <c r="A100" s="141" t="s">
        <v>76</v>
      </c>
      <c r="B100" s="52" t="s">
        <v>260</v>
      </c>
      <c r="C100" s="53">
        <v>66000</v>
      </c>
      <c r="D100" s="478">
        <f>66000+150</f>
        <v>66150</v>
      </c>
      <c r="E100" s="47">
        <f>66000+150</f>
        <v>66150</v>
      </c>
      <c r="F100" s="47">
        <f>66000+150</f>
        <v>66150</v>
      </c>
      <c r="G100" s="53">
        <v>23570</v>
      </c>
      <c r="H100" s="466">
        <f t="shared" si="30"/>
        <v>0.35631141345427059</v>
      </c>
    </row>
    <row r="101" spans="1:8" x14ac:dyDescent="0.25">
      <c r="A101" s="137" t="s">
        <v>77</v>
      </c>
      <c r="B101" s="467" t="s">
        <v>78</v>
      </c>
      <c r="C101" s="41">
        <v>36800</v>
      </c>
      <c r="D101" s="479">
        <f>36800-4000</f>
        <v>32800</v>
      </c>
      <c r="E101" s="320">
        <f>36800-4000</f>
        <v>32800</v>
      </c>
      <c r="F101" s="320">
        <f>36800-4000</f>
        <v>32800</v>
      </c>
      <c r="G101" s="41">
        <v>12255</v>
      </c>
      <c r="H101" s="466">
        <f t="shared" si="30"/>
        <v>0.37362804878048783</v>
      </c>
    </row>
    <row r="102" spans="1:8" x14ac:dyDescent="0.25">
      <c r="A102" s="139" t="s">
        <v>79</v>
      </c>
      <c r="B102" s="468" t="s">
        <v>80</v>
      </c>
      <c r="C102" s="55">
        <v>1450</v>
      </c>
      <c r="D102" s="308">
        <v>1450</v>
      </c>
      <c r="E102" s="499">
        <v>1450</v>
      </c>
      <c r="F102" s="499">
        <v>1450</v>
      </c>
      <c r="G102" s="306">
        <v>20</v>
      </c>
      <c r="H102" s="466">
        <f t="shared" si="30"/>
        <v>1.3793103448275862E-2</v>
      </c>
    </row>
    <row r="103" spans="1:8" ht="15.75" thickBot="1" x14ac:dyDescent="0.3">
      <c r="A103" s="142" t="s">
        <v>81</v>
      </c>
      <c r="B103" s="469" t="s">
        <v>170</v>
      </c>
      <c r="C103" s="57">
        <v>8200</v>
      </c>
      <c r="D103" s="309">
        <v>8200</v>
      </c>
      <c r="E103" s="309">
        <v>8200</v>
      </c>
      <c r="F103" s="309">
        <v>8200</v>
      </c>
      <c r="G103" s="309">
        <v>927</v>
      </c>
      <c r="H103" s="466">
        <f t="shared" si="30"/>
        <v>0.11304878048780488</v>
      </c>
    </row>
    <row r="104" spans="1:8" ht="15.75" thickBot="1" x14ac:dyDescent="0.3">
      <c r="A104" s="36" t="s">
        <v>82</v>
      </c>
      <c r="B104" s="470"/>
      <c r="C104" s="38">
        <f>SUM(C105:C107)</f>
        <v>167335</v>
      </c>
      <c r="D104" s="310">
        <f>SUM(D105:D107)</f>
        <v>165110</v>
      </c>
      <c r="E104" s="310">
        <f>SUM(E105:E107)</f>
        <v>165110</v>
      </c>
      <c r="F104" s="310">
        <f>SUM(F105:F107)</f>
        <v>166710</v>
      </c>
      <c r="G104" s="310">
        <f>SUM(G105:G107)</f>
        <v>47928</v>
      </c>
      <c r="H104" s="466">
        <f t="shared" si="30"/>
        <v>0.28749325175454382</v>
      </c>
    </row>
    <row r="105" spans="1:8" x14ac:dyDescent="0.25">
      <c r="A105" s="51" t="s">
        <v>83</v>
      </c>
      <c r="B105" s="471" t="s">
        <v>84</v>
      </c>
      <c r="C105" s="178">
        <v>128035</v>
      </c>
      <c r="D105" s="483">
        <f>128035-2000</f>
        <v>126035</v>
      </c>
      <c r="E105" s="319">
        <f>128035-2000</f>
        <v>126035</v>
      </c>
      <c r="F105" s="319">
        <f>128035-2000</f>
        <v>126035</v>
      </c>
      <c r="G105" s="319">
        <v>35743</v>
      </c>
      <c r="H105" s="466">
        <f t="shared" si="30"/>
        <v>0.28359582655611537</v>
      </c>
    </row>
    <row r="106" spans="1:8" x14ac:dyDescent="0.25">
      <c r="A106" s="58" t="s">
        <v>85</v>
      </c>
      <c r="B106" s="467" t="s">
        <v>86</v>
      </c>
      <c r="C106" s="41">
        <v>20800</v>
      </c>
      <c r="D106" s="479">
        <f>20800-3000</f>
        <v>17800</v>
      </c>
      <c r="E106" s="320">
        <f>20800-3000</f>
        <v>17800</v>
      </c>
      <c r="F106" s="320">
        <f>20800-3000</f>
        <v>17800</v>
      </c>
      <c r="G106" s="320">
        <v>5944</v>
      </c>
      <c r="H106" s="466">
        <f t="shared" si="30"/>
        <v>0.33393258426966294</v>
      </c>
    </row>
    <row r="107" spans="1:8" ht="15.75" thickBot="1" x14ac:dyDescent="0.3">
      <c r="A107" s="59" t="s">
        <v>87</v>
      </c>
      <c r="B107" s="469" t="s">
        <v>88</v>
      </c>
      <c r="C107" s="181">
        <v>18500</v>
      </c>
      <c r="D107" s="480">
        <f>18500+2400+375</f>
        <v>21275</v>
      </c>
      <c r="E107" s="312">
        <f>18500+2400+375</f>
        <v>21275</v>
      </c>
      <c r="F107" s="480">
        <f>18500+2400+375+1600</f>
        <v>22875</v>
      </c>
      <c r="G107" s="312">
        <v>6241</v>
      </c>
      <c r="H107" s="466">
        <f t="shared" si="30"/>
        <v>0.2728306010928962</v>
      </c>
    </row>
    <row r="108" spans="1:8" ht="15.75" thickBot="1" x14ac:dyDescent="0.3">
      <c r="A108" s="60" t="s">
        <v>89</v>
      </c>
      <c r="B108" s="472"/>
      <c r="C108" s="61">
        <f t="shared" ref="C108:E108" si="42">SUM(C109:C112)</f>
        <v>700</v>
      </c>
      <c r="D108" s="313">
        <f t="shared" si="42"/>
        <v>1000</v>
      </c>
      <c r="E108" s="313">
        <f t="shared" si="42"/>
        <v>1000</v>
      </c>
      <c r="F108" s="313">
        <f t="shared" ref="F108" si="43">SUM(F109:F112)</f>
        <v>1000</v>
      </c>
      <c r="G108" s="313">
        <f t="shared" ref="G108" si="44">SUM(G109:G112)</f>
        <v>701</v>
      </c>
      <c r="H108" s="466">
        <f t="shared" si="30"/>
        <v>0.70099999999999996</v>
      </c>
    </row>
    <row r="109" spans="1:8" x14ac:dyDescent="0.25">
      <c r="A109" s="45" t="s">
        <v>90</v>
      </c>
      <c r="B109" s="473" t="s">
        <v>91</v>
      </c>
      <c r="C109" s="53">
        <v>50</v>
      </c>
      <c r="D109" s="53">
        <v>50</v>
      </c>
      <c r="E109" s="53">
        <v>50</v>
      </c>
      <c r="F109" s="53">
        <v>50</v>
      </c>
      <c r="G109" s="314">
        <v>15</v>
      </c>
      <c r="H109" s="466">
        <f t="shared" si="30"/>
        <v>0.3</v>
      </c>
    </row>
    <row r="110" spans="1:8" x14ac:dyDescent="0.25">
      <c r="A110" s="58" t="s">
        <v>92</v>
      </c>
      <c r="B110" s="467" t="s">
        <v>93</v>
      </c>
      <c r="C110" s="179">
        <v>50</v>
      </c>
      <c r="D110" s="179">
        <v>50</v>
      </c>
      <c r="E110" s="179">
        <v>50</v>
      </c>
      <c r="F110" s="179">
        <v>50</v>
      </c>
      <c r="G110" s="321">
        <v>5</v>
      </c>
      <c r="H110" s="466">
        <f t="shared" si="30"/>
        <v>0.1</v>
      </c>
    </row>
    <row r="111" spans="1:8" ht="15.75" thickBot="1" x14ac:dyDescent="0.3">
      <c r="A111" s="59" t="s">
        <v>94</v>
      </c>
      <c r="B111" s="469" t="s">
        <v>358</v>
      </c>
      <c r="C111" s="57">
        <v>300</v>
      </c>
      <c r="D111" s="481">
        <f>300+300</f>
        <v>600</v>
      </c>
      <c r="E111" s="181">
        <f>300+300</f>
        <v>600</v>
      </c>
      <c r="F111" s="181">
        <f>300+300</f>
        <v>600</v>
      </c>
      <c r="G111" s="309">
        <v>381</v>
      </c>
      <c r="H111" s="466">
        <f t="shared" si="30"/>
        <v>0.63500000000000001</v>
      </c>
    </row>
    <row r="112" spans="1:8" ht="15.75" thickBot="1" x14ac:dyDescent="0.3">
      <c r="A112" s="279" t="s">
        <v>242</v>
      </c>
      <c r="B112" s="474" t="s">
        <v>261</v>
      </c>
      <c r="C112" s="42">
        <v>300</v>
      </c>
      <c r="D112" s="42">
        <v>300</v>
      </c>
      <c r="E112" s="42">
        <v>300</v>
      </c>
      <c r="F112" s="42">
        <v>300</v>
      </c>
      <c r="G112" s="316">
        <v>300</v>
      </c>
      <c r="H112" s="466">
        <f t="shared" si="30"/>
        <v>1</v>
      </c>
    </row>
    <row r="113" spans="1:8" ht="15.75" thickBot="1" x14ac:dyDescent="0.3">
      <c r="A113" s="62" t="s">
        <v>96</v>
      </c>
      <c r="B113" s="475"/>
      <c r="C113" s="64">
        <f t="shared" ref="C113:E113" si="45">SUM(C114:C118)</f>
        <v>132750</v>
      </c>
      <c r="D113" s="317">
        <f t="shared" si="45"/>
        <v>147184</v>
      </c>
      <c r="E113" s="317">
        <f t="shared" si="45"/>
        <v>153184</v>
      </c>
      <c r="F113" s="317">
        <f t="shared" ref="F113" si="46">SUM(F114:F118)</f>
        <v>173884</v>
      </c>
      <c r="G113" s="317">
        <f t="shared" ref="G113" si="47">SUM(G114:G118)</f>
        <v>36242</v>
      </c>
      <c r="H113" s="466">
        <f t="shared" si="30"/>
        <v>0.20842630719330127</v>
      </c>
    </row>
    <row r="114" spans="1:8" x14ac:dyDescent="0.25">
      <c r="A114" s="141" t="s">
        <v>97</v>
      </c>
      <c r="B114" s="52" t="s">
        <v>359</v>
      </c>
      <c r="C114" s="47">
        <v>20700</v>
      </c>
      <c r="D114" s="478">
        <f>20700+500+904</f>
        <v>22104</v>
      </c>
      <c r="E114" s="47">
        <f>20700+500+904</f>
        <v>22104</v>
      </c>
      <c r="F114" s="478">
        <f>20700+500+904-800-1300</f>
        <v>20004</v>
      </c>
      <c r="G114" s="322">
        <v>9476</v>
      </c>
      <c r="H114" s="466">
        <f t="shared" si="30"/>
        <v>0.47370525894821036</v>
      </c>
    </row>
    <row r="115" spans="1:8" x14ac:dyDescent="0.25">
      <c r="A115" s="144" t="s">
        <v>99</v>
      </c>
      <c r="B115" s="65" t="s">
        <v>198</v>
      </c>
      <c r="C115" s="15">
        <v>81800</v>
      </c>
      <c r="D115" s="482">
        <f>81800+2400+4600</f>
        <v>88800</v>
      </c>
      <c r="E115" s="15">
        <f>81800+2400+4600</f>
        <v>88800</v>
      </c>
      <c r="F115" s="482">
        <f>81800+2400+4600+2250+2000+3000+50+2800+3000</f>
        <v>101900</v>
      </c>
      <c r="G115" s="323">
        <v>19603</v>
      </c>
      <c r="H115" s="466">
        <f t="shared" si="30"/>
        <v>0.1923748773307164</v>
      </c>
    </row>
    <row r="116" spans="1:8" x14ac:dyDescent="0.25">
      <c r="A116" s="144" t="s">
        <v>100</v>
      </c>
      <c r="B116" s="39" t="s">
        <v>101</v>
      </c>
      <c r="C116" s="15">
        <v>3950</v>
      </c>
      <c r="D116" s="15">
        <v>3950</v>
      </c>
      <c r="E116" s="15">
        <v>3950</v>
      </c>
      <c r="F116" s="15">
        <v>3950</v>
      </c>
      <c r="G116" s="15">
        <v>1009</v>
      </c>
      <c r="H116" s="466">
        <f t="shared" si="30"/>
        <v>0.25544303797468354</v>
      </c>
    </row>
    <row r="117" spans="1:8" x14ac:dyDescent="0.25">
      <c r="A117" s="144" t="s">
        <v>102</v>
      </c>
      <c r="B117" s="39" t="s">
        <v>103</v>
      </c>
      <c r="C117" s="15">
        <v>16300</v>
      </c>
      <c r="D117" s="482">
        <f>16300+30</f>
        <v>16330</v>
      </c>
      <c r="E117" s="15">
        <f>16300+30</f>
        <v>16330</v>
      </c>
      <c r="F117" s="15">
        <f>16300+30</f>
        <v>16330</v>
      </c>
      <c r="G117" s="15">
        <v>3642</v>
      </c>
      <c r="H117" s="466">
        <f t="shared" si="30"/>
        <v>0.22302510716472748</v>
      </c>
    </row>
    <row r="118" spans="1:8" ht="15.75" thickBot="1" x14ac:dyDescent="0.3">
      <c r="A118" s="142" t="s">
        <v>104</v>
      </c>
      <c r="B118" s="56" t="s">
        <v>361</v>
      </c>
      <c r="C118" s="181">
        <v>10000</v>
      </c>
      <c r="D118" s="481">
        <f>10000+6000</f>
        <v>16000</v>
      </c>
      <c r="E118" s="481">
        <f>10000+6000+6000</f>
        <v>22000</v>
      </c>
      <c r="F118" s="481">
        <f>10000+6000+6000+8800+700+200</f>
        <v>31700</v>
      </c>
      <c r="G118" s="181">
        <v>2512</v>
      </c>
      <c r="H118" s="466">
        <f t="shared" si="30"/>
        <v>7.924290220820189E-2</v>
      </c>
    </row>
    <row r="119" spans="1:8" ht="15.75" thickBot="1" x14ac:dyDescent="0.3">
      <c r="A119" s="43" t="s">
        <v>105</v>
      </c>
      <c r="B119" s="44"/>
      <c r="C119" s="38">
        <f>SUM(C120:C128)</f>
        <v>309800</v>
      </c>
      <c r="D119" s="38">
        <f>SUM(D120:D128)</f>
        <v>309800</v>
      </c>
      <c r="E119" s="38">
        <f>SUM(E120:E128)</f>
        <v>311800</v>
      </c>
      <c r="F119" s="38">
        <f>SUM(F120:F128)</f>
        <v>314800</v>
      </c>
      <c r="G119" s="38">
        <f>SUM(G120:G128)</f>
        <v>106191</v>
      </c>
      <c r="H119" s="466">
        <f t="shared" si="30"/>
        <v>0.33732846251588311</v>
      </c>
    </row>
    <row r="120" spans="1:8" x14ac:dyDescent="0.25">
      <c r="A120" s="66" t="s">
        <v>106</v>
      </c>
      <c r="B120" s="67" t="s">
        <v>107</v>
      </c>
      <c r="C120" s="86">
        <v>149400</v>
      </c>
      <c r="D120" s="86">
        <f>149400</f>
        <v>149400</v>
      </c>
      <c r="E120" s="86">
        <f>149400</f>
        <v>149400</v>
      </c>
      <c r="F120" s="506">
        <f>149400+3000</f>
        <v>152400</v>
      </c>
      <c r="G120" s="86">
        <v>56648</v>
      </c>
      <c r="H120" s="466">
        <f t="shared" si="30"/>
        <v>0.37170603674540681</v>
      </c>
    </row>
    <row r="121" spans="1:8" x14ac:dyDescent="0.25">
      <c r="A121" s="505" t="s">
        <v>444</v>
      </c>
      <c r="B121" s="14" t="s">
        <v>446</v>
      </c>
      <c r="C121" s="169">
        <v>0</v>
      </c>
      <c r="D121" s="169">
        <v>0</v>
      </c>
      <c r="E121" s="492">
        <v>1000</v>
      </c>
      <c r="F121" s="169">
        <v>1000</v>
      </c>
      <c r="G121" s="168">
        <v>0</v>
      </c>
      <c r="H121" s="466">
        <f t="shared" si="30"/>
        <v>0</v>
      </c>
    </row>
    <row r="122" spans="1:8" x14ac:dyDescent="0.25">
      <c r="A122" s="505" t="s">
        <v>445</v>
      </c>
      <c r="B122" s="14" t="s">
        <v>447</v>
      </c>
      <c r="C122" s="169">
        <v>0</v>
      </c>
      <c r="D122" s="169">
        <v>0</v>
      </c>
      <c r="E122" s="492">
        <v>1000</v>
      </c>
      <c r="F122" s="169">
        <v>1000</v>
      </c>
      <c r="G122" s="168">
        <v>0</v>
      </c>
      <c r="H122" s="466">
        <f t="shared" si="30"/>
        <v>0</v>
      </c>
    </row>
    <row r="123" spans="1:8" x14ac:dyDescent="0.25">
      <c r="A123" s="68" t="s">
        <v>108</v>
      </c>
      <c r="B123" s="17" t="s">
        <v>196</v>
      </c>
      <c r="C123" s="168">
        <v>3000</v>
      </c>
      <c r="D123" s="168">
        <v>3000</v>
      </c>
      <c r="E123" s="168">
        <v>3000</v>
      </c>
      <c r="F123" s="168">
        <v>3000</v>
      </c>
      <c r="G123" s="168">
        <v>1343</v>
      </c>
      <c r="H123" s="466">
        <f t="shared" si="30"/>
        <v>0.44766666666666666</v>
      </c>
    </row>
    <row r="124" spans="1:8" x14ac:dyDescent="0.25">
      <c r="A124" s="68" t="s">
        <v>109</v>
      </c>
      <c r="B124" s="17" t="s">
        <v>110</v>
      </c>
      <c r="C124" s="168">
        <v>27800</v>
      </c>
      <c r="D124" s="168">
        <v>27800</v>
      </c>
      <c r="E124" s="168">
        <f>27800-300+300</f>
        <v>27800</v>
      </c>
      <c r="F124" s="168">
        <f>27800-300+300</f>
        <v>27800</v>
      </c>
      <c r="G124" s="168">
        <v>8874</v>
      </c>
      <c r="H124" s="466">
        <f t="shared" si="30"/>
        <v>0.31920863309352521</v>
      </c>
    </row>
    <row r="125" spans="1:8" x14ac:dyDescent="0.25">
      <c r="A125" s="68" t="s">
        <v>111</v>
      </c>
      <c r="B125" s="17" t="s">
        <v>112</v>
      </c>
      <c r="C125" s="18">
        <v>41200</v>
      </c>
      <c r="D125" s="18">
        <v>41200</v>
      </c>
      <c r="E125" s="18">
        <f>41200-400+400</f>
        <v>41200</v>
      </c>
      <c r="F125" s="18">
        <f>41200-400+400</f>
        <v>41200</v>
      </c>
      <c r="G125" s="18">
        <v>13312</v>
      </c>
      <c r="H125" s="466">
        <f t="shared" si="30"/>
        <v>0.32310679611650484</v>
      </c>
    </row>
    <row r="126" spans="1:8" x14ac:dyDescent="0.25">
      <c r="A126" s="68" t="s">
        <v>113</v>
      </c>
      <c r="B126" s="17" t="s">
        <v>114</v>
      </c>
      <c r="C126" s="18">
        <v>41200</v>
      </c>
      <c r="D126" s="18">
        <v>41200</v>
      </c>
      <c r="E126" s="18">
        <f>41200-400+400</f>
        <v>41200</v>
      </c>
      <c r="F126" s="18">
        <f>41200-400+400</f>
        <v>41200</v>
      </c>
      <c r="G126" s="18">
        <v>13312</v>
      </c>
      <c r="H126" s="466">
        <f t="shared" si="30"/>
        <v>0.32310679611650484</v>
      </c>
    </row>
    <row r="127" spans="1:8" x14ac:dyDescent="0.25">
      <c r="A127" s="69" t="s">
        <v>115</v>
      </c>
      <c r="B127" s="17" t="s">
        <v>362</v>
      </c>
      <c r="C127" s="70">
        <v>43900</v>
      </c>
      <c r="D127" s="70">
        <v>43900</v>
      </c>
      <c r="E127" s="70">
        <f>43900+1100-1100</f>
        <v>43900</v>
      </c>
      <c r="F127" s="70">
        <f>43900+1100-1100</f>
        <v>43900</v>
      </c>
      <c r="G127" s="70">
        <v>12652</v>
      </c>
      <c r="H127" s="466">
        <f t="shared" si="30"/>
        <v>0.2882004555808656</v>
      </c>
    </row>
    <row r="128" spans="1:8" ht="15.75" thickBot="1" x14ac:dyDescent="0.3">
      <c r="A128" s="68" t="s">
        <v>117</v>
      </c>
      <c r="B128" s="17" t="s">
        <v>118</v>
      </c>
      <c r="C128" s="70">
        <v>3300</v>
      </c>
      <c r="D128" s="70">
        <v>3300</v>
      </c>
      <c r="E128" s="70">
        <v>3300</v>
      </c>
      <c r="F128" s="70">
        <v>3300</v>
      </c>
      <c r="G128" s="70">
        <v>50</v>
      </c>
      <c r="H128" s="466">
        <f t="shared" si="30"/>
        <v>1.5151515151515152E-2</v>
      </c>
    </row>
    <row r="129" spans="1:13" ht="15.75" thickBot="1" x14ac:dyDescent="0.3">
      <c r="A129" s="36" t="s">
        <v>119</v>
      </c>
      <c r="B129" s="37"/>
      <c r="C129" s="38">
        <f t="shared" ref="C129:E129" si="48">SUM(C130:C134)</f>
        <v>307100</v>
      </c>
      <c r="D129" s="38">
        <f t="shared" si="48"/>
        <v>309680</v>
      </c>
      <c r="E129" s="38">
        <f t="shared" si="48"/>
        <v>310480</v>
      </c>
      <c r="F129" s="38">
        <f t="shared" ref="F129" si="49">SUM(F130:F134)</f>
        <v>310480</v>
      </c>
      <c r="G129" s="38">
        <f t="shared" ref="G129" si="50">SUM(G130:G134)</f>
        <v>81264</v>
      </c>
      <c r="H129" s="466">
        <f t="shared" si="30"/>
        <v>0.26173666580778149</v>
      </c>
    </row>
    <row r="130" spans="1:13" x14ac:dyDescent="0.25">
      <c r="A130" s="144" t="s">
        <v>120</v>
      </c>
      <c r="B130" s="39" t="s">
        <v>262</v>
      </c>
      <c r="C130" s="15">
        <v>276500</v>
      </c>
      <c r="D130" s="482">
        <f>276500+1080+1500</f>
        <v>279080</v>
      </c>
      <c r="E130" s="15">
        <f>276500+1080+1500</f>
        <v>279080</v>
      </c>
      <c r="F130" s="15">
        <f>276500+1080+1500</f>
        <v>279080</v>
      </c>
      <c r="G130" s="15">
        <v>73176</v>
      </c>
      <c r="H130" s="466">
        <f t="shared" si="30"/>
        <v>0.26220438583918587</v>
      </c>
    </row>
    <row r="131" spans="1:13" x14ac:dyDescent="0.25">
      <c r="A131" s="144" t="s">
        <v>121</v>
      </c>
      <c r="B131" s="39" t="s">
        <v>167</v>
      </c>
      <c r="C131" s="15">
        <v>8200</v>
      </c>
      <c r="D131" s="15">
        <v>8200</v>
      </c>
      <c r="E131" s="15">
        <v>8200</v>
      </c>
      <c r="F131" s="15">
        <v>8200</v>
      </c>
      <c r="G131" s="40">
        <v>2541</v>
      </c>
      <c r="H131" s="466">
        <f t="shared" si="30"/>
        <v>0.3098780487804878</v>
      </c>
    </row>
    <row r="132" spans="1:13" x14ac:dyDescent="0.25">
      <c r="A132" s="137" t="s">
        <v>122</v>
      </c>
      <c r="B132" s="25" t="s">
        <v>168</v>
      </c>
      <c r="C132" s="41">
        <v>21400</v>
      </c>
      <c r="D132" s="41">
        <v>21400</v>
      </c>
      <c r="E132" s="477">
        <f>21400+500</f>
        <v>21900</v>
      </c>
      <c r="F132" s="18">
        <f>21400+500</f>
        <v>21900</v>
      </c>
      <c r="G132" s="41">
        <v>5247</v>
      </c>
      <c r="H132" s="466">
        <f t="shared" si="30"/>
        <v>0.23958904109589041</v>
      </c>
      <c r="K132" s="123"/>
    </row>
    <row r="133" spans="1:13" x14ac:dyDescent="0.25">
      <c r="A133" s="137" t="s">
        <v>123</v>
      </c>
      <c r="B133" s="25" t="s">
        <v>124</v>
      </c>
      <c r="C133" s="41">
        <v>500</v>
      </c>
      <c r="D133" s="41">
        <v>500</v>
      </c>
      <c r="E133" s="41">
        <v>500</v>
      </c>
      <c r="F133" s="18">
        <v>500</v>
      </c>
      <c r="G133" s="41">
        <v>0</v>
      </c>
      <c r="H133" s="466">
        <f t="shared" si="30"/>
        <v>0</v>
      </c>
    </row>
    <row r="134" spans="1:13" ht="15.75" thickBot="1" x14ac:dyDescent="0.3">
      <c r="A134" s="142" t="s">
        <v>125</v>
      </c>
      <c r="B134" s="56" t="s">
        <v>126</v>
      </c>
      <c r="C134" s="57">
        <v>500</v>
      </c>
      <c r="D134" s="57">
        <v>500</v>
      </c>
      <c r="E134" s="481">
        <f>500+300</f>
        <v>800</v>
      </c>
      <c r="F134" s="181">
        <f>500+300</f>
        <v>800</v>
      </c>
      <c r="G134" s="57">
        <v>300</v>
      </c>
      <c r="H134" s="466">
        <f t="shared" si="30"/>
        <v>0.375</v>
      </c>
      <c r="I134" s="123"/>
      <c r="J134" s="123"/>
    </row>
    <row r="135" spans="1:13" ht="21.75" customHeight="1" thickBot="1" x14ac:dyDescent="0.3">
      <c r="A135" s="71" t="s">
        <v>127</v>
      </c>
      <c r="B135" s="143"/>
      <c r="C135" s="72">
        <f>SUM(C83+C89+C91+C94+C99+C104+C108+C113+C119+C129)</f>
        <v>1382145</v>
      </c>
      <c r="D135" s="72">
        <f>SUM(D83+D89+D91+D94+D99+D104+D108+D113+D119+D129)</f>
        <v>1411816</v>
      </c>
      <c r="E135" s="72">
        <f>SUM(E83+E89+E91+E94+E99+E104+E108+E113+E119+E129)</f>
        <v>1418761</v>
      </c>
      <c r="F135" s="72">
        <f>SUM(F83+F89+F91+F94+F99+F104+F108+F113+F119+F129)</f>
        <v>1444506</v>
      </c>
      <c r="G135" s="72">
        <f>SUM(G83+G89+G91+G94+G99+G104+G108+G113+G119+G129)</f>
        <v>420514</v>
      </c>
      <c r="H135" s="466">
        <f t="shared" si="30"/>
        <v>0.29111267104463395</v>
      </c>
      <c r="I135" s="123">
        <f>D135-C135</f>
        <v>29671</v>
      </c>
      <c r="J135" s="123">
        <f>E135-D135</f>
        <v>6945</v>
      </c>
      <c r="K135" s="123">
        <f>F135-E135</f>
        <v>25745</v>
      </c>
      <c r="L135" s="123"/>
      <c r="M135" s="123"/>
    </row>
    <row r="136" spans="1:13" x14ac:dyDescent="0.25">
      <c r="A136" s="247" t="s">
        <v>231</v>
      </c>
      <c r="B136" s="248" t="s">
        <v>264</v>
      </c>
      <c r="C136" s="249">
        <f>C69</f>
        <v>472270</v>
      </c>
      <c r="D136" s="249">
        <f>D69</f>
        <v>486089</v>
      </c>
      <c r="E136" s="249">
        <f>E69</f>
        <v>486089</v>
      </c>
      <c r="F136" s="249">
        <f>F69</f>
        <v>486089</v>
      </c>
      <c r="G136" s="249">
        <f>G69</f>
        <v>205885</v>
      </c>
      <c r="H136" s="466">
        <f t="shared" si="30"/>
        <v>0.42355412280467158</v>
      </c>
      <c r="I136" s="123"/>
      <c r="J136" s="123"/>
      <c r="K136" s="123"/>
    </row>
    <row r="137" spans="1:13" ht="16.5" customHeight="1" x14ac:dyDescent="0.25">
      <c r="A137" s="263" t="s">
        <v>231</v>
      </c>
      <c r="B137" s="264" t="s">
        <v>225</v>
      </c>
      <c r="C137" s="265">
        <f>C71</f>
        <v>3000</v>
      </c>
      <c r="D137" s="265">
        <f>D71</f>
        <v>3000</v>
      </c>
      <c r="E137" s="265">
        <f>E71</f>
        <v>3000</v>
      </c>
      <c r="F137" s="265">
        <f>F71</f>
        <v>3000</v>
      </c>
      <c r="G137" s="265">
        <f>1275+121+171+12</f>
        <v>1579</v>
      </c>
      <c r="H137" s="466">
        <f t="shared" si="30"/>
        <v>0.52633333333333332</v>
      </c>
      <c r="I137" s="123"/>
      <c r="J137" s="123"/>
      <c r="K137" s="123"/>
    </row>
    <row r="138" spans="1:13" ht="16.5" customHeight="1" x14ac:dyDescent="0.25">
      <c r="A138" s="263" t="s">
        <v>231</v>
      </c>
      <c r="B138" s="264" t="s">
        <v>265</v>
      </c>
      <c r="C138" s="265">
        <v>54240</v>
      </c>
      <c r="D138" s="265">
        <v>54240</v>
      </c>
      <c r="E138" s="265">
        <v>54240</v>
      </c>
      <c r="F138" s="265">
        <v>54240</v>
      </c>
      <c r="G138" s="265">
        <f>5459</f>
        <v>5459</v>
      </c>
      <c r="H138" s="466">
        <f t="shared" si="30"/>
        <v>0.1006452802359882</v>
      </c>
      <c r="I138" s="123"/>
      <c r="J138" s="123"/>
      <c r="K138" s="123"/>
    </row>
    <row r="139" spans="1:13" ht="15.75" thickBot="1" x14ac:dyDescent="0.3">
      <c r="A139" s="364" t="s">
        <v>231</v>
      </c>
      <c r="B139" s="365" t="s">
        <v>266</v>
      </c>
      <c r="C139" s="366">
        <v>2855</v>
      </c>
      <c r="D139" s="366">
        <v>2855</v>
      </c>
      <c r="E139" s="366">
        <v>2855</v>
      </c>
      <c r="F139" s="366">
        <v>2855</v>
      </c>
      <c r="G139" s="366">
        <v>1081</v>
      </c>
      <c r="H139" s="466">
        <f t="shared" si="30"/>
        <v>0.37863397548161121</v>
      </c>
      <c r="I139" s="123"/>
      <c r="J139" s="123"/>
      <c r="K139" s="123"/>
    </row>
    <row r="140" spans="1:13" x14ac:dyDescent="0.25">
      <c r="A140" s="361" t="s">
        <v>108</v>
      </c>
      <c r="B140" s="362" t="s">
        <v>267</v>
      </c>
      <c r="C140" s="363">
        <v>22500</v>
      </c>
      <c r="D140" s="363">
        <v>22500</v>
      </c>
      <c r="E140" s="363">
        <v>22500</v>
      </c>
      <c r="F140" s="363">
        <v>22500</v>
      </c>
      <c r="G140" s="363">
        <f>5625*2</f>
        <v>11250</v>
      </c>
      <c r="H140" s="466">
        <f t="shared" si="30"/>
        <v>0.5</v>
      </c>
      <c r="I140" s="123"/>
      <c r="J140" s="123"/>
      <c r="K140" s="123"/>
    </row>
    <row r="141" spans="1:13" ht="15" customHeight="1" thickBot="1" x14ac:dyDescent="0.3">
      <c r="A141" s="263" t="s">
        <v>108</v>
      </c>
      <c r="B141" s="264" t="s">
        <v>268</v>
      </c>
      <c r="C141" s="265">
        <f>C72</f>
        <v>1320</v>
      </c>
      <c r="D141" s="265">
        <f>D72</f>
        <v>1320</v>
      </c>
      <c r="E141" s="265">
        <f>E72</f>
        <v>1320</v>
      </c>
      <c r="F141" s="265">
        <f>F72</f>
        <v>1320</v>
      </c>
      <c r="G141" s="265">
        <f>369</f>
        <v>369</v>
      </c>
      <c r="H141" s="466">
        <f t="shared" si="30"/>
        <v>0.27954545454545454</v>
      </c>
      <c r="I141" s="123"/>
      <c r="J141" s="123">
        <f>SUM(G137:G141)</f>
        <v>19738</v>
      </c>
      <c r="K141" s="123">
        <f>SUM(H137:H141)</f>
        <v>1.7851580435963872</v>
      </c>
    </row>
    <row r="142" spans="1:13" ht="14.25" customHeight="1" thickBot="1" x14ac:dyDescent="0.3">
      <c r="A142" s="654" t="s">
        <v>183</v>
      </c>
      <c r="B142" s="655"/>
      <c r="C142" s="128">
        <f t="shared" ref="C142:E142" si="51">SUM(C136:C141)</f>
        <v>556185</v>
      </c>
      <c r="D142" s="128">
        <f t="shared" si="51"/>
        <v>570004</v>
      </c>
      <c r="E142" s="128">
        <f t="shared" si="51"/>
        <v>570004</v>
      </c>
      <c r="F142" s="128">
        <f t="shared" ref="F142" si="52">SUM(F136:F141)</f>
        <v>570004</v>
      </c>
      <c r="G142" s="128">
        <f t="shared" ref="G142" si="53">SUM(G136:G141)</f>
        <v>225623</v>
      </c>
      <c r="H142" s="466">
        <f t="shared" si="30"/>
        <v>0.39582704682774156</v>
      </c>
      <c r="I142" s="123">
        <f>D142-C142</f>
        <v>13819</v>
      </c>
      <c r="J142" s="123">
        <f>E142-D142</f>
        <v>0</v>
      </c>
      <c r="K142" s="123">
        <f>F142-E142</f>
        <v>0</v>
      </c>
    </row>
    <row r="143" spans="1:13" x14ac:dyDescent="0.25">
      <c r="A143" s="250" t="s">
        <v>108</v>
      </c>
      <c r="B143" s="251" t="s">
        <v>227</v>
      </c>
      <c r="C143" s="221">
        <f>190500+13510</f>
        <v>204010</v>
      </c>
      <c r="D143" s="221">
        <f>190500+13510</f>
        <v>204010</v>
      </c>
      <c r="E143" s="221">
        <f>190500+13510</f>
        <v>204010</v>
      </c>
      <c r="F143" s="221">
        <f>190500+13510</f>
        <v>204010</v>
      </c>
      <c r="G143" s="221">
        <f>17000*5</f>
        <v>85000</v>
      </c>
      <c r="H143" s="466">
        <f t="shared" si="30"/>
        <v>0.41664624283123375</v>
      </c>
      <c r="I143" s="123"/>
      <c r="J143" s="123"/>
      <c r="K143" s="123"/>
    </row>
    <row r="144" spans="1:13" ht="17.25" customHeight="1" thickBot="1" x14ac:dyDescent="0.3">
      <c r="A144" s="266" t="s">
        <v>108</v>
      </c>
      <c r="B144" s="244" t="s">
        <v>228</v>
      </c>
      <c r="C144" s="217">
        <f>C75</f>
        <v>9770</v>
      </c>
      <c r="D144" s="217">
        <f>D75</f>
        <v>9770</v>
      </c>
      <c r="E144" s="217">
        <f>E75</f>
        <v>9770</v>
      </c>
      <c r="F144" s="217">
        <f>F75</f>
        <v>9770</v>
      </c>
      <c r="G144" s="217">
        <f>1050+2615+1290</f>
        <v>4955</v>
      </c>
      <c r="H144" s="466">
        <f t="shared" si="30"/>
        <v>0.50716479017400207</v>
      </c>
      <c r="I144" s="123"/>
      <c r="J144" s="123"/>
      <c r="K144" s="123"/>
    </row>
    <row r="145" spans="1:16" ht="16.5" customHeight="1" thickBot="1" x14ac:dyDescent="0.3">
      <c r="A145" s="656" t="s">
        <v>226</v>
      </c>
      <c r="B145" s="657"/>
      <c r="C145" s="367">
        <f t="shared" ref="C145:E145" si="54">SUM(C143:C144)</f>
        <v>213780</v>
      </c>
      <c r="D145" s="367">
        <f t="shared" si="54"/>
        <v>213780</v>
      </c>
      <c r="E145" s="367">
        <f t="shared" si="54"/>
        <v>213780</v>
      </c>
      <c r="F145" s="367">
        <f t="shared" ref="F145" si="55">SUM(F143:F144)</f>
        <v>213780</v>
      </c>
      <c r="G145" s="367">
        <f t="shared" ref="G145" si="56">SUM(G143:G144)</f>
        <v>89955</v>
      </c>
      <c r="H145" s="466">
        <f t="shared" si="30"/>
        <v>0.4207830479932641</v>
      </c>
      <c r="I145" s="123">
        <f t="shared" ref="I145:K147" si="57">D145-C145</f>
        <v>0</v>
      </c>
      <c r="J145" s="123">
        <f t="shared" si="57"/>
        <v>0</v>
      </c>
      <c r="K145" s="123">
        <f t="shared" si="57"/>
        <v>0</v>
      </c>
    </row>
    <row r="146" spans="1:16" ht="18.75" customHeight="1" thickBot="1" x14ac:dyDescent="0.3">
      <c r="A146" s="658" t="s">
        <v>220</v>
      </c>
      <c r="B146" s="659"/>
      <c r="C146" s="368">
        <f t="shared" ref="C146:E146" si="58">C142+C145</f>
        <v>769965</v>
      </c>
      <c r="D146" s="368">
        <f t="shared" si="58"/>
        <v>783784</v>
      </c>
      <c r="E146" s="368">
        <f t="shared" si="58"/>
        <v>783784</v>
      </c>
      <c r="F146" s="368">
        <f t="shared" ref="F146" si="59">F142+F145</f>
        <v>783784</v>
      </c>
      <c r="G146" s="368">
        <f t="shared" ref="G146" si="60">G142+G145</f>
        <v>315578</v>
      </c>
      <c r="H146" s="466">
        <f t="shared" si="30"/>
        <v>0.40263388892858237</v>
      </c>
      <c r="I146" s="123">
        <f t="shared" si="57"/>
        <v>13819</v>
      </c>
      <c r="J146" s="123">
        <f t="shared" si="57"/>
        <v>0</v>
      </c>
      <c r="K146" s="123">
        <f t="shared" si="57"/>
        <v>0</v>
      </c>
    </row>
    <row r="147" spans="1:16" ht="30.75" customHeight="1" thickBot="1" x14ac:dyDescent="0.3">
      <c r="A147" s="73" t="s">
        <v>184</v>
      </c>
      <c r="B147" s="140"/>
      <c r="C147" s="74">
        <f>C135+C146</f>
        <v>2152110</v>
      </c>
      <c r="D147" s="74">
        <f>D135+D146</f>
        <v>2195600</v>
      </c>
      <c r="E147" s="74">
        <f>E135+E146</f>
        <v>2202545</v>
      </c>
      <c r="F147" s="74">
        <f>F135+F146</f>
        <v>2228290</v>
      </c>
      <c r="G147" s="74">
        <f>G135+G146</f>
        <v>736092</v>
      </c>
      <c r="H147" s="466">
        <f t="shared" si="30"/>
        <v>0.33033940824578489</v>
      </c>
      <c r="I147" s="123">
        <f t="shared" si="57"/>
        <v>43490</v>
      </c>
      <c r="J147" s="123">
        <f t="shared" si="57"/>
        <v>6945</v>
      </c>
      <c r="K147" s="123">
        <f t="shared" si="57"/>
        <v>25745</v>
      </c>
    </row>
    <row r="149" spans="1:16" ht="15" customHeight="1" x14ac:dyDescent="0.25">
      <c r="L149" s="123"/>
    </row>
    <row r="150" spans="1:16" ht="18.75" thickBot="1" x14ac:dyDescent="0.3">
      <c r="A150" s="660" t="s">
        <v>128</v>
      </c>
      <c r="B150" s="661"/>
      <c r="C150" s="661"/>
      <c r="D150" s="661"/>
      <c r="E150" s="661"/>
      <c r="F150" s="661"/>
      <c r="G150" s="661"/>
      <c r="L150" s="123"/>
      <c r="M150" s="123"/>
      <c r="N150" s="123"/>
    </row>
    <row r="151" spans="1:16" ht="15" customHeight="1" x14ac:dyDescent="0.25">
      <c r="A151" s="644" t="s">
        <v>1</v>
      </c>
      <c r="B151" s="645"/>
      <c r="C151" s="638" t="s">
        <v>323</v>
      </c>
      <c r="D151" s="638" t="s">
        <v>322</v>
      </c>
      <c r="E151" s="638" t="s">
        <v>408</v>
      </c>
      <c r="F151" s="638" t="s">
        <v>413</v>
      </c>
      <c r="G151" s="638" t="s">
        <v>500</v>
      </c>
      <c r="H151" s="640" t="s">
        <v>352</v>
      </c>
      <c r="K151" s="123"/>
      <c r="O151" s="123"/>
      <c r="P151" s="123"/>
    </row>
    <row r="152" spans="1:16" ht="15.75" thickBot="1" x14ac:dyDescent="0.3">
      <c r="A152" s="646"/>
      <c r="B152" s="647"/>
      <c r="C152" s="639"/>
      <c r="D152" s="639"/>
      <c r="E152" s="639"/>
      <c r="F152" s="639"/>
      <c r="G152" s="639"/>
      <c r="H152" s="641"/>
      <c r="I152" s="123"/>
      <c r="J152" s="123"/>
    </row>
    <row r="153" spans="1:16" ht="16.5" thickBot="1" x14ac:dyDescent="0.3">
      <c r="A153" s="648" t="s">
        <v>129</v>
      </c>
      <c r="B153" s="649"/>
      <c r="C153" s="328">
        <f>SUM(C154:C159)</f>
        <v>620702</v>
      </c>
      <c r="D153" s="328">
        <f>SUM(D154:D159)</f>
        <v>635220</v>
      </c>
      <c r="E153" s="328">
        <f>SUM(E154:E159)</f>
        <v>635220</v>
      </c>
      <c r="F153" s="328">
        <f>SUM(F154:F159)</f>
        <v>561520</v>
      </c>
      <c r="G153" s="75">
        <f>SUM(G154:G159)</f>
        <v>0</v>
      </c>
      <c r="H153" s="466">
        <f>G153/F153</f>
        <v>0</v>
      </c>
      <c r="I153" s="123">
        <f>D153-C153</f>
        <v>14518</v>
      </c>
      <c r="J153" s="123">
        <f t="shared" ref="J153:K153" si="61">E153-D153</f>
        <v>0</v>
      </c>
      <c r="K153" s="123">
        <f t="shared" si="61"/>
        <v>-73700</v>
      </c>
      <c r="L153" s="123"/>
    </row>
    <row r="154" spans="1:16" ht="15.75" thickBot="1" x14ac:dyDescent="0.3">
      <c r="A154" s="176">
        <v>233</v>
      </c>
      <c r="B154" s="56" t="s">
        <v>130</v>
      </c>
      <c r="C154" s="329">
        <v>1000</v>
      </c>
      <c r="D154" s="329">
        <v>1000</v>
      </c>
      <c r="E154" s="329">
        <v>1000</v>
      </c>
      <c r="F154" s="539">
        <f>1000+2000</f>
        <v>3000</v>
      </c>
      <c r="G154" s="329">
        <v>0</v>
      </c>
      <c r="H154" s="466">
        <f t="shared" ref="H154:H183" si="62">G154/F154</f>
        <v>0</v>
      </c>
    </row>
    <row r="155" spans="1:16" x14ac:dyDescent="0.25">
      <c r="A155" s="540">
        <v>322</v>
      </c>
      <c r="B155" s="541" t="s">
        <v>468</v>
      </c>
      <c r="C155" s="542">
        <v>0</v>
      </c>
      <c r="D155" s="542">
        <v>0</v>
      </c>
      <c r="E155" s="542">
        <v>0</v>
      </c>
      <c r="F155" s="543">
        <v>42000</v>
      </c>
      <c r="G155" s="542"/>
      <c r="H155" s="466">
        <f t="shared" si="62"/>
        <v>0</v>
      </c>
    </row>
    <row r="156" spans="1:16" x14ac:dyDescent="0.25">
      <c r="A156" s="102">
        <v>322</v>
      </c>
      <c r="B156" s="25" t="s">
        <v>241</v>
      </c>
      <c r="C156" s="331">
        <v>183255</v>
      </c>
      <c r="D156" s="485">
        <f>183255+18815</f>
        <v>202070</v>
      </c>
      <c r="E156" s="335">
        <f>183255+18815</f>
        <v>202070</v>
      </c>
      <c r="F156" s="335">
        <f>183255+18815</f>
        <v>202070</v>
      </c>
      <c r="G156" s="331">
        <v>0</v>
      </c>
      <c r="H156" s="466">
        <f t="shared" si="62"/>
        <v>0</v>
      </c>
      <c r="M156" s="123"/>
      <c r="N156" s="123"/>
      <c r="O156" s="123"/>
      <c r="P156" s="123"/>
    </row>
    <row r="157" spans="1:16" x14ac:dyDescent="0.25">
      <c r="A157" s="175">
        <v>322</v>
      </c>
      <c r="B157" s="39" t="s">
        <v>240</v>
      </c>
      <c r="C157" s="330">
        <v>120047</v>
      </c>
      <c r="D157" s="487">
        <f>120047+2253</f>
        <v>122300</v>
      </c>
      <c r="E157" s="333">
        <f>120047+2253</f>
        <v>122300</v>
      </c>
      <c r="F157" s="487">
        <f>120047+2253-55000</f>
        <v>67300</v>
      </c>
      <c r="G157" s="333">
        <v>0</v>
      </c>
      <c r="H157" s="466">
        <f t="shared" si="62"/>
        <v>0</v>
      </c>
      <c r="K157" s="123"/>
      <c r="L157" s="123"/>
    </row>
    <row r="158" spans="1:16" x14ac:dyDescent="0.25">
      <c r="A158" s="102">
        <v>322</v>
      </c>
      <c r="B158" s="25" t="s">
        <v>160</v>
      </c>
      <c r="C158" s="331">
        <v>121400</v>
      </c>
      <c r="D158" s="485">
        <f>121400-6550</f>
        <v>114850</v>
      </c>
      <c r="E158" s="335">
        <f>121400-6550</f>
        <v>114850</v>
      </c>
      <c r="F158" s="485">
        <f>121400-6550-61200</f>
        <v>53650</v>
      </c>
      <c r="G158" s="331">
        <v>0</v>
      </c>
      <c r="H158" s="466">
        <f t="shared" si="62"/>
        <v>0</v>
      </c>
    </row>
    <row r="159" spans="1:16" ht="15.75" thickBot="1" x14ac:dyDescent="0.3">
      <c r="A159" s="102">
        <v>322</v>
      </c>
      <c r="B159" s="25" t="s">
        <v>162</v>
      </c>
      <c r="C159" s="331">
        <v>195000</v>
      </c>
      <c r="D159" s="331">
        <v>195000</v>
      </c>
      <c r="E159" s="331">
        <v>195000</v>
      </c>
      <c r="F159" s="485">
        <f>195000-1500</f>
        <v>193500</v>
      </c>
      <c r="G159" s="331">
        <v>0</v>
      </c>
      <c r="H159" s="466">
        <f t="shared" si="62"/>
        <v>0</v>
      </c>
      <c r="I159" s="123">
        <f>SUM(C155:C159)</f>
        <v>619702</v>
      </c>
      <c r="J159" s="123">
        <f t="shared" ref="J159:L159" si="63">SUM(D155:D159)</f>
        <v>634220</v>
      </c>
      <c r="K159" s="123">
        <f t="shared" si="63"/>
        <v>634220</v>
      </c>
      <c r="L159" s="123">
        <f t="shared" si="63"/>
        <v>558520</v>
      </c>
    </row>
    <row r="160" spans="1:16" ht="16.5" thickBot="1" x14ac:dyDescent="0.3">
      <c r="A160" s="648" t="s">
        <v>131</v>
      </c>
      <c r="B160" s="649"/>
      <c r="C160" s="328">
        <f>SUM(C161:C183)</f>
        <v>1020702</v>
      </c>
      <c r="D160" s="328">
        <f>SUM(D161:D183)</f>
        <v>1035220</v>
      </c>
      <c r="E160" s="328">
        <f>SUM(E161:E183)</f>
        <v>1035220</v>
      </c>
      <c r="F160" s="328">
        <f>SUM(F161:F183)</f>
        <v>1086320</v>
      </c>
      <c r="G160" s="328">
        <f>SUM(G161:G183)</f>
        <v>7205</v>
      </c>
      <c r="H160" s="466">
        <f t="shared" si="62"/>
        <v>6.6324839826202228E-3</v>
      </c>
      <c r="I160" s="123">
        <f>D160-C160</f>
        <v>14518</v>
      </c>
      <c r="J160" s="123">
        <f t="shared" ref="J160:K160" si="64">E160-D160</f>
        <v>0</v>
      </c>
      <c r="K160" s="123">
        <f t="shared" si="64"/>
        <v>51100</v>
      </c>
      <c r="N160" s="123"/>
    </row>
    <row r="161" spans="1:20" x14ac:dyDescent="0.25">
      <c r="A161" s="210" t="s">
        <v>50</v>
      </c>
      <c r="B161" s="211" t="s">
        <v>158</v>
      </c>
      <c r="C161" s="303">
        <v>127047</v>
      </c>
      <c r="D161" s="486">
        <f>127047+2403</f>
        <v>129450</v>
      </c>
      <c r="E161" s="303">
        <f>127047+2403</f>
        <v>129450</v>
      </c>
      <c r="F161" s="303">
        <f>127047+2403</f>
        <v>129450</v>
      </c>
      <c r="G161" s="303">
        <v>0</v>
      </c>
      <c r="H161" s="466">
        <f t="shared" si="62"/>
        <v>0</v>
      </c>
      <c r="K161" s="123">
        <f>SUM(D161:D163)</f>
        <v>182050</v>
      </c>
      <c r="L161" s="123">
        <f t="shared" ref="L161" si="65">SUM(G161:G163)</f>
        <v>0</v>
      </c>
      <c r="M161" s="123"/>
      <c r="N161" s="123"/>
    </row>
    <row r="162" spans="1:20" x14ac:dyDescent="0.25">
      <c r="A162" s="174" t="s">
        <v>50</v>
      </c>
      <c r="B162" s="152" t="s">
        <v>404</v>
      </c>
      <c r="C162" s="230">
        <v>15000</v>
      </c>
      <c r="D162" s="230">
        <v>15000</v>
      </c>
      <c r="E162" s="488">
        <f>15000+29000</f>
        <v>44000</v>
      </c>
      <c r="F162" s="488">
        <f>15000+29000-6500</f>
        <v>37500</v>
      </c>
      <c r="G162" s="230">
        <v>0</v>
      </c>
      <c r="H162" s="466">
        <f t="shared" si="62"/>
        <v>0</v>
      </c>
      <c r="L162" s="123"/>
      <c r="M162" s="123"/>
      <c r="N162" s="123"/>
      <c r="O162" s="123"/>
      <c r="P162" s="123"/>
    </row>
    <row r="163" spans="1:20" ht="15.75" thickBot="1" x14ac:dyDescent="0.3">
      <c r="A163" s="358" t="s">
        <v>50</v>
      </c>
      <c r="B163" s="108" t="s">
        <v>253</v>
      </c>
      <c r="C163" s="228">
        <v>10000</v>
      </c>
      <c r="D163" s="484">
        <f>10000+27600</f>
        <v>37600</v>
      </c>
      <c r="E163" s="484">
        <f>10000+27600-11160</f>
        <v>26440</v>
      </c>
      <c r="F163" s="228">
        <f>10000+27600-11160</f>
        <v>26440</v>
      </c>
      <c r="G163" s="228">
        <v>0</v>
      </c>
      <c r="H163" s="466">
        <f t="shared" si="62"/>
        <v>0</v>
      </c>
      <c r="J163" s="123">
        <f>SUM(C161:C163)</f>
        <v>152047</v>
      </c>
      <c r="K163" s="123"/>
      <c r="L163" s="123"/>
      <c r="M163" s="123"/>
      <c r="N163" s="123"/>
    </row>
    <row r="164" spans="1:20" x14ac:dyDescent="0.25">
      <c r="A164" s="210" t="s">
        <v>62</v>
      </c>
      <c r="B164" s="211" t="s">
        <v>254</v>
      </c>
      <c r="C164" s="303">
        <v>10000</v>
      </c>
      <c r="D164" s="486">
        <f>10000+20000</f>
        <v>30000</v>
      </c>
      <c r="E164" s="303">
        <f>10000+20000</f>
        <v>30000</v>
      </c>
      <c r="F164" s="303">
        <f>10000+20000</f>
        <v>30000</v>
      </c>
      <c r="G164" s="303">
        <v>0</v>
      </c>
      <c r="H164" s="466">
        <f t="shared" si="62"/>
        <v>0</v>
      </c>
      <c r="L164" s="123"/>
      <c r="O164" s="123"/>
      <c r="P164" s="123"/>
      <c r="Q164" s="123"/>
    </row>
    <row r="165" spans="1:20" ht="15.75" thickBot="1" x14ac:dyDescent="0.3">
      <c r="A165" s="357" t="s">
        <v>64</v>
      </c>
      <c r="B165" s="130" t="s">
        <v>465</v>
      </c>
      <c r="C165" s="231">
        <v>0</v>
      </c>
      <c r="D165" s="231">
        <v>0</v>
      </c>
      <c r="E165" s="231">
        <v>0</v>
      </c>
      <c r="F165" s="489">
        <v>45000</v>
      </c>
      <c r="G165" s="231">
        <v>0</v>
      </c>
      <c r="H165" s="466">
        <f t="shared" si="62"/>
        <v>0</v>
      </c>
      <c r="L165" s="123"/>
    </row>
    <row r="166" spans="1:20" x14ac:dyDescent="0.25">
      <c r="A166" s="129" t="s">
        <v>69</v>
      </c>
      <c r="B166" s="76" t="s">
        <v>186</v>
      </c>
      <c r="C166" s="229">
        <v>6870</v>
      </c>
      <c r="D166" s="229">
        <v>6870</v>
      </c>
      <c r="E166" s="229">
        <v>6870</v>
      </c>
      <c r="F166" s="229">
        <v>6870</v>
      </c>
      <c r="G166" s="229">
        <v>0</v>
      </c>
      <c r="H166" s="466">
        <f t="shared" si="62"/>
        <v>0</v>
      </c>
    </row>
    <row r="167" spans="1:20" ht="15.75" thickBot="1" x14ac:dyDescent="0.3">
      <c r="A167" s="358" t="s">
        <v>71</v>
      </c>
      <c r="B167" s="108" t="s">
        <v>255</v>
      </c>
      <c r="C167" s="228">
        <v>30000</v>
      </c>
      <c r="D167" s="484">
        <f>30000-25000</f>
        <v>5000</v>
      </c>
      <c r="E167" s="228">
        <f>30000-25000</f>
        <v>5000</v>
      </c>
      <c r="F167" s="228">
        <f>30000-25000</f>
        <v>5000</v>
      </c>
      <c r="G167" s="228">
        <v>0</v>
      </c>
      <c r="H167" s="466">
        <f t="shared" si="62"/>
        <v>0</v>
      </c>
      <c r="I167" s="123"/>
      <c r="J167" s="123"/>
      <c r="L167" s="123"/>
    </row>
    <row r="168" spans="1:20" x14ac:dyDescent="0.25">
      <c r="A168" s="174" t="s">
        <v>77</v>
      </c>
      <c r="B168" s="133" t="s">
        <v>164</v>
      </c>
      <c r="C168" s="230">
        <v>206000</v>
      </c>
      <c r="D168" s="230">
        <v>206000</v>
      </c>
      <c r="E168" s="230">
        <v>206000</v>
      </c>
      <c r="F168" s="488">
        <f>206000-2300</f>
        <v>203700</v>
      </c>
      <c r="G168" s="230">
        <v>0</v>
      </c>
      <c r="H168" s="466">
        <f t="shared" si="62"/>
        <v>0</v>
      </c>
      <c r="I168" s="123"/>
      <c r="J168" s="123"/>
      <c r="L168" s="123"/>
    </row>
    <row r="169" spans="1:20" ht="15.75" thickBot="1" x14ac:dyDescent="0.3">
      <c r="A169" s="173" t="s">
        <v>81</v>
      </c>
      <c r="B169" s="134" t="s">
        <v>195</v>
      </c>
      <c r="C169" s="231">
        <v>10000</v>
      </c>
      <c r="D169" s="231">
        <v>10000</v>
      </c>
      <c r="E169" s="231">
        <v>10000</v>
      </c>
      <c r="F169" s="231">
        <v>10000</v>
      </c>
      <c r="G169" s="231">
        <v>0</v>
      </c>
      <c r="H169" s="466">
        <f t="shared" si="62"/>
        <v>0</v>
      </c>
      <c r="L169" s="123"/>
      <c r="N169" s="123"/>
      <c r="S169" s="123"/>
      <c r="T169" s="123"/>
    </row>
    <row r="170" spans="1:20" x14ac:dyDescent="0.25">
      <c r="A170" s="146" t="s">
        <v>132</v>
      </c>
      <c r="B170" s="147" t="s">
        <v>159</v>
      </c>
      <c r="C170" s="232">
        <v>6000</v>
      </c>
      <c r="D170" s="232">
        <v>6000</v>
      </c>
      <c r="E170" s="232">
        <v>6000</v>
      </c>
      <c r="F170" s="232">
        <v>6000</v>
      </c>
      <c r="G170" s="232">
        <v>0</v>
      </c>
      <c r="H170" s="466">
        <f t="shared" si="62"/>
        <v>0</v>
      </c>
      <c r="L170" s="123"/>
      <c r="M170" s="123"/>
      <c r="O170" s="123"/>
    </row>
    <row r="171" spans="1:20" ht="15.75" customHeight="1" x14ac:dyDescent="0.25">
      <c r="A171" s="188" t="s">
        <v>132</v>
      </c>
      <c r="B171" s="133" t="s">
        <v>215</v>
      </c>
      <c r="C171" s="230">
        <v>75730</v>
      </c>
      <c r="D171" s="488">
        <f>75730-9060</f>
        <v>66670</v>
      </c>
      <c r="E171" s="230">
        <f>75730-9060-17840</f>
        <v>48830</v>
      </c>
      <c r="F171" s="488">
        <f>75730-9060-17840+9800</f>
        <v>58630</v>
      </c>
      <c r="G171" s="230">
        <v>4817</v>
      </c>
      <c r="H171" s="466">
        <f t="shared" si="62"/>
        <v>8.215930411052362E-2</v>
      </c>
      <c r="I171" s="123"/>
      <c r="L171" s="123"/>
    </row>
    <row r="172" spans="1:20" ht="15.75" customHeight="1" x14ac:dyDescent="0.25">
      <c r="A172" s="188" t="s">
        <v>83</v>
      </c>
      <c r="B172" s="133" t="s">
        <v>219</v>
      </c>
      <c r="C172" s="230">
        <v>2000</v>
      </c>
      <c r="D172" s="230">
        <v>2000</v>
      </c>
      <c r="E172" s="230">
        <v>2000</v>
      </c>
      <c r="F172" s="230">
        <v>2000</v>
      </c>
      <c r="G172" s="230">
        <v>0</v>
      </c>
      <c r="H172" s="466">
        <f t="shared" si="62"/>
        <v>0</v>
      </c>
      <c r="I172" s="123"/>
    </row>
    <row r="173" spans="1:20" x14ac:dyDescent="0.25">
      <c r="A173" s="188" t="s">
        <v>83</v>
      </c>
      <c r="B173" s="133" t="s">
        <v>256</v>
      </c>
      <c r="C173" s="230">
        <v>10000</v>
      </c>
      <c r="D173" s="230">
        <v>10000</v>
      </c>
      <c r="E173" s="230">
        <v>10000</v>
      </c>
      <c r="F173" s="230">
        <v>10000</v>
      </c>
      <c r="G173" s="230">
        <v>0</v>
      </c>
      <c r="H173" s="466">
        <f t="shared" si="62"/>
        <v>0</v>
      </c>
      <c r="I173" s="123"/>
    </row>
    <row r="174" spans="1:20" ht="15" customHeight="1" x14ac:dyDescent="0.25">
      <c r="A174" s="188" t="s">
        <v>83</v>
      </c>
      <c r="B174" s="133" t="s">
        <v>221</v>
      </c>
      <c r="C174" s="230">
        <v>47000</v>
      </c>
      <c r="D174" s="488">
        <f>47000-12270</f>
        <v>34730</v>
      </c>
      <c r="E174" s="230">
        <f>47000-12270</f>
        <v>34730</v>
      </c>
      <c r="F174" s="488">
        <f>47000-12270+1800</f>
        <v>36530</v>
      </c>
      <c r="G174" s="230">
        <v>0</v>
      </c>
      <c r="H174" s="466">
        <f t="shared" si="62"/>
        <v>0</v>
      </c>
      <c r="I174" s="123"/>
      <c r="J174" s="123"/>
    </row>
    <row r="175" spans="1:20" ht="16.5" customHeight="1" thickBot="1" x14ac:dyDescent="0.3">
      <c r="A175" s="145" t="s">
        <v>85</v>
      </c>
      <c r="B175" s="131" t="s">
        <v>194</v>
      </c>
      <c r="C175" s="228">
        <v>10000</v>
      </c>
      <c r="D175" s="228">
        <v>10000</v>
      </c>
      <c r="E175" s="228">
        <v>10000</v>
      </c>
      <c r="F175" s="228">
        <v>10000</v>
      </c>
      <c r="G175" s="228">
        <v>0</v>
      </c>
      <c r="H175" s="466">
        <f t="shared" si="62"/>
        <v>0</v>
      </c>
      <c r="N175" s="123"/>
      <c r="S175" s="123"/>
      <c r="T175" s="123"/>
    </row>
    <row r="176" spans="1:20" x14ac:dyDescent="0.25">
      <c r="A176" s="149" t="s">
        <v>97</v>
      </c>
      <c r="B176" s="106" t="s">
        <v>171</v>
      </c>
      <c r="C176" s="229">
        <v>31000</v>
      </c>
      <c r="D176" s="229">
        <v>31000</v>
      </c>
      <c r="E176" s="229">
        <v>31000</v>
      </c>
      <c r="F176" s="229">
        <v>31000</v>
      </c>
      <c r="G176" s="229">
        <v>0</v>
      </c>
      <c r="H176" s="466">
        <f t="shared" si="62"/>
        <v>0</v>
      </c>
      <c r="N176" s="123"/>
      <c r="O176" s="123"/>
      <c r="P176" s="123"/>
      <c r="Q176" s="123"/>
      <c r="R176" s="123"/>
      <c r="S176" s="123"/>
      <c r="T176" s="123"/>
    </row>
    <row r="177" spans="1:20" x14ac:dyDescent="0.25">
      <c r="A177" s="148" t="s">
        <v>97</v>
      </c>
      <c r="B177" s="105" t="s">
        <v>193</v>
      </c>
      <c r="C177" s="233">
        <v>20000</v>
      </c>
      <c r="D177" s="233">
        <v>20000</v>
      </c>
      <c r="E177" s="233">
        <v>20000</v>
      </c>
      <c r="F177" s="233">
        <v>20000</v>
      </c>
      <c r="G177" s="233">
        <v>0</v>
      </c>
      <c r="H177" s="466">
        <f t="shared" si="62"/>
        <v>0</v>
      </c>
      <c r="L177" s="123"/>
      <c r="M177" s="123"/>
    </row>
    <row r="178" spans="1:20" x14ac:dyDescent="0.25">
      <c r="A178" s="148" t="s">
        <v>97</v>
      </c>
      <c r="B178" s="105" t="s">
        <v>507</v>
      </c>
      <c r="C178" s="233">
        <v>0</v>
      </c>
      <c r="D178" s="233">
        <v>0</v>
      </c>
      <c r="E178" s="233">
        <v>0</v>
      </c>
      <c r="F178" s="554">
        <v>3300</v>
      </c>
      <c r="G178" s="233">
        <v>0</v>
      </c>
      <c r="H178" s="466">
        <f t="shared" si="62"/>
        <v>0</v>
      </c>
      <c r="L178" s="123"/>
    </row>
    <row r="179" spans="1:20" x14ac:dyDescent="0.25">
      <c r="A179" s="151" t="s">
        <v>102</v>
      </c>
      <c r="B179" s="152" t="s">
        <v>373</v>
      </c>
      <c r="C179" s="230">
        <v>45000</v>
      </c>
      <c r="D179" s="230">
        <v>45000</v>
      </c>
      <c r="E179" s="230">
        <v>45000</v>
      </c>
      <c r="F179" s="230">
        <v>45000</v>
      </c>
      <c r="G179" s="230">
        <v>0</v>
      </c>
      <c r="H179" s="466">
        <f t="shared" si="62"/>
        <v>0</v>
      </c>
      <c r="I179" s="123"/>
      <c r="J179" s="123"/>
    </row>
    <row r="180" spans="1:20" ht="15.75" thickBot="1" x14ac:dyDescent="0.3">
      <c r="A180" s="153" t="s">
        <v>102</v>
      </c>
      <c r="B180" s="130" t="s">
        <v>342</v>
      </c>
      <c r="C180" s="231">
        <v>35000</v>
      </c>
      <c r="D180" s="231">
        <v>35000</v>
      </c>
      <c r="E180" s="231">
        <v>35000</v>
      </c>
      <c r="F180" s="231">
        <v>35000</v>
      </c>
      <c r="G180" s="231">
        <v>0</v>
      </c>
      <c r="H180" s="466">
        <f t="shared" si="62"/>
        <v>0</v>
      </c>
    </row>
    <row r="181" spans="1:20" x14ac:dyDescent="0.25">
      <c r="A181" s="213" t="s">
        <v>106</v>
      </c>
      <c r="B181" s="211" t="s">
        <v>165</v>
      </c>
      <c r="C181" s="303">
        <v>127800</v>
      </c>
      <c r="D181" s="486">
        <f>127800-800</f>
        <v>127000</v>
      </c>
      <c r="E181" s="303">
        <f>127800-800</f>
        <v>127000</v>
      </c>
      <c r="F181" s="303">
        <f>127800-800</f>
        <v>127000</v>
      </c>
      <c r="G181" s="303">
        <v>0</v>
      </c>
      <c r="H181" s="466">
        <f t="shared" si="62"/>
        <v>0</v>
      </c>
    </row>
    <row r="182" spans="1:20" ht="15" customHeight="1" thickBot="1" x14ac:dyDescent="0.3">
      <c r="A182" s="153" t="s">
        <v>115</v>
      </c>
      <c r="B182" s="130" t="s">
        <v>246</v>
      </c>
      <c r="C182" s="231">
        <v>3000</v>
      </c>
      <c r="D182" s="489">
        <f>3000+600</f>
        <v>3600</v>
      </c>
      <c r="E182" s="231">
        <f>3000+600</f>
        <v>3600</v>
      </c>
      <c r="F182" s="231">
        <f>3000+600</f>
        <v>3600</v>
      </c>
      <c r="G182" s="231">
        <v>2388</v>
      </c>
      <c r="H182" s="466">
        <f t="shared" si="62"/>
        <v>0.66333333333333333</v>
      </c>
      <c r="I182" s="123"/>
      <c r="J182" s="123"/>
      <c r="N182" s="123"/>
      <c r="O182" s="123"/>
    </row>
    <row r="183" spans="1:20" ht="15.75" thickBot="1" x14ac:dyDescent="0.3">
      <c r="A183" s="356" t="s">
        <v>248</v>
      </c>
      <c r="B183" s="108" t="s">
        <v>247</v>
      </c>
      <c r="C183" s="228">
        <v>193255</v>
      </c>
      <c r="D183" s="484">
        <f>193255+11045</f>
        <v>204300</v>
      </c>
      <c r="E183" s="228">
        <f>193255+11045</f>
        <v>204300</v>
      </c>
      <c r="F183" s="228">
        <f>193255+11045</f>
        <v>204300</v>
      </c>
      <c r="G183" s="228">
        <v>0</v>
      </c>
      <c r="H183" s="466">
        <f t="shared" si="62"/>
        <v>0</v>
      </c>
      <c r="M183" s="123"/>
      <c r="N183" s="123"/>
    </row>
    <row r="184" spans="1:20" ht="15" customHeight="1" x14ac:dyDescent="0.25">
      <c r="A184" s="155"/>
      <c r="B184" s="156"/>
      <c r="C184" s="79"/>
      <c r="D184" s="79"/>
      <c r="E184" s="79"/>
      <c r="F184" s="79"/>
      <c r="G184" s="79"/>
      <c r="H184" s="81"/>
      <c r="L184" s="123"/>
      <c r="M184" s="123"/>
      <c r="N184" s="123"/>
      <c r="S184" s="123"/>
      <c r="T184" s="123"/>
    </row>
    <row r="185" spans="1:20" x14ac:dyDescent="0.25">
      <c r="A185" s="154"/>
      <c r="B185" s="80"/>
      <c r="C185" s="81"/>
      <c r="D185" s="81"/>
      <c r="E185" s="81"/>
      <c r="F185" s="81"/>
      <c r="G185" s="81"/>
      <c r="K185" s="123"/>
      <c r="L185" s="123"/>
      <c r="O185" s="123"/>
      <c r="P185" s="123"/>
      <c r="Q185" s="123"/>
      <c r="R185" s="123"/>
    </row>
    <row r="186" spans="1:20" ht="18.75" thickBot="1" x14ac:dyDescent="0.3">
      <c r="A186" s="650" t="s">
        <v>133</v>
      </c>
      <c r="B186" s="651"/>
      <c r="C186" s="651"/>
      <c r="D186" s="651"/>
      <c r="E186" s="651"/>
      <c r="F186" s="651"/>
      <c r="G186" s="651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</row>
    <row r="187" spans="1:20" ht="15.75" customHeight="1" x14ac:dyDescent="0.25">
      <c r="A187" s="644" t="s">
        <v>1</v>
      </c>
      <c r="B187" s="645"/>
      <c r="C187" s="638" t="s">
        <v>323</v>
      </c>
      <c r="D187" s="638" t="s">
        <v>322</v>
      </c>
      <c r="E187" s="638" t="s">
        <v>408</v>
      </c>
      <c r="F187" s="638" t="s">
        <v>413</v>
      </c>
      <c r="G187" s="638" t="s">
        <v>500</v>
      </c>
      <c r="H187" s="640" t="s">
        <v>352</v>
      </c>
      <c r="L187" s="123"/>
      <c r="M187" s="123"/>
      <c r="N187" s="123"/>
    </row>
    <row r="188" spans="1:20" ht="15" customHeight="1" thickBot="1" x14ac:dyDescent="0.3">
      <c r="A188" s="646"/>
      <c r="B188" s="647"/>
      <c r="C188" s="639"/>
      <c r="D188" s="639"/>
      <c r="E188" s="639"/>
      <c r="F188" s="639"/>
      <c r="G188" s="639"/>
      <c r="H188" s="641"/>
      <c r="I188" s="123"/>
      <c r="J188" s="123"/>
      <c r="K188" s="123"/>
      <c r="L188" s="123"/>
      <c r="N188" s="123"/>
    </row>
    <row r="189" spans="1:20" ht="16.5" thickBot="1" x14ac:dyDescent="0.3">
      <c r="A189" s="82" t="s">
        <v>134</v>
      </c>
      <c r="B189" s="83"/>
      <c r="C189" s="84">
        <f t="shared" ref="C189:G189" si="66">SUM(C190:C194)</f>
        <v>402140</v>
      </c>
      <c r="D189" s="84">
        <f t="shared" si="66"/>
        <v>402140</v>
      </c>
      <c r="E189" s="84">
        <f t="shared" si="66"/>
        <v>402140</v>
      </c>
      <c r="F189" s="84">
        <f t="shared" ref="F189" si="67">SUM(F190:F194)</f>
        <v>523640</v>
      </c>
      <c r="G189" s="84">
        <f t="shared" si="66"/>
        <v>8531</v>
      </c>
      <c r="H189" s="466">
        <f>G189/F189</f>
        <v>1.6291727140783745E-2</v>
      </c>
      <c r="I189" s="123">
        <f>D189-C189</f>
        <v>0</v>
      </c>
      <c r="J189" s="123">
        <f>E189-D189</f>
        <v>0</v>
      </c>
      <c r="K189" s="123">
        <f>F189-E189</f>
        <v>121500</v>
      </c>
    </row>
    <row r="190" spans="1:20" ht="15" customHeight="1" x14ac:dyDescent="0.25">
      <c r="A190" s="158">
        <v>453</v>
      </c>
      <c r="B190" s="159" t="s">
        <v>355</v>
      </c>
      <c r="C190" s="172">
        <v>1000</v>
      </c>
      <c r="D190" s="172">
        <v>1000</v>
      </c>
      <c r="E190" s="172">
        <v>1000</v>
      </c>
      <c r="F190" s="172">
        <v>1000</v>
      </c>
      <c r="G190" s="172">
        <v>480</v>
      </c>
      <c r="H190" s="466">
        <f t="shared" ref="H190:H198" si="68">G190/F190</f>
        <v>0.48</v>
      </c>
      <c r="K190" s="123"/>
      <c r="L190" s="123"/>
    </row>
    <row r="191" spans="1:20" ht="15.75" customHeight="1" x14ac:dyDescent="0.25">
      <c r="A191" s="158">
        <v>453</v>
      </c>
      <c r="B191" s="159" t="s">
        <v>330</v>
      </c>
      <c r="C191" s="172">
        <v>1000</v>
      </c>
      <c r="D191" s="172">
        <v>1000</v>
      </c>
      <c r="E191" s="172">
        <v>1000</v>
      </c>
      <c r="F191" s="172">
        <v>1000</v>
      </c>
      <c r="G191" s="172">
        <f>444+390</f>
        <v>834</v>
      </c>
      <c r="H191" s="466">
        <f t="shared" si="68"/>
        <v>0.83399999999999996</v>
      </c>
      <c r="J191" s="123">
        <f>SUM(C190:C191)</f>
        <v>2000</v>
      </c>
      <c r="K191" s="123">
        <f t="shared" ref="K191:M191" si="69">SUM(D190:D191)</f>
        <v>2000</v>
      </c>
      <c r="L191" s="123">
        <f t="shared" si="69"/>
        <v>2000</v>
      </c>
      <c r="M191" s="123">
        <f t="shared" si="69"/>
        <v>2000</v>
      </c>
    </row>
    <row r="192" spans="1:20" x14ac:dyDescent="0.25">
      <c r="A192" s="157">
        <v>454</v>
      </c>
      <c r="B192" s="126" t="s">
        <v>135</v>
      </c>
      <c r="C192" s="171">
        <v>100000</v>
      </c>
      <c r="D192" s="171">
        <v>100000</v>
      </c>
      <c r="E192" s="171">
        <v>100000</v>
      </c>
      <c r="F192" s="460">
        <f>100000+121500</f>
        <v>221500</v>
      </c>
      <c r="G192" s="171">
        <v>7205</v>
      </c>
      <c r="H192" s="466">
        <f t="shared" si="68"/>
        <v>3.2528216704288938E-2</v>
      </c>
      <c r="J192" s="123"/>
    </row>
    <row r="193" spans="1:14" ht="15.75" thickBot="1" x14ac:dyDescent="0.3">
      <c r="A193" s="225">
        <v>456</v>
      </c>
      <c r="B193" s="226" t="s">
        <v>204</v>
      </c>
      <c r="C193" s="227">
        <v>140</v>
      </c>
      <c r="D193" s="227">
        <v>140</v>
      </c>
      <c r="E193" s="227">
        <v>140</v>
      </c>
      <c r="F193" s="227">
        <v>140</v>
      </c>
      <c r="G193" s="227">
        <v>12</v>
      </c>
      <c r="H193" s="466">
        <f t="shared" si="68"/>
        <v>8.5714285714285715E-2</v>
      </c>
      <c r="I193" s="89"/>
      <c r="J193" s="123">
        <f>SUM(C190:C193)</f>
        <v>102140</v>
      </c>
      <c r="K193" s="123">
        <f t="shared" ref="K193:L193" si="70">SUM(D190:D193)</f>
        <v>102140</v>
      </c>
      <c r="L193" s="123">
        <f t="shared" si="70"/>
        <v>102140</v>
      </c>
      <c r="M193" s="123">
        <f>SUM(F190:F193)</f>
        <v>223640</v>
      </c>
      <c r="N193" s="123"/>
    </row>
    <row r="194" spans="1:14" ht="15.75" thickBot="1" x14ac:dyDescent="0.3">
      <c r="A194" s="222">
        <v>513</v>
      </c>
      <c r="B194" s="223" t="s">
        <v>137</v>
      </c>
      <c r="C194" s="224">
        <v>300000</v>
      </c>
      <c r="D194" s="224">
        <v>300000</v>
      </c>
      <c r="E194" s="224">
        <v>300000</v>
      </c>
      <c r="F194" s="224">
        <v>300000</v>
      </c>
      <c r="G194" s="224">
        <v>0</v>
      </c>
      <c r="H194" s="466">
        <f t="shared" si="68"/>
        <v>0</v>
      </c>
      <c r="I194" s="123"/>
    </row>
    <row r="195" spans="1:14" ht="16.5" thickBot="1" x14ac:dyDescent="0.3">
      <c r="A195" s="82" t="s">
        <v>138</v>
      </c>
      <c r="B195" s="83"/>
      <c r="C195" s="84">
        <f t="shared" ref="C195:G195" si="71">SUM(C196:C198)</f>
        <v>10940</v>
      </c>
      <c r="D195" s="84">
        <f t="shared" si="71"/>
        <v>11000</v>
      </c>
      <c r="E195" s="84">
        <f t="shared" si="71"/>
        <v>11000</v>
      </c>
      <c r="F195" s="84">
        <f t="shared" ref="F195" si="72">SUM(F196:F198)</f>
        <v>11000</v>
      </c>
      <c r="G195" s="84">
        <f t="shared" si="71"/>
        <v>369</v>
      </c>
      <c r="H195" s="466">
        <f t="shared" si="68"/>
        <v>3.3545454545454545E-2</v>
      </c>
      <c r="I195" s="123">
        <f>D195-C195</f>
        <v>60</v>
      </c>
      <c r="J195" s="123">
        <f>E195-D195</f>
        <v>0</v>
      </c>
    </row>
    <row r="196" spans="1:14" x14ac:dyDescent="0.25">
      <c r="A196" s="206">
        <v>819</v>
      </c>
      <c r="B196" s="85" t="s">
        <v>203</v>
      </c>
      <c r="C196" s="86">
        <v>140</v>
      </c>
      <c r="D196" s="86">
        <v>140</v>
      </c>
      <c r="E196" s="86">
        <v>140</v>
      </c>
      <c r="F196" s="86">
        <v>140</v>
      </c>
      <c r="G196" s="86">
        <v>12</v>
      </c>
      <c r="H196" s="466">
        <f t="shared" si="68"/>
        <v>8.5714285714285715E-2</v>
      </c>
    </row>
    <row r="197" spans="1:14" ht="15" customHeight="1" x14ac:dyDescent="0.25">
      <c r="A197" s="207">
        <v>821</v>
      </c>
      <c r="B197" s="208" t="s">
        <v>206</v>
      </c>
      <c r="C197" s="169">
        <v>10000</v>
      </c>
      <c r="D197" s="169">
        <v>10000</v>
      </c>
      <c r="E197" s="169">
        <v>10000</v>
      </c>
      <c r="F197" s="169">
        <v>10000</v>
      </c>
      <c r="G197" s="169">
        <v>0</v>
      </c>
      <c r="H197" s="466">
        <f t="shared" si="68"/>
        <v>0</v>
      </c>
    </row>
    <row r="198" spans="1:14" ht="15.75" thickBot="1" x14ac:dyDescent="0.3">
      <c r="A198" s="339">
        <v>821</v>
      </c>
      <c r="B198" s="87" t="s">
        <v>139</v>
      </c>
      <c r="C198" s="42">
        <v>800</v>
      </c>
      <c r="D198" s="454">
        <v>860</v>
      </c>
      <c r="E198" s="50">
        <v>860</v>
      </c>
      <c r="F198" s="50">
        <v>860</v>
      </c>
      <c r="G198" s="42">
        <v>357</v>
      </c>
      <c r="H198" s="466">
        <f t="shared" si="68"/>
        <v>0.41511627906976745</v>
      </c>
    </row>
    <row r="199" spans="1:14" ht="15" customHeight="1" x14ac:dyDescent="0.25">
      <c r="A199" s="154"/>
      <c r="B199" s="88"/>
      <c r="C199" s="89"/>
      <c r="D199" s="89"/>
      <c r="E199" s="89"/>
      <c r="F199" s="89"/>
      <c r="G199" s="89"/>
      <c r="H199" s="156"/>
    </row>
    <row r="200" spans="1:14" ht="15.75" x14ac:dyDescent="0.25">
      <c r="A200" s="33"/>
      <c r="B200" s="156"/>
      <c r="C200" s="156"/>
      <c r="D200" s="156"/>
      <c r="E200" s="156"/>
      <c r="F200" s="156"/>
      <c r="G200" s="156"/>
    </row>
    <row r="201" spans="1:14" ht="18.75" thickBot="1" x14ac:dyDescent="0.3">
      <c r="A201" s="642" t="s">
        <v>140</v>
      </c>
      <c r="B201" s="643"/>
      <c r="C201" s="643"/>
      <c r="D201" s="643"/>
      <c r="E201" s="643"/>
      <c r="F201" s="643"/>
      <c r="G201" s="643"/>
    </row>
    <row r="202" spans="1:14" x14ac:dyDescent="0.25">
      <c r="A202" s="644" t="s">
        <v>1</v>
      </c>
      <c r="B202" s="645"/>
      <c r="C202" s="638" t="s">
        <v>323</v>
      </c>
      <c r="D202" s="638" t="s">
        <v>322</v>
      </c>
      <c r="E202" s="638" t="s">
        <v>408</v>
      </c>
      <c r="F202" s="638" t="s">
        <v>413</v>
      </c>
      <c r="G202" s="638" t="s">
        <v>500</v>
      </c>
    </row>
    <row r="203" spans="1:14" ht="15.75" thickBot="1" x14ac:dyDescent="0.3">
      <c r="A203" s="646"/>
      <c r="B203" s="647"/>
      <c r="C203" s="639"/>
      <c r="D203" s="639"/>
      <c r="E203" s="639"/>
      <c r="F203" s="639"/>
      <c r="G203" s="639"/>
    </row>
    <row r="204" spans="1:14" ht="15.75" x14ac:dyDescent="0.25">
      <c r="A204" s="90" t="s">
        <v>141</v>
      </c>
      <c r="B204" s="120"/>
      <c r="C204" s="91">
        <f>C77</f>
        <v>2160910</v>
      </c>
      <c r="D204" s="91">
        <f>D77</f>
        <v>2204460</v>
      </c>
      <c r="E204" s="91">
        <f>E77</f>
        <v>2211405</v>
      </c>
      <c r="F204" s="91">
        <f>F77</f>
        <v>2240450</v>
      </c>
      <c r="G204" s="91">
        <f>G77</f>
        <v>869418</v>
      </c>
    </row>
    <row r="205" spans="1:14" ht="15.75" x14ac:dyDescent="0.25">
      <c r="A205" s="92" t="s">
        <v>142</v>
      </c>
      <c r="B205" s="209"/>
      <c r="C205" s="93">
        <f>C147</f>
        <v>2152110</v>
      </c>
      <c r="D205" s="93">
        <f>D147</f>
        <v>2195600</v>
      </c>
      <c r="E205" s="93">
        <f>E147</f>
        <v>2202545</v>
      </c>
      <c r="F205" s="93">
        <f>F147</f>
        <v>2228290</v>
      </c>
      <c r="G205" s="93">
        <f>G147</f>
        <v>736092</v>
      </c>
    </row>
    <row r="206" spans="1:14" ht="15.75" x14ac:dyDescent="0.25">
      <c r="A206" s="634" t="s">
        <v>143</v>
      </c>
      <c r="B206" s="635"/>
      <c r="C206" s="94">
        <f t="shared" ref="C206:G206" si="73">C204-C205</f>
        <v>8800</v>
      </c>
      <c r="D206" s="94">
        <f t="shared" si="73"/>
        <v>8860</v>
      </c>
      <c r="E206" s="94">
        <f t="shared" si="73"/>
        <v>8860</v>
      </c>
      <c r="F206" s="94">
        <f t="shared" ref="F206" si="74">F204-F205</f>
        <v>12160</v>
      </c>
      <c r="G206" s="94">
        <f t="shared" si="73"/>
        <v>133326</v>
      </c>
      <c r="N206" s="123"/>
    </row>
    <row r="207" spans="1:14" ht="15.75" x14ac:dyDescent="0.25">
      <c r="A207" s="92" t="s">
        <v>144</v>
      </c>
      <c r="B207" s="116"/>
      <c r="C207" s="93">
        <f>C153</f>
        <v>620702</v>
      </c>
      <c r="D207" s="93">
        <f>D153</f>
        <v>635220</v>
      </c>
      <c r="E207" s="93">
        <f>E153</f>
        <v>635220</v>
      </c>
      <c r="F207" s="93">
        <f>F153</f>
        <v>561520</v>
      </c>
      <c r="G207" s="93">
        <f>G153</f>
        <v>0</v>
      </c>
      <c r="N207" s="123"/>
    </row>
    <row r="208" spans="1:14" ht="15.75" x14ac:dyDescent="0.25">
      <c r="A208" s="92" t="s">
        <v>145</v>
      </c>
      <c r="B208" s="116"/>
      <c r="C208" s="8">
        <f>C160</f>
        <v>1020702</v>
      </c>
      <c r="D208" s="8">
        <f>D160</f>
        <v>1035220</v>
      </c>
      <c r="E208" s="8">
        <f>E160</f>
        <v>1035220</v>
      </c>
      <c r="F208" s="8">
        <f>F160</f>
        <v>1086320</v>
      </c>
      <c r="G208" s="8">
        <f>G160</f>
        <v>7205</v>
      </c>
      <c r="M208" s="123"/>
      <c r="N208" s="123"/>
    </row>
    <row r="209" spans="1:14" ht="15.75" x14ac:dyDescent="0.25">
      <c r="A209" s="634" t="s">
        <v>146</v>
      </c>
      <c r="B209" s="635"/>
      <c r="C209" s="94">
        <f t="shared" ref="C209:G209" si="75">C207-C208</f>
        <v>-400000</v>
      </c>
      <c r="D209" s="94">
        <f t="shared" si="75"/>
        <v>-400000</v>
      </c>
      <c r="E209" s="94">
        <f t="shared" si="75"/>
        <v>-400000</v>
      </c>
      <c r="F209" s="94">
        <f t="shared" ref="F209" si="76">F207-F208</f>
        <v>-524800</v>
      </c>
      <c r="G209" s="94">
        <f t="shared" si="75"/>
        <v>-7205</v>
      </c>
      <c r="L209" s="123"/>
      <c r="M209" s="123"/>
      <c r="N209" s="123"/>
    </row>
    <row r="210" spans="1:14" ht="15.75" x14ac:dyDescent="0.25">
      <c r="A210" s="95" t="s">
        <v>147</v>
      </c>
      <c r="B210" s="96"/>
      <c r="C210" s="97">
        <f t="shared" ref="C210:G210" si="77">C189</f>
        <v>402140</v>
      </c>
      <c r="D210" s="97">
        <f t="shared" si="77"/>
        <v>402140</v>
      </c>
      <c r="E210" s="97">
        <f t="shared" si="77"/>
        <v>402140</v>
      </c>
      <c r="F210" s="97">
        <f t="shared" ref="F210" si="78">F189</f>
        <v>523640</v>
      </c>
      <c r="G210" s="97">
        <f t="shared" si="77"/>
        <v>8531</v>
      </c>
      <c r="K210" s="123"/>
      <c r="L210" s="123"/>
      <c r="M210" s="123"/>
      <c r="N210" s="123"/>
    </row>
    <row r="211" spans="1:14" ht="15.75" x14ac:dyDescent="0.25">
      <c r="A211" s="95" t="s">
        <v>148</v>
      </c>
      <c r="B211" s="96"/>
      <c r="C211" s="97">
        <f t="shared" ref="C211:G211" si="79">C195</f>
        <v>10940</v>
      </c>
      <c r="D211" s="97">
        <f t="shared" si="79"/>
        <v>11000</v>
      </c>
      <c r="E211" s="97">
        <f t="shared" si="79"/>
        <v>11000</v>
      </c>
      <c r="F211" s="97">
        <f t="shared" ref="F211" si="80">F195</f>
        <v>11000</v>
      </c>
      <c r="G211" s="97">
        <f t="shared" si="79"/>
        <v>369</v>
      </c>
      <c r="K211" s="123"/>
      <c r="L211" s="123"/>
      <c r="M211" s="123"/>
    </row>
    <row r="212" spans="1:14" ht="16.5" thickBot="1" x14ac:dyDescent="0.3">
      <c r="A212" s="636" t="s">
        <v>149</v>
      </c>
      <c r="B212" s="637"/>
      <c r="C212" s="98">
        <f t="shared" ref="C212:G212" si="81">C210-C211</f>
        <v>391200</v>
      </c>
      <c r="D212" s="98">
        <f t="shared" si="81"/>
        <v>391140</v>
      </c>
      <c r="E212" s="98">
        <f t="shared" si="81"/>
        <v>391140</v>
      </c>
      <c r="F212" s="98">
        <f t="shared" ref="F212" si="82">F210-F211</f>
        <v>512640</v>
      </c>
      <c r="G212" s="98">
        <f t="shared" si="81"/>
        <v>8162</v>
      </c>
      <c r="K212" s="123"/>
      <c r="L212" s="123"/>
      <c r="M212" s="123"/>
    </row>
    <row r="213" spans="1:14" ht="16.5" thickBot="1" x14ac:dyDescent="0.3">
      <c r="A213" s="160" t="s">
        <v>150</v>
      </c>
      <c r="B213" s="99"/>
      <c r="C213" s="161">
        <f t="shared" ref="C213:G213" si="83">C206+C209+C212</f>
        <v>0</v>
      </c>
      <c r="D213" s="161">
        <f t="shared" si="83"/>
        <v>0</v>
      </c>
      <c r="E213" s="161">
        <f t="shared" si="83"/>
        <v>0</v>
      </c>
      <c r="F213" s="161">
        <f t="shared" ref="F213" si="84">F206+F209+F212</f>
        <v>0</v>
      </c>
      <c r="G213" s="161">
        <f t="shared" si="83"/>
        <v>134283</v>
      </c>
      <c r="J213" s="123"/>
      <c r="K213" s="123"/>
      <c r="L213" s="123"/>
    </row>
    <row r="214" spans="1:14" x14ac:dyDescent="0.25">
      <c r="H214" s="123"/>
      <c r="I214" s="123"/>
      <c r="J214" s="123"/>
      <c r="K214" s="123"/>
    </row>
    <row r="215" spans="1:14" x14ac:dyDescent="0.25">
      <c r="B215" s="162" t="s">
        <v>151</v>
      </c>
      <c r="C215" s="123">
        <f t="shared" ref="C215:G216" si="85">C204+C207+C210</f>
        <v>3183752</v>
      </c>
      <c r="D215" s="123">
        <f t="shared" si="85"/>
        <v>3241820</v>
      </c>
      <c r="E215" s="123">
        <f t="shared" si="85"/>
        <v>3248765</v>
      </c>
      <c r="F215" s="123">
        <f t="shared" ref="F215" si="86">F204+F207+F210</f>
        <v>3325610</v>
      </c>
      <c r="G215" s="123">
        <f t="shared" si="85"/>
        <v>877949</v>
      </c>
      <c r="H215" s="123"/>
      <c r="I215" s="123">
        <f>D215-C215</f>
        <v>58068</v>
      </c>
      <c r="J215" s="123">
        <f>E215-D215</f>
        <v>6945</v>
      </c>
      <c r="K215" s="123">
        <f>F215-E215</f>
        <v>76845</v>
      </c>
    </row>
    <row r="216" spans="1:14" x14ac:dyDescent="0.25">
      <c r="B216" s="162" t="s">
        <v>152</v>
      </c>
      <c r="C216" s="123">
        <f t="shared" si="85"/>
        <v>3183752</v>
      </c>
      <c r="D216" s="123">
        <f t="shared" si="85"/>
        <v>3241820</v>
      </c>
      <c r="E216" s="123">
        <f t="shared" si="85"/>
        <v>3248765</v>
      </c>
      <c r="F216" s="123">
        <f t="shared" ref="F216" si="87">F205+F208+F211</f>
        <v>3325610</v>
      </c>
      <c r="G216" s="123">
        <f t="shared" si="85"/>
        <v>743666</v>
      </c>
      <c r="H216" s="123"/>
      <c r="I216" s="123">
        <f t="shared" ref="I216:J219" si="88">D216-C216</f>
        <v>58068</v>
      </c>
      <c r="J216" s="123">
        <f t="shared" si="88"/>
        <v>6945</v>
      </c>
      <c r="K216" s="123">
        <f>F216-E216</f>
        <v>76845</v>
      </c>
    </row>
    <row r="217" spans="1:14" x14ac:dyDescent="0.25">
      <c r="B217" s="162"/>
      <c r="C217" s="123"/>
      <c r="D217" s="123"/>
      <c r="E217" s="123"/>
      <c r="F217" s="123"/>
      <c r="G217" s="123"/>
      <c r="H217" s="123"/>
      <c r="I217" s="123"/>
      <c r="J217" s="123"/>
      <c r="K217" s="123"/>
    </row>
    <row r="218" spans="1:14" x14ac:dyDescent="0.25">
      <c r="B218" s="162" t="s">
        <v>153</v>
      </c>
      <c r="C218" s="123">
        <f>C215-C76</f>
        <v>3115422</v>
      </c>
      <c r="D218" s="123">
        <f>D215-D76</f>
        <v>3173490</v>
      </c>
      <c r="E218" s="123">
        <f>E215-E76</f>
        <v>3180435</v>
      </c>
      <c r="F218" s="123">
        <f>F215-F76</f>
        <v>3257280</v>
      </c>
      <c r="G218" s="123">
        <f>G215-G76</f>
        <v>865587</v>
      </c>
      <c r="H218" s="123"/>
      <c r="I218" s="123">
        <f t="shared" si="88"/>
        <v>58068</v>
      </c>
      <c r="J218" s="123">
        <f t="shared" si="88"/>
        <v>6945</v>
      </c>
      <c r="K218" s="123">
        <f>F218-E218</f>
        <v>76845</v>
      </c>
    </row>
    <row r="219" spans="1:14" x14ac:dyDescent="0.25">
      <c r="B219" s="162" t="s">
        <v>154</v>
      </c>
      <c r="C219" s="123">
        <f>C216-C146</f>
        <v>2413787</v>
      </c>
      <c r="D219" s="123">
        <f>D216-D146</f>
        <v>2458036</v>
      </c>
      <c r="E219" s="123">
        <f>E216-E146</f>
        <v>2464981</v>
      </c>
      <c r="F219" s="123">
        <f>F216-F146</f>
        <v>2541826</v>
      </c>
      <c r="G219" s="123">
        <f>G216-G146</f>
        <v>428088</v>
      </c>
      <c r="H219" s="123"/>
      <c r="I219" s="123">
        <f t="shared" si="88"/>
        <v>44249</v>
      </c>
      <c r="J219" s="123">
        <f t="shared" si="88"/>
        <v>6945</v>
      </c>
      <c r="K219" s="123">
        <f>F219-E219</f>
        <v>76845</v>
      </c>
    </row>
    <row r="220" spans="1:14" x14ac:dyDescent="0.25">
      <c r="B220" s="162"/>
      <c r="C220" s="123"/>
      <c r="D220" s="123"/>
      <c r="E220" s="123"/>
      <c r="F220" s="123"/>
      <c r="G220" s="123"/>
    </row>
    <row r="221" spans="1:14" x14ac:dyDescent="0.25">
      <c r="A221" s="236"/>
      <c r="B221" s="237" t="s">
        <v>214</v>
      </c>
    </row>
    <row r="223" spans="1:14" x14ac:dyDescent="0.25">
      <c r="B223" s="110" t="s">
        <v>155</v>
      </c>
    </row>
    <row r="225" spans="2:2" x14ac:dyDescent="0.25">
      <c r="B225" s="100" t="s">
        <v>271</v>
      </c>
    </row>
    <row r="226" spans="2:2" x14ac:dyDescent="0.25">
      <c r="B226" s="215" t="s">
        <v>377</v>
      </c>
    </row>
    <row r="227" spans="2:2" x14ac:dyDescent="0.25">
      <c r="B227" s="215" t="s">
        <v>419</v>
      </c>
    </row>
    <row r="228" spans="2:2" x14ac:dyDescent="0.25">
      <c r="B228" s="215" t="s">
        <v>501</v>
      </c>
    </row>
    <row r="229" spans="2:2" x14ac:dyDescent="0.25">
      <c r="B229" s="215"/>
    </row>
    <row r="230" spans="2:2" x14ac:dyDescent="0.25">
      <c r="B230" s="110" t="s">
        <v>504</v>
      </c>
    </row>
    <row r="231" spans="2:2" x14ac:dyDescent="0.25">
      <c r="B231" s="110" t="s">
        <v>502</v>
      </c>
    </row>
    <row r="232" spans="2:2" x14ac:dyDescent="0.25">
      <c r="B232" s="110" t="s">
        <v>503</v>
      </c>
    </row>
  </sheetData>
  <mergeCells count="52">
    <mergeCell ref="A1:G1"/>
    <mergeCell ref="A2:B3"/>
    <mergeCell ref="C2:C3"/>
    <mergeCell ref="D2:D3"/>
    <mergeCell ref="E2:E3"/>
    <mergeCell ref="G2:G3"/>
    <mergeCell ref="H81:H82"/>
    <mergeCell ref="H2:H3"/>
    <mergeCell ref="A4:B4"/>
    <mergeCell ref="A12:B12"/>
    <mergeCell ref="A74:B74"/>
    <mergeCell ref="A76:B76"/>
    <mergeCell ref="A80:G80"/>
    <mergeCell ref="A81:B82"/>
    <mergeCell ref="C81:C82"/>
    <mergeCell ref="D81:D82"/>
    <mergeCell ref="E81:E82"/>
    <mergeCell ref="G81:G82"/>
    <mergeCell ref="A145:B145"/>
    <mergeCell ref="A146:B146"/>
    <mergeCell ref="A150:G150"/>
    <mergeCell ref="A151:B152"/>
    <mergeCell ref="C151:C152"/>
    <mergeCell ref="D151:D152"/>
    <mergeCell ref="E151:E152"/>
    <mergeCell ref="G151:G152"/>
    <mergeCell ref="H151:H152"/>
    <mergeCell ref="A153:B153"/>
    <mergeCell ref="A160:B160"/>
    <mergeCell ref="A186:G186"/>
    <mergeCell ref="A187:B188"/>
    <mergeCell ref="C187:C188"/>
    <mergeCell ref="D187:D188"/>
    <mergeCell ref="E187:E188"/>
    <mergeCell ref="G187:G188"/>
    <mergeCell ref="H187:H188"/>
    <mergeCell ref="A206:B206"/>
    <mergeCell ref="A209:B209"/>
    <mergeCell ref="A212:B212"/>
    <mergeCell ref="F2:F3"/>
    <mergeCell ref="F81:F82"/>
    <mergeCell ref="F151:F152"/>
    <mergeCell ref="F187:F188"/>
    <mergeCell ref="F202:F203"/>
    <mergeCell ref="A201:G201"/>
    <mergeCell ref="A202:B203"/>
    <mergeCell ref="C202:C203"/>
    <mergeCell ref="D202:D203"/>
    <mergeCell ref="E202:E203"/>
    <mergeCell ref="G202:G203"/>
    <mergeCell ref="A99:B99"/>
    <mergeCell ref="A142:B142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Header xml:space="preserve">&amp;C&amp;"Arial,Tučné"&amp;14Rozpočet na rok 2019
3. zmena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</vt:i4>
      </vt:variant>
    </vt:vector>
  </HeadingPairs>
  <TitlesOfParts>
    <vt:vector size="15" baseType="lpstr">
      <vt:lpstr>opatrenia</vt:lpstr>
      <vt:lpstr>úpravy</vt:lpstr>
      <vt:lpstr>zmena9</vt:lpstr>
      <vt:lpstr>zmena8</vt:lpstr>
      <vt:lpstr>zmena7</vt:lpstr>
      <vt:lpstr>zmena6</vt:lpstr>
      <vt:lpstr>zmena5</vt:lpstr>
      <vt:lpstr>zmena4</vt:lpstr>
      <vt:lpstr>zmena3</vt:lpstr>
      <vt:lpstr>zmena2</vt:lpstr>
      <vt:lpstr>zmena1 </vt:lpstr>
      <vt:lpstr>Investície19</vt:lpstr>
      <vt:lpstr>R19-21</vt:lpstr>
      <vt:lpstr>Investície20</vt:lpstr>
      <vt:lpstr>zmena9!Oblasť_tlače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2020-02-10T09:57:34Z</dcterms:modified>
</cp:coreProperties>
</file>