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úpravy OZ" sheetId="8" r:id="rId1"/>
    <sheet name="úpravy starostu" sheetId="7" r:id="rId2"/>
    <sheet name="zmena 4" sheetId="14" r:id="rId3"/>
    <sheet name="investície" sheetId="3" r:id="rId4"/>
    <sheet name="opatrenia" sheetId="10" r:id="rId5"/>
    <sheet name="zmena 3 " sheetId="13" r:id="rId6"/>
    <sheet name="zmena 2-2" sheetId="12" r:id="rId7"/>
    <sheet name="zmena 2" sheetId="9" r:id="rId8"/>
    <sheet name="zmena 1" sheetId="11" r:id="rId9"/>
    <sheet name="VR23-25" sheetId="1" r:id="rId10"/>
    <sheet name="eko" sheetId="4" r:id="rId11"/>
    <sheet name="zdroje" sheetId="5" r:id="rId12"/>
    <sheet name="kategorie" sheetId="6" r:id="rId13"/>
  </sheets>
  <calcPr calcId="152511"/>
</workbook>
</file>

<file path=xl/calcChain.xml><?xml version="1.0" encoding="utf-8"?>
<calcChain xmlns="http://schemas.openxmlformats.org/spreadsheetml/2006/main">
  <c r="M197" i="14" l="1"/>
  <c r="M198" i="14"/>
  <c r="M199" i="14"/>
  <c r="M200" i="14"/>
  <c r="M202" i="14" s="1"/>
  <c r="M201" i="14"/>
  <c r="M203" i="14"/>
  <c r="M205" i="14" s="1"/>
  <c r="M204" i="14"/>
  <c r="M209" i="14"/>
  <c r="Z209" i="14" s="1"/>
  <c r="M175" i="14"/>
  <c r="M174" i="14" s="1"/>
  <c r="M177" i="14"/>
  <c r="M180" i="14"/>
  <c r="M181" i="14"/>
  <c r="M182" i="14"/>
  <c r="M184" i="14"/>
  <c r="M187" i="14"/>
  <c r="M190" i="14"/>
  <c r="M149" i="14"/>
  <c r="M147" i="14" s="1"/>
  <c r="M157" i="14"/>
  <c r="M155" i="14" s="1"/>
  <c r="M158" i="14"/>
  <c r="M160" i="14"/>
  <c r="M161" i="14"/>
  <c r="M162" i="14"/>
  <c r="M163" i="14"/>
  <c r="M165" i="14"/>
  <c r="M166" i="14"/>
  <c r="M168" i="14"/>
  <c r="M169" i="14"/>
  <c r="M82" i="14"/>
  <c r="M81" i="14" s="1"/>
  <c r="M83" i="14"/>
  <c r="M84" i="14"/>
  <c r="M85" i="14"/>
  <c r="M86" i="14"/>
  <c r="M88" i="14"/>
  <c r="M87" i="14" s="1"/>
  <c r="M90" i="14"/>
  <c r="M89" i="14" s="1"/>
  <c r="M91" i="14"/>
  <c r="M92" i="14"/>
  <c r="M93" i="14"/>
  <c r="M94" i="14"/>
  <c r="M97" i="14"/>
  <c r="M96" i="14" s="1"/>
  <c r="M98" i="14"/>
  <c r="M102" i="14"/>
  <c r="M101" i="14" s="1"/>
  <c r="M103" i="14"/>
  <c r="M104" i="14"/>
  <c r="M108" i="14"/>
  <c r="M105" i="14" s="1"/>
  <c r="M111" i="14"/>
  <c r="M112" i="14"/>
  <c r="M113" i="14"/>
  <c r="M114" i="14"/>
  <c r="M110" i="14" s="1"/>
  <c r="M115" i="14"/>
  <c r="M117" i="14"/>
  <c r="M116" i="14" s="1"/>
  <c r="M119" i="14"/>
  <c r="M120" i="14"/>
  <c r="M121" i="14"/>
  <c r="M122" i="14"/>
  <c r="M124" i="14"/>
  <c r="M125" i="14"/>
  <c r="M126" i="14"/>
  <c r="M127" i="14"/>
  <c r="M131" i="14"/>
  <c r="M132" i="14"/>
  <c r="M135" i="14"/>
  <c r="M136" i="14"/>
  <c r="M141" i="14" s="1"/>
  <c r="M137" i="14"/>
  <c r="M139" i="14"/>
  <c r="M140" i="14"/>
  <c r="M4" i="14"/>
  <c r="M3" i="14" s="1"/>
  <c r="M9" i="14"/>
  <c r="M12" i="14"/>
  <c r="M14" i="14"/>
  <c r="M20" i="14"/>
  <c r="M22" i="14"/>
  <c r="M11" i="14" s="1"/>
  <c r="M32" i="14"/>
  <c r="M40" i="14"/>
  <c r="M34" i="14" s="1"/>
  <c r="M46" i="14"/>
  <c r="M47" i="14"/>
  <c r="M48" i="14"/>
  <c r="M51" i="14"/>
  <c r="M42" i="14" s="1"/>
  <c r="M54" i="14"/>
  <c r="M55" i="14"/>
  <c r="M58" i="14"/>
  <c r="M59" i="14"/>
  <c r="M60" i="14"/>
  <c r="M61" i="14"/>
  <c r="M63" i="14"/>
  <c r="M66" i="14"/>
  <c r="M68" i="14"/>
  <c r="M72" i="14"/>
  <c r="M75" i="14" s="1"/>
  <c r="M74" i="14"/>
  <c r="W208" i="14"/>
  <c r="X208" i="14"/>
  <c r="Y208" i="14"/>
  <c r="W209" i="14"/>
  <c r="X209" i="14"/>
  <c r="Y209" i="14"/>
  <c r="W211" i="14"/>
  <c r="X211" i="14"/>
  <c r="Y211" i="14"/>
  <c r="W212" i="14"/>
  <c r="X212" i="14"/>
  <c r="Y212" i="14"/>
  <c r="W214" i="14"/>
  <c r="X214" i="14"/>
  <c r="Y214" i="14"/>
  <c r="W215" i="14"/>
  <c r="X215" i="14"/>
  <c r="Y215" i="14"/>
  <c r="W216" i="14"/>
  <c r="X216" i="14"/>
  <c r="Y216" i="14"/>
  <c r="L112" i="14"/>
  <c r="L68" i="14"/>
  <c r="L9" i="14"/>
  <c r="L3" i="14" s="1"/>
  <c r="D11" i="8"/>
  <c r="H33" i="7"/>
  <c r="C40" i="7"/>
  <c r="C38" i="7"/>
  <c r="C28" i="7"/>
  <c r="C42" i="7" s="1"/>
  <c r="C45" i="7" s="1"/>
  <c r="C23" i="7"/>
  <c r="C17" i="7"/>
  <c r="C13" i="7"/>
  <c r="C7" i="7"/>
  <c r="C20" i="7" s="1"/>
  <c r="C24" i="7" s="1"/>
  <c r="G31" i="7"/>
  <c r="C45" i="8"/>
  <c r="K204" i="14"/>
  <c r="D204" i="14"/>
  <c r="C204" i="14"/>
  <c r="J200" i="14"/>
  <c r="H200" i="14"/>
  <c r="F200" i="14"/>
  <c r="O192" i="14"/>
  <c r="Q190" i="14"/>
  <c r="P190" i="14"/>
  <c r="L190" i="14"/>
  <c r="L187" i="14" s="1"/>
  <c r="L204" i="14" s="1"/>
  <c r="K190" i="14"/>
  <c r="J190" i="14"/>
  <c r="I190" i="14"/>
  <c r="O190" i="14" s="1"/>
  <c r="H190" i="14"/>
  <c r="H187" i="14" s="1"/>
  <c r="H204" i="14" s="1"/>
  <c r="G190" i="14"/>
  <c r="F190" i="14"/>
  <c r="O189" i="14"/>
  <c r="O188" i="14"/>
  <c r="P187" i="14"/>
  <c r="N187" i="14"/>
  <c r="N204" i="14" s="1"/>
  <c r="K187" i="14"/>
  <c r="W187" i="14" s="1"/>
  <c r="J187" i="14"/>
  <c r="J204" i="14" s="1"/>
  <c r="I187" i="14"/>
  <c r="G187" i="14"/>
  <c r="T187" i="14" s="1"/>
  <c r="E187" i="14"/>
  <c r="D187" i="14"/>
  <c r="C187" i="14"/>
  <c r="Q186" i="14"/>
  <c r="P186" i="14"/>
  <c r="O186" i="14"/>
  <c r="O185" i="14"/>
  <c r="L184" i="14"/>
  <c r="K184" i="14"/>
  <c r="J184" i="14"/>
  <c r="I184" i="14"/>
  <c r="O184" i="14" s="1"/>
  <c r="H184" i="14"/>
  <c r="G184" i="14"/>
  <c r="F184" i="14"/>
  <c r="Q183" i="14"/>
  <c r="P183" i="14"/>
  <c r="L182" i="14"/>
  <c r="K182" i="14"/>
  <c r="J182" i="14"/>
  <c r="I182" i="14"/>
  <c r="O182" i="14" s="1"/>
  <c r="H182" i="14"/>
  <c r="G182" i="14"/>
  <c r="F182" i="14"/>
  <c r="E182" i="14"/>
  <c r="D182" i="14"/>
  <c r="C182" i="14"/>
  <c r="L181" i="14"/>
  <c r="K181" i="14"/>
  <c r="J181" i="14"/>
  <c r="I181" i="14"/>
  <c r="O181" i="14" s="1"/>
  <c r="H181" i="14"/>
  <c r="G181" i="14"/>
  <c r="F181" i="14"/>
  <c r="E181" i="14"/>
  <c r="D181" i="14"/>
  <c r="C181" i="14"/>
  <c r="C174" i="14" s="1"/>
  <c r="C203" i="14" s="1"/>
  <c r="Q180" i="14"/>
  <c r="L180" i="14"/>
  <c r="K180" i="14"/>
  <c r="J180" i="14"/>
  <c r="I180" i="14"/>
  <c r="O180" i="14" s="1"/>
  <c r="H180" i="14"/>
  <c r="H174" i="14" s="1"/>
  <c r="G180" i="14"/>
  <c r="F180" i="14"/>
  <c r="E180" i="14"/>
  <c r="O179" i="14"/>
  <c r="E179" i="14"/>
  <c r="O178" i="14"/>
  <c r="L177" i="14"/>
  <c r="K177" i="14"/>
  <c r="K174" i="14" s="1"/>
  <c r="J177" i="14"/>
  <c r="I177" i="14"/>
  <c r="O177" i="14" s="1"/>
  <c r="H177" i="14"/>
  <c r="G177" i="14"/>
  <c r="G174" i="14" s="1"/>
  <c r="F177" i="14"/>
  <c r="F174" i="14" s="1"/>
  <c r="F203" i="14" s="1"/>
  <c r="E177" i="14"/>
  <c r="O176" i="14"/>
  <c r="L175" i="14"/>
  <c r="K175" i="14"/>
  <c r="J175" i="14"/>
  <c r="I175" i="14"/>
  <c r="I174" i="14" s="1"/>
  <c r="H175" i="14"/>
  <c r="G175" i="14"/>
  <c r="F175" i="14"/>
  <c r="E175" i="14"/>
  <c r="D175" i="14"/>
  <c r="C175" i="14"/>
  <c r="V174" i="14"/>
  <c r="N174" i="14"/>
  <c r="N203" i="14" s="1"/>
  <c r="N205" i="14" s="1"/>
  <c r="J174" i="14"/>
  <c r="J203" i="14" s="1"/>
  <c r="E174" i="14"/>
  <c r="D174" i="14"/>
  <c r="L169" i="14"/>
  <c r="K169" i="14"/>
  <c r="J169" i="14"/>
  <c r="I169" i="14"/>
  <c r="O169" i="14" s="1"/>
  <c r="H169" i="14"/>
  <c r="L168" i="14"/>
  <c r="K168" i="14"/>
  <c r="J168" i="14"/>
  <c r="I168" i="14"/>
  <c r="O168" i="14" s="1"/>
  <c r="H168" i="14"/>
  <c r="G168" i="14"/>
  <c r="F168" i="14"/>
  <c r="O167" i="14"/>
  <c r="O166" i="14"/>
  <c r="L166" i="14"/>
  <c r="K166" i="14"/>
  <c r="L165" i="14"/>
  <c r="K165" i="14"/>
  <c r="J165" i="14"/>
  <c r="I165" i="14"/>
  <c r="O165" i="14" s="1"/>
  <c r="H165" i="14"/>
  <c r="G165" i="14"/>
  <c r="F165" i="14"/>
  <c r="O164" i="14"/>
  <c r="O163" i="14"/>
  <c r="L163" i="14"/>
  <c r="K163" i="14"/>
  <c r="L162" i="14"/>
  <c r="K162" i="14"/>
  <c r="J162" i="14"/>
  <c r="I162" i="14"/>
  <c r="O162" i="14" s="1"/>
  <c r="H162" i="14"/>
  <c r="G162" i="14"/>
  <c r="F162" i="14"/>
  <c r="O161" i="14"/>
  <c r="L161" i="14"/>
  <c r="K161" i="14"/>
  <c r="L160" i="14"/>
  <c r="L155" i="14" s="1"/>
  <c r="L201" i="14" s="1"/>
  <c r="K160" i="14"/>
  <c r="J160" i="14"/>
  <c r="I160" i="14"/>
  <c r="O160" i="14" s="1"/>
  <c r="H160" i="14"/>
  <c r="H155" i="14" s="1"/>
  <c r="G160" i="14"/>
  <c r="F160" i="14"/>
  <c r="O159" i="14"/>
  <c r="L158" i="14"/>
  <c r="K158" i="14"/>
  <c r="J158" i="14"/>
  <c r="I158" i="14"/>
  <c r="O158" i="14" s="1"/>
  <c r="H158" i="14"/>
  <c r="G158" i="14"/>
  <c r="F158" i="14"/>
  <c r="L157" i="14"/>
  <c r="K157" i="14"/>
  <c r="J157" i="14"/>
  <c r="I157" i="14"/>
  <c r="O157" i="14" s="1"/>
  <c r="H157" i="14"/>
  <c r="G157" i="14"/>
  <c r="F157" i="14"/>
  <c r="O156" i="14"/>
  <c r="P155" i="14"/>
  <c r="N155" i="14"/>
  <c r="I155" i="14"/>
  <c r="E155" i="14"/>
  <c r="D155" i="14"/>
  <c r="D201" i="14" s="1"/>
  <c r="C155" i="14"/>
  <c r="C201" i="14" s="1"/>
  <c r="W154" i="14"/>
  <c r="V154" i="14"/>
  <c r="U154" i="14"/>
  <c r="T154" i="14"/>
  <c r="S154" i="14"/>
  <c r="R154" i="14"/>
  <c r="Q154" i="14"/>
  <c r="P154" i="14"/>
  <c r="O154" i="14"/>
  <c r="O153" i="14"/>
  <c r="O152" i="14"/>
  <c r="O151" i="14"/>
  <c r="O150" i="14"/>
  <c r="W149" i="14"/>
  <c r="V149" i="14"/>
  <c r="U149" i="14"/>
  <c r="T149" i="14"/>
  <c r="S149" i="14"/>
  <c r="R149" i="14"/>
  <c r="Q149" i="14"/>
  <c r="P149" i="14"/>
  <c r="O149" i="14"/>
  <c r="L149" i="14"/>
  <c r="L147" i="14" s="1"/>
  <c r="L200" i="14" s="1"/>
  <c r="K149" i="14"/>
  <c r="Q147" i="14"/>
  <c r="P147" i="14"/>
  <c r="N147" i="14"/>
  <c r="K147" i="14"/>
  <c r="J147" i="14"/>
  <c r="I147" i="14"/>
  <c r="I200" i="14" s="1"/>
  <c r="H147" i="14"/>
  <c r="G147" i="14"/>
  <c r="F147" i="14"/>
  <c r="E147" i="14"/>
  <c r="D147" i="14"/>
  <c r="D200" i="14" s="1"/>
  <c r="C147" i="14"/>
  <c r="C200" i="14" s="1"/>
  <c r="C202" i="14" s="1"/>
  <c r="T140" i="14"/>
  <c r="P140" i="14"/>
  <c r="G140" i="14"/>
  <c r="E140" i="14"/>
  <c r="Q140" i="14" s="1"/>
  <c r="C140" i="14"/>
  <c r="T139" i="14"/>
  <c r="O139" i="14"/>
  <c r="N139" i="14"/>
  <c r="N140" i="14" s="1"/>
  <c r="L139" i="14"/>
  <c r="K139" i="14"/>
  <c r="K140" i="14" s="1"/>
  <c r="J139" i="14"/>
  <c r="I139" i="14"/>
  <c r="U139" i="14" s="1"/>
  <c r="H139" i="14"/>
  <c r="G139" i="14"/>
  <c r="F139" i="14"/>
  <c r="E139" i="14"/>
  <c r="Q139" i="14" s="1"/>
  <c r="D139" i="14"/>
  <c r="C139" i="14"/>
  <c r="P139" i="14" s="1"/>
  <c r="W138" i="14"/>
  <c r="V138" i="14"/>
  <c r="U138" i="14"/>
  <c r="T138" i="14"/>
  <c r="S138" i="14"/>
  <c r="R138" i="14"/>
  <c r="Q138" i="14"/>
  <c r="P138" i="14"/>
  <c r="W137" i="14"/>
  <c r="T137" i="14"/>
  <c r="R137" i="14"/>
  <c r="P137" i="14"/>
  <c r="L137" i="14"/>
  <c r="L140" i="14" s="1"/>
  <c r="K137" i="14"/>
  <c r="J137" i="14"/>
  <c r="V137" i="14" s="1"/>
  <c r="I137" i="14"/>
  <c r="U137" i="14" s="1"/>
  <c r="H137" i="14"/>
  <c r="H140" i="14" s="1"/>
  <c r="G137" i="14"/>
  <c r="F137" i="14"/>
  <c r="F140" i="14" s="1"/>
  <c r="R140" i="14" s="1"/>
  <c r="E137" i="14"/>
  <c r="Q137" i="14" s="1"/>
  <c r="D137" i="14"/>
  <c r="D140" i="14" s="1"/>
  <c r="C137" i="14"/>
  <c r="W135" i="14"/>
  <c r="V135" i="14"/>
  <c r="R135" i="14"/>
  <c r="O135" i="14"/>
  <c r="N135" i="14"/>
  <c r="L135" i="14"/>
  <c r="K135" i="14"/>
  <c r="J135" i="14"/>
  <c r="I135" i="14"/>
  <c r="H135" i="14"/>
  <c r="G135" i="14"/>
  <c r="F135" i="14"/>
  <c r="S135" i="14" s="1"/>
  <c r="E135" i="14"/>
  <c r="D135" i="14"/>
  <c r="C135" i="14"/>
  <c r="W134" i="14"/>
  <c r="V134" i="14"/>
  <c r="U134" i="14"/>
  <c r="T134" i="14"/>
  <c r="S134" i="14"/>
  <c r="R134" i="14"/>
  <c r="Q134" i="14"/>
  <c r="P134" i="14"/>
  <c r="O134" i="14"/>
  <c r="V132" i="14"/>
  <c r="O132" i="14"/>
  <c r="N132" i="14"/>
  <c r="L132" i="14"/>
  <c r="K132" i="14"/>
  <c r="W132" i="14" s="1"/>
  <c r="J132" i="14"/>
  <c r="I132" i="14"/>
  <c r="U132" i="14" s="1"/>
  <c r="H132" i="14"/>
  <c r="G132" i="14"/>
  <c r="F132" i="14"/>
  <c r="R132" i="14" s="1"/>
  <c r="E132" i="14"/>
  <c r="Q132" i="14" s="1"/>
  <c r="D132" i="14"/>
  <c r="C132" i="14"/>
  <c r="P132" i="14" s="1"/>
  <c r="N131" i="14"/>
  <c r="D131" i="14"/>
  <c r="C131" i="14"/>
  <c r="G130" i="14"/>
  <c r="O129" i="14"/>
  <c r="O128" i="14"/>
  <c r="L127" i="14"/>
  <c r="L124" i="14" s="1"/>
  <c r="K127" i="14"/>
  <c r="J127" i="14"/>
  <c r="I127" i="14"/>
  <c r="O127" i="14" s="1"/>
  <c r="H127" i="14"/>
  <c r="H124" i="14" s="1"/>
  <c r="L126" i="14"/>
  <c r="K126" i="14"/>
  <c r="J126" i="14"/>
  <c r="I126" i="14"/>
  <c r="O126" i="14" s="1"/>
  <c r="H126" i="14"/>
  <c r="G126" i="14"/>
  <c r="F126" i="14"/>
  <c r="E126" i="14"/>
  <c r="L125" i="14"/>
  <c r="K125" i="14"/>
  <c r="K124" i="14" s="1"/>
  <c r="J125" i="14"/>
  <c r="J124" i="14" s="1"/>
  <c r="I125" i="14"/>
  <c r="O125" i="14" s="1"/>
  <c r="H125" i="14"/>
  <c r="G125" i="14"/>
  <c r="G124" i="14" s="1"/>
  <c r="F125" i="14"/>
  <c r="F124" i="14" s="1"/>
  <c r="E125" i="14"/>
  <c r="N124" i="14"/>
  <c r="I124" i="14"/>
  <c r="E124" i="14"/>
  <c r="D124" i="14"/>
  <c r="C124" i="14"/>
  <c r="O123" i="14"/>
  <c r="L122" i="14"/>
  <c r="K122" i="14"/>
  <c r="J122" i="14"/>
  <c r="I122" i="14"/>
  <c r="O122" i="14" s="1"/>
  <c r="H122" i="14"/>
  <c r="G122" i="14"/>
  <c r="L121" i="14"/>
  <c r="K121" i="14"/>
  <c r="J121" i="14"/>
  <c r="I121" i="14"/>
  <c r="O121" i="14" s="1"/>
  <c r="H121" i="14"/>
  <c r="G121" i="14"/>
  <c r="F121" i="14"/>
  <c r="E121" i="14"/>
  <c r="D121" i="14"/>
  <c r="C121" i="14"/>
  <c r="P121" i="14" s="1"/>
  <c r="L120" i="14"/>
  <c r="K120" i="14"/>
  <c r="J120" i="14"/>
  <c r="I120" i="14"/>
  <c r="O120" i="14" s="1"/>
  <c r="H120" i="14"/>
  <c r="L119" i="14"/>
  <c r="K119" i="14"/>
  <c r="J119" i="14"/>
  <c r="J116" i="14" s="1"/>
  <c r="I119" i="14"/>
  <c r="O119" i="14" s="1"/>
  <c r="H119" i="14"/>
  <c r="O118" i="14"/>
  <c r="L117" i="14"/>
  <c r="K117" i="14"/>
  <c r="J117" i="14"/>
  <c r="I117" i="14"/>
  <c r="I116" i="14" s="1"/>
  <c r="O116" i="14" s="1"/>
  <c r="H117" i="14"/>
  <c r="G117" i="14"/>
  <c r="F117" i="14"/>
  <c r="E117" i="14"/>
  <c r="E116" i="14" s="1"/>
  <c r="D117" i="14"/>
  <c r="N116" i="14"/>
  <c r="L116" i="14"/>
  <c r="K116" i="14"/>
  <c r="H116" i="14"/>
  <c r="G116" i="14"/>
  <c r="F116" i="14"/>
  <c r="D116" i="14"/>
  <c r="C116" i="14"/>
  <c r="O115" i="14"/>
  <c r="L115" i="14"/>
  <c r="K115" i="14"/>
  <c r="L114" i="14"/>
  <c r="K114" i="14"/>
  <c r="J114" i="14"/>
  <c r="I114" i="14"/>
  <c r="O114" i="14" s="1"/>
  <c r="H114" i="14"/>
  <c r="G114" i="14"/>
  <c r="F114" i="14"/>
  <c r="E114" i="14"/>
  <c r="D114" i="14"/>
  <c r="L113" i="14"/>
  <c r="L110" i="14" s="1"/>
  <c r="K113" i="14"/>
  <c r="J113" i="14"/>
  <c r="I113" i="14"/>
  <c r="O113" i="14" s="1"/>
  <c r="H113" i="14"/>
  <c r="H110" i="14" s="1"/>
  <c r="K112" i="14"/>
  <c r="J112" i="14"/>
  <c r="I112" i="14"/>
  <c r="O112" i="14" s="1"/>
  <c r="H112" i="14"/>
  <c r="G112" i="14"/>
  <c r="F112" i="14"/>
  <c r="L111" i="14"/>
  <c r="K111" i="14"/>
  <c r="J111" i="14"/>
  <c r="J110" i="14" s="1"/>
  <c r="I111" i="14"/>
  <c r="O111" i="14" s="1"/>
  <c r="H111" i="14"/>
  <c r="G111" i="14"/>
  <c r="F111" i="14"/>
  <c r="F110" i="14" s="1"/>
  <c r="E111" i="14"/>
  <c r="D111" i="14"/>
  <c r="C111" i="14"/>
  <c r="O110" i="14"/>
  <c r="N110" i="14"/>
  <c r="I110" i="14"/>
  <c r="G110" i="14"/>
  <c r="E110" i="14"/>
  <c r="D110" i="14"/>
  <c r="C110" i="14"/>
  <c r="L108" i="14"/>
  <c r="K108" i="14"/>
  <c r="J108" i="14"/>
  <c r="I108" i="14"/>
  <c r="O108" i="14" s="1"/>
  <c r="O107" i="14"/>
  <c r="O106" i="14"/>
  <c r="N105" i="14"/>
  <c r="L105" i="14"/>
  <c r="K105" i="14"/>
  <c r="J105" i="14"/>
  <c r="I105" i="14"/>
  <c r="H105" i="14"/>
  <c r="G105" i="14"/>
  <c r="F105" i="14"/>
  <c r="E105" i="14"/>
  <c r="D105" i="14"/>
  <c r="C105" i="14"/>
  <c r="L104" i="14"/>
  <c r="K104" i="14"/>
  <c r="J104" i="14"/>
  <c r="I104" i="14"/>
  <c r="O104" i="14" s="1"/>
  <c r="H104" i="14"/>
  <c r="G104" i="14"/>
  <c r="F104" i="14"/>
  <c r="L103" i="14"/>
  <c r="K103" i="14"/>
  <c r="J103" i="14"/>
  <c r="I103" i="14"/>
  <c r="O103" i="14" s="1"/>
  <c r="H103" i="14"/>
  <c r="G103" i="14"/>
  <c r="F103" i="14"/>
  <c r="L102" i="14"/>
  <c r="L101" i="14" s="1"/>
  <c r="K102" i="14"/>
  <c r="J102" i="14"/>
  <c r="J101" i="14" s="1"/>
  <c r="I102" i="14"/>
  <c r="O102" i="14" s="1"/>
  <c r="H102" i="14"/>
  <c r="H101" i="14" s="1"/>
  <c r="G102" i="14"/>
  <c r="F102" i="14"/>
  <c r="F101" i="14" s="1"/>
  <c r="N101" i="14"/>
  <c r="O101" i="14" s="1"/>
  <c r="K101" i="14"/>
  <c r="I101" i="14"/>
  <c r="G101" i="14"/>
  <c r="E101" i="14"/>
  <c r="D101" i="14"/>
  <c r="C101" i="14"/>
  <c r="O100" i="14"/>
  <c r="O99" i="14"/>
  <c r="L98" i="14"/>
  <c r="K98" i="14"/>
  <c r="J98" i="14"/>
  <c r="I98" i="14"/>
  <c r="O98" i="14" s="1"/>
  <c r="H98" i="14"/>
  <c r="G98" i="14"/>
  <c r="F98" i="14"/>
  <c r="L97" i="14"/>
  <c r="K97" i="14"/>
  <c r="J97" i="14"/>
  <c r="I97" i="14"/>
  <c r="O97" i="14" s="1"/>
  <c r="H97" i="14"/>
  <c r="G97" i="14"/>
  <c r="O96" i="14"/>
  <c r="N96" i="14"/>
  <c r="L96" i="14"/>
  <c r="K96" i="14"/>
  <c r="J96" i="14"/>
  <c r="I96" i="14"/>
  <c r="H96" i="14"/>
  <c r="G96" i="14"/>
  <c r="F96" i="14"/>
  <c r="E96" i="14"/>
  <c r="D96" i="14"/>
  <c r="C96" i="14"/>
  <c r="O95" i="14"/>
  <c r="L94" i="14"/>
  <c r="L92" i="14" s="1"/>
  <c r="K94" i="14"/>
  <c r="J94" i="14"/>
  <c r="J92" i="14" s="1"/>
  <c r="I94" i="14"/>
  <c r="O94" i="14" s="1"/>
  <c r="H94" i="14"/>
  <c r="H92" i="14" s="1"/>
  <c r="G94" i="14"/>
  <c r="F94" i="14"/>
  <c r="F92" i="14" s="1"/>
  <c r="E94" i="14"/>
  <c r="O93" i="14"/>
  <c r="L93" i="14"/>
  <c r="K93" i="14"/>
  <c r="K92" i="14" s="1"/>
  <c r="N92" i="14"/>
  <c r="O92" i="14" s="1"/>
  <c r="I92" i="14"/>
  <c r="G92" i="14"/>
  <c r="E92" i="14"/>
  <c r="D92" i="14"/>
  <c r="C92" i="14"/>
  <c r="L91" i="14"/>
  <c r="K91" i="14"/>
  <c r="J91" i="14"/>
  <c r="I91" i="14"/>
  <c r="O91" i="14" s="1"/>
  <c r="H91" i="14"/>
  <c r="G91" i="14"/>
  <c r="F91" i="14"/>
  <c r="L90" i="14"/>
  <c r="L89" i="14" s="1"/>
  <c r="K90" i="14"/>
  <c r="J90" i="14"/>
  <c r="J89" i="14" s="1"/>
  <c r="I90" i="14"/>
  <c r="O90" i="14" s="1"/>
  <c r="H90" i="14"/>
  <c r="H89" i="14" s="1"/>
  <c r="G90" i="14"/>
  <c r="F90" i="14"/>
  <c r="F89" i="14" s="1"/>
  <c r="N89" i="14"/>
  <c r="O89" i="14" s="1"/>
  <c r="K89" i="14"/>
  <c r="I89" i="14"/>
  <c r="G89" i="14"/>
  <c r="E89" i="14"/>
  <c r="D89" i="14"/>
  <c r="C89" i="14"/>
  <c r="C130" i="14" s="1"/>
  <c r="L88" i="14"/>
  <c r="L87" i="14" s="1"/>
  <c r="K88" i="14"/>
  <c r="J88" i="14"/>
  <c r="J87" i="14" s="1"/>
  <c r="I88" i="14"/>
  <c r="O88" i="14" s="1"/>
  <c r="H88" i="14"/>
  <c r="H87" i="14" s="1"/>
  <c r="N87" i="14"/>
  <c r="K87" i="14"/>
  <c r="I87" i="14"/>
  <c r="G87" i="14"/>
  <c r="F87" i="14"/>
  <c r="E87" i="14"/>
  <c r="D87" i="14"/>
  <c r="C87" i="14"/>
  <c r="L86" i="14"/>
  <c r="K86" i="14"/>
  <c r="J86" i="14"/>
  <c r="I86" i="14"/>
  <c r="O86" i="14" s="1"/>
  <c r="H86" i="14"/>
  <c r="G86" i="14"/>
  <c r="F86" i="14"/>
  <c r="E86" i="14"/>
  <c r="D86" i="14"/>
  <c r="L85" i="14"/>
  <c r="K85" i="14"/>
  <c r="J85" i="14"/>
  <c r="J81" i="14" s="1"/>
  <c r="I85" i="14"/>
  <c r="O85" i="14" s="1"/>
  <c r="H85" i="14"/>
  <c r="G85" i="14"/>
  <c r="F85" i="14"/>
  <c r="F81" i="14" s="1"/>
  <c r="E85" i="14"/>
  <c r="D85" i="14"/>
  <c r="L84" i="14"/>
  <c r="K84" i="14"/>
  <c r="J84" i="14"/>
  <c r="I84" i="14"/>
  <c r="O84" i="14" s="1"/>
  <c r="H84" i="14"/>
  <c r="G84" i="14"/>
  <c r="F84" i="14"/>
  <c r="L83" i="14"/>
  <c r="L81" i="14" s="1"/>
  <c r="L130" i="14" s="1"/>
  <c r="K83" i="14"/>
  <c r="J83" i="14"/>
  <c r="I83" i="14"/>
  <c r="O83" i="14" s="1"/>
  <c r="H83" i="14"/>
  <c r="H81" i="14" s="1"/>
  <c r="H130" i="14" s="1"/>
  <c r="G83" i="14"/>
  <c r="F83" i="14"/>
  <c r="E83" i="14"/>
  <c r="D83" i="14"/>
  <c r="D81" i="14" s="1"/>
  <c r="D130" i="14" s="1"/>
  <c r="C83" i="14"/>
  <c r="L82" i="14"/>
  <c r="K82" i="14"/>
  <c r="K81" i="14" s="1"/>
  <c r="J82" i="14"/>
  <c r="I82" i="14"/>
  <c r="O82" i="14" s="1"/>
  <c r="H82" i="14"/>
  <c r="G82" i="14"/>
  <c r="G81" i="14" s="1"/>
  <c r="F82" i="14"/>
  <c r="N81" i="14"/>
  <c r="E81" i="14"/>
  <c r="E130" i="14" s="1"/>
  <c r="C81" i="14"/>
  <c r="L75" i="14"/>
  <c r="H75" i="14"/>
  <c r="F75" i="14"/>
  <c r="D75" i="14"/>
  <c r="U74" i="14"/>
  <c r="S74" i="14"/>
  <c r="Q74" i="14"/>
  <c r="O74" i="14"/>
  <c r="N74" i="14"/>
  <c r="L74" i="14"/>
  <c r="K74" i="14"/>
  <c r="J74" i="14"/>
  <c r="V74" i="14" s="1"/>
  <c r="I74" i="14"/>
  <c r="H74" i="14"/>
  <c r="T74" i="14" s="1"/>
  <c r="G74" i="14"/>
  <c r="F74" i="14"/>
  <c r="R74" i="14" s="1"/>
  <c r="E74" i="14"/>
  <c r="D74" i="14"/>
  <c r="P74" i="14" s="1"/>
  <c r="C74" i="14"/>
  <c r="W73" i="14"/>
  <c r="V73" i="14"/>
  <c r="U73" i="14"/>
  <c r="T73" i="14"/>
  <c r="S73" i="14"/>
  <c r="R73" i="14"/>
  <c r="Q73" i="14"/>
  <c r="P73" i="14"/>
  <c r="O73" i="14"/>
  <c r="N72" i="14"/>
  <c r="L72" i="14"/>
  <c r="K72" i="14"/>
  <c r="J72" i="14"/>
  <c r="I72" i="14"/>
  <c r="H72" i="14"/>
  <c r="G72" i="14"/>
  <c r="F72" i="14"/>
  <c r="E72" i="14"/>
  <c r="D72" i="14"/>
  <c r="C72" i="14"/>
  <c r="C75" i="14" s="1"/>
  <c r="W71" i="14"/>
  <c r="V71" i="14"/>
  <c r="U71" i="14"/>
  <c r="T71" i="14"/>
  <c r="S71" i="14"/>
  <c r="R71" i="14"/>
  <c r="Q71" i="14"/>
  <c r="P71" i="14"/>
  <c r="O71" i="14"/>
  <c r="W70" i="14"/>
  <c r="V70" i="14"/>
  <c r="U70" i="14"/>
  <c r="T70" i="14"/>
  <c r="S70" i="14"/>
  <c r="R70" i="14"/>
  <c r="Q70" i="14"/>
  <c r="P70" i="14"/>
  <c r="O70" i="14"/>
  <c r="L131" i="14"/>
  <c r="K68" i="14"/>
  <c r="K131" i="14" s="1"/>
  <c r="J68" i="14"/>
  <c r="J131" i="14" s="1"/>
  <c r="I68" i="14"/>
  <c r="H68" i="14"/>
  <c r="H131" i="14" s="1"/>
  <c r="G68" i="14"/>
  <c r="G131" i="14" s="1"/>
  <c r="F68" i="14"/>
  <c r="F131" i="14" s="1"/>
  <c r="E68" i="14"/>
  <c r="E131" i="14" s="1"/>
  <c r="Q66" i="14"/>
  <c r="L66" i="14"/>
  <c r="K66" i="14"/>
  <c r="J66" i="14"/>
  <c r="I66" i="14"/>
  <c r="O66" i="14" s="1"/>
  <c r="H66" i="14"/>
  <c r="G66" i="14"/>
  <c r="O65" i="14"/>
  <c r="Q64" i="14"/>
  <c r="O64" i="14"/>
  <c r="L63" i="14"/>
  <c r="K63" i="14"/>
  <c r="J63" i="14"/>
  <c r="I63" i="14"/>
  <c r="O63" i="14" s="1"/>
  <c r="H63" i="14"/>
  <c r="G63" i="14"/>
  <c r="F63" i="14"/>
  <c r="E63" i="14"/>
  <c r="D63" i="14"/>
  <c r="O62" i="14"/>
  <c r="L61" i="14"/>
  <c r="K61" i="14"/>
  <c r="J61" i="14"/>
  <c r="I61" i="14"/>
  <c r="O61" i="14" s="1"/>
  <c r="H61" i="14"/>
  <c r="G61" i="14"/>
  <c r="F61" i="14"/>
  <c r="E61" i="14"/>
  <c r="D61" i="14"/>
  <c r="L60" i="14"/>
  <c r="K60" i="14"/>
  <c r="J60" i="14"/>
  <c r="I60" i="14"/>
  <c r="I42" i="14" s="1"/>
  <c r="H60" i="14"/>
  <c r="G60" i="14"/>
  <c r="F60" i="14"/>
  <c r="E60" i="14"/>
  <c r="D60" i="14"/>
  <c r="L59" i="14"/>
  <c r="K59" i="14"/>
  <c r="J59" i="14"/>
  <c r="I59" i="14"/>
  <c r="O59" i="14" s="1"/>
  <c r="H59" i="14"/>
  <c r="G59" i="14"/>
  <c r="F59" i="14"/>
  <c r="E59" i="14"/>
  <c r="L58" i="14"/>
  <c r="K58" i="14"/>
  <c r="J58" i="14"/>
  <c r="I58" i="14"/>
  <c r="O58" i="14" s="1"/>
  <c r="H58" i="14"/>
  <c r="G58" i="14"/>
  <c r="F58" i="14"/>
  <c r="E58" i="14"/>
  <c r="D58" i="14"/>
  <c r="O57" i="14"/>
  <c r="L55" i="14"/>
  <c r="K55" i="14"/>
  <c r="J55" i="14"/>
  <c r="I55" i="14"/>
  <c r="O55" i="14" s="1"/>
  <c r="H55" i="14"/>
  <c r="G55" i="14"/>
  <c r="F55" i="14"/>
  <c r="E55" i="14"/>
  <c r="D55" i="14"/>
  <c r="C55" i="14"/>
  <c r="L54" i="14"/>
  <c r="K54" i="14"/>
  <c r="J54" i="14"/>
  <c r="I54" i="14"/>
  <c r="O54" i="14" s="1"/>
  <c r="H54" i="14"/>
  <c r="G54" i="14"/>
  <c r="O53" i="14"/>
  <c r="O52" i="14"/>
  <c r="L51" i="14"/>
  <c r="K51" i="14"/>
  <c r="J51" i="14"/>
  <c r="I51" i="14"/>
  <c r="O51" i="14" s="1"/>
  <c r="H51" i="14"/>
  <c r="G51" i="14"/>
  <c r="F51" i="14"/>
  <c r="E51" i="14"/>
  <c r="D51" i="14"/>
  <c r="O50" i="14"/>
  <c r="O49" i="14"/>
  <c r="L48" i="14"/>
  <c r="K48" i="14"/>
  <c r="J48" i="14"/>
  <c r="I48" i="14"/>
  <c r="P64" i="14" s="1"/>
  <c r="O47" i="14"/>
  <c r="L47" i="14"/>
  <c r="K47" i="14"/>
  <c r="J47" i="14"/>
  <c r="L46" i="14"/>
  <c r="L42" i="14" s="1"/>
  <c r="K46" i="14"/>
  <c r="J46" i="14"/>
  <c r="J42" i="14" s="1"/>
  <c r="I46" i="14"/>
  <c r="O46" i="14" s="1"/>
  <c r="H46" i="14"/>
  <c r="H42" i="14" s="1"/>
  <c r="G46" i="14"/>
  <c r="F46" i="14"/>
  <c r="F42" i="14" s="1"/>
  <c r="E46" i="14"/>
  <c r="D46" i="14"/>
  <c r="D42" i="14" s="1"/>
  <c r="C46" i="14"/>
  <c r="O45" i="14"/>
  <c r="O44" i="14"/>
  <c r="E44" i="14"/>
  <c r="E42" i="14" s="1"/>
  <c r="N42" i="14"/>
  <c r="K42" i="14"/>
  <c r="G42" i="14"/>
  <c r="C42" i="14"/>
  <c r="O41" i="14"/>
  <c r="Q40" i="14"/>
  <c r="P40" i="14"/>
  <c r="L40" i="14"/>
  <c r="L34" i="14" s="1"/>
  <c r="K40" i="14"/>
  <c r="J40" i="14"/>
  <c r="I40" i="14"/>
  <c r="I34" i="14" s="1"/>
  <c r="H40" i="14"/>
  <c r="H34" i="14" s="1"/>
  <c r="G40" i="14"/>
  <c r="F40" i="14"/>
  <c r="O39" i="14"/>
  <c r="O38" i="14"/>
  <c r="O37" i="14"/>
  <c r="O36" i="14"/>
  <c r="O35" i="14"/>
  <c r="N34" i="14"/>
  <c r="K34" i="14"/>
  <c r="J34" i="14"/>
  <c r="G34" i="14"/>
  <c r="F34" i="14"/>
  <c r="E34" i="14"/>
  <c r="D34" i="14"/>
  <c r="C34" i="14"/>
  <c r="O33" i="14"/>
  <c r="O32" i="14"/>
  <c r="N32" i="14"/>
  <c r="L32" i="14"/>
  <c r="K32" i="14"/>
  <c r="J32" i="14"/>
  <c r="I32" i="14"/>
  <c r="H32" i="14"/>
  <c r="G32" i="14"/>
  <c r="F32" i="14"/>
  <c r="E32" i="14"/>
  <c r="D32" i="14"/>
  <c r="D69" i="14" s="1"/>
  <c r="C32" i="14"/>
  <c r="Q31" i="14"/>
  <c r="O31" i="14"/>
  <c r="O30" i="14"/>
  <c r="O29" i="14"/>
  <c r="O28" i="14"/>
  <c r="O27" i="14"/>
  <c r="O26" i="14"/>
  <c r="O25" i="14"/>
  <c r="O24" i="14"/>
  <c r="O23" i="14"/>
  <c r="L22" i="14"/>
  <c r="K22" i="14"/>
  <c r="J22" i="14"/>
  <c r="I22" i="14"/>
  <c r="O22" i="14" s="1"/>
  <c r="H22" i="14"/>
  <c r="G22" i="14"/>
  <c r="F22" i="14"/>
  <c r="O21" i="14"/>
  <c r="L20" i="14"/>
  <c r="K20" i="14"/>
  <c r="J20" i="14"/>
  <c r="I20" i="14"/>
  <c r="O20" i="14" s="1"/>
  <c r="H20" i="14"/>
  <c r="G20" i="14"/>
  <c r="F20" i="14"/>
  <c r="E20" i="14"/>
  <c r="E11" i="14" s="1"/>
  <c r="D20" i="14"/>
  <c r="C20" i="14"/>
  <c r="C11" i="14" s="1"/>
  <c r="O19" i="14"/>
  <c r="O18" i="14"/>
  <c r="O17" i="14"/>
  <c r="Q16" i="14"/>
  <c r="O15" i="14"/>
  <c r="L14" i="14"/>
  <c r="L11" i="14" s="1"/>
  <c r="K14" i="14"/>
  <c r="J14" i="14"/>
  <c r="I14" i="14"/>
  <c r="O14" i="14" s="1"/>
  <c r="H14" i="14"/>
  <c r="H11" i="14" s="1"/>
  <c r="G14" i="14"/>
  <c r="F14" i="14"/>
  <c r="O13" i="14"/>
  <c r="L12" i="14"/>
  <c r="K12" i="14"/>
  <c r="K11" i="14" s="1"/>
  <c r="J12" i="14"/>
  <c r="I12" i="14"/>
  <c r="P16" i="14" s="1"/>
  <c r="H12" i="14"/>
  <c r="G12" i="14"/>
  <c r="G11" i="14" s="1"/>
  <c r="F12" i="14"/>
  <c r="N11" i="14"/>
  <c r="J11" i="14"/>
  <c r="F11" i="14"/>
  <c r="D11" i="14"/>
  <c r="O10" i="14"/>
  <c r="O9" i="14"/>
  <c r="O8" i="14"/>
  <c r="O7" i="14"/>
  <c r="O6" i="14"/>
  <c r="O5" i="14"/>
  <c r="L4" i="14"/>
  <c r="K4" i="14"/>
  <c r="K3" i="14" s="1"/>
  <c r="J4" i="14"/>
  <c r="I4" i="14"/>
  <c r="I3" i="14" s="1"/>
  <c r="H4" i="14"/>
  <c r="N3" i="14"/>
  <c r="N69" i="14" s="1"/>
  <c r="J3" i="14"/>
  <c r="H3" i="14"/>
  <c r="H69" i="14" s="1"/>
  <c r="G3" i="14"/>
  <c r="F3" i="14"/>
  <c r="E3" i="14"/>
  <c r="E69" i="14" s="1"/>
  <c r="D3" i="14"/>
  <c r="C3" i="14"/>
  <c r="C69" i="14" s="1"/>
  <c r="C76" i="14" s="1"/>
  <c r="C197" i="14" s="1"/>
  <c r="G43" i="8"/>
  <c r="G36" i="8"/>
  <c r="G31" i="8"/>
  <c r="G29" i="8"/>
  <c r="G16" i="8"/>
  <c r="G12" i="8"/>
  <c r="G7" i="8"/>
  <c r="M206" i="14" l="1"/>
  <c r="M208" i="14"/>
  <c r="M212" i="14"/>
  <c r="M130" i="14"/>
  <c r="M142" i="14" s="1"/>
  <c r="M69" i="14"/>
  <c r="M76" i="14" s="1"/>
  <c r="C46" i="7"/>
  <c r="H76" i="14"/>
  <c r="P130" i="14"/>
  <c r="T130" i="14"/>
  <c r="Q69" i="14"/>
  <c r="O3" i="14"/>
  <c r="L69" i="14"/>
  <c r="L76" i="14" s="1"/>
  <c r="L197" i="14" s="1"/>
  <c r="O42" i="14"/>
  <c r="D76" i="14"/>
  <c r="P69" i="14"/>
  <c r="C208" i="14"/>
  <c r="G69" i="14"/>
  <c r="K69" i="14"/>
  <c r="O34" i="14"/>
  <c r="G136" i="14"/>
  <c r="S131" i="14"/>
  <c r="F136" i="14"/>
  <c r="R131" i="14"/>
  <c r="T132" i="14"/>
  <c r="S132" i="14"/>
  <c r="P135" i="14"/>
  <c r="Q135" i="14"/>
  <c r="D136" i="14"/>
  <c r="T135" i="14"/>
  <c r="U135" i="14"/>
  <c r="E204" i="14"/>
  <c r="Q187" i="14"/>
  <c r="J69" i="14"/>
  <c r="O40" i="14"/>
  <c r="J136" i="14"/>
  <c r="Q72" i="14"/>
  <c r="E75" i="14"/>
  <c r="Q75" i="14" s="1"/>
  <c r="N75" i="14"/>
  <c r="O72" i="14"/>
  <c r="O105" i="14"/>
  <c r="O117" i="14"/>
  <c r="P31" i="14"/>
  <c r="P66" i="14"/>
  <c r="K136" i="14"/>
  <c r="W131" i="14"/>
  <c r="P72" i="14"/>
  <c r="W74" i="14"/>
  <c r="J75" i="14"/>
  <c r="K130" i="14"/>
  <c r="O87" i="14"/>
  <c r="K110" i="14"/>
  <c r="N130" i="14"/>
  <c r="I201" i="14"/>
  <c r="I202" i="14" s="1"/>
  <c r="U155" i="14"/>
  <c r="F69" i="14"/>
  <c r="O12" i="14"/>
  <c r="O60" i="14"/>
  <c r="U72" i="14"/>
  <c r="I75" i="14"/>
  <c r="U75" i="14" s="1"/>
  <c r="O48" i="14"/>
  <c r="T131" i="14"/>
  <c r="L136" i="14"/>
  <c r="L141" i="14" s="1"/>
  <c r="L142" i="14" s="1"/>
  <c r="L198" i="14" s="1"/>
  <c r="L209" i="14" s="1"/>
  <c r="G75" i="14"/>
  <c r="S75" i="14" s="1"/>
  <c r="S72" i="14"/>
  <c r="K75" i="14"/>
  <c r="W75" i="14" s="1"/>
  <c r="W72" i="14"/>
  <c r="R72" i="14"/>
  <c r="P75" i="14"/>
  <c r="F130" i="14"/>
  <c r="S130" i="14" s="1"/>
  <c r="J130" i="14"/>
  <c r="H136" i="14"/>
  <c r="S139" i="14"/>
  <c r="R139" i="14"/>
  <c r="W139" i="14"/>
  <c r="V139" i="14"/>
  <c r="S140" i="14"/>
  <c r="E203" i="14"/>
  <c r="E205" i="14" s="1"/>
  <c r="Q174" i="14"/>
  <c r="V72" i="14"/>
  <c r="Q130" i="14"/>
  <c r="O4" i="14"/>
  <c r="I11" i="14"/>
  <c r="O11" i="14" s="1"/>
  <c r="Q131" i="14"/>
  <c r="E136" i="14"/>
  <c r="O68" i="14"/>
  <c r="I131" i="14"/>
  <c r="O131" i="14" s="1"/>
  <c r="T72" i="14"/>
  <c r="R75" i="14"/>
  <c r="O124" i="14"/>
  <c r="C136" i="14"/>
  <c r="C141" i="14" s="1"/>
  <c r="C142" i="14" s="1"/>
  <c r="C198" i="14" s="1"/>
  <c r="P131" i="14"/>
  <c r="N136" i="14"/>
  <c r="J140" i="14"/>
  <c r="G155" i="14"/>
  <c r="K155" i="14"/>
  <c r="I81" i="14"/>
  <c r="S137" i="14"/>
  <c r="S147" i="14"/>
  <c r="G200" i="14"/>
  <c r="W147" i="14"/>
  <c r="K200" i="14"/>
  <c r="T147" i="14"/>
  <c r="L202" i="14"/>
  <c r="J205" i="14"/>
  <c r="C205" i="14"/>
  <c r="O137" i="14"/>
  <c r="D202" i="14"/>
  <c r="N200" i="14"/>
  <c r="N202" i="14" s="1"/>
  <c r="O147" i="14"/>
  <c r="U147" i="14"/>
  <c r="Q155" i="14"/>
  <c r="E201" i="14"/>
  <c r="H201" i="14"/>
  <c r="H202" i="14" s="1"/>
  <c r="T155" i="14"/>
  <c r="P180" i="14"/>
  <c r="L174" i="14"/>
  <c r="L203" i="14" s="1"/>
  <c r="L205" i="14" s="1"/>
  <c r="R174" i="14"/>
  <c r="R190" i="14"/>
  <c r="F187" i="14"/>
  <c r="I140" i="14"/>
  <c r="U140" i="14" s="1"/>
  <c r="E200" i="14"/>
  <c r="E202" i="14" s="1"/>
  <c r="R147" i="14"/>
  <c r="V147" i="14"/>
  <c r="I203" i="14"/>
  <c r="U174" i="14"/>
  <c r="O174" i="14"/>
  <c r="O175" i="14"/>
  <c r="S174" i="14"/>
  <c r="G203" i="14"/>
  <c r="G205" i="14" s="1"/>
  <c r="K203" i="14"/>
  <c r="K205" i="14" s="1"/>
  <c r="W174" i="14"/>
  <c r="H203" i="14"/>
  <c r="H205" i="14" s="1"/>
  <c r="T174" i="14"/>
  <c r="V187" i="14"/>
  <c r="O155" i="14"/>
  <c r="F155" i="14"/>
  <c r="J155" i="14"/>
  <c r="N201" i="14"/>
  <c r="S187" i="14"/>
  <c r="G204" i="14"/>
  <c r="D203" i="14"/>
  <c r="D205" i="14" s="1"/>
  <c r="P174" i="14"/>
  <c r="I204" i="14"/>
  <c r="U187" i="14"/>
  <c r="O187" i="14"/>
  <c r="G19" i="8"/>
  <c r="G22" i="8" s="1"/>
  <c r="G26" i="8"/>
  <c r="G46" i="8" s="1"/>
  <c r="G49" i="8" s="1"/>
  <c r="K167" i="13"/>
  <c r="K165" i="13"/>
  <c r="K162" i="13"/>
  <c r="K160" i="13"/>
  <c r="E8" i="3"/>
  <c r="C8" i="3"/>
  <c r="K148" i="13"/>
  <c r="K115" i="13"/>
  <c r="K112" i="13"/>
  <c r="K104" i="13"/>
  <c r="K94" i="13"/>
  <c r="K93" i="13"/>
  <c r="K83" i="13"/>
  <c r="K22" i="13"/>
  <c r="K4" i="13"/>
  <c r="C17" i="3"/>
  <c r="F17" i="3"/>
  <c r="E17" i="3"/>
  <c r="T148" i="13"/>
  <c r="U148" i="13"/>
  <c r="T153" i="13"/>
  <c r="U153" i="13"/>
  <c r="K47" i="13"/>
  <c r="J47" i="13"/>
  <c r="K55" i="13"/>
  <c r="J55" i="13"/>
  <c r="K59" i="13"/>
  <c r="J59" i="13"/>
  <c r="T70" i="13"/>
  <c r="U70" i="13"/>
  <c r="T71" i="13"/>
  <c r="U71" i="13"/>
  <c r="T73" i="13"/>
  <c r="U73" i="13"/>
  <c r="U133" i="13"/>
  <c r="U137" i="13"/>
  <c r="T133" i="13"/>
  <c r="T137" i="13"/>
  <c r="K126" i="13"/>
  <c r="J126" i="13"/>
  <c r="G35" i="7"/>
  <c r="F10" i="3"/>
  <c r="F12" i="3"/>
  <c r="F16" i="3"/>
  <c r="C16" i="3"/>
  <c r="C10" i="3"/>
  <c r="C12" i="3"/>
  <c r="M211" i="14" l="1"/>
  <c r="Z211" i="14" s="1"/>
  <c r="Z208" i="14"/>
  <c r="M214" i="14"/>
  <c r="Z214" i="14" s="1"/>
  <c r="Z212" i="14"/>
  <c r="M215" i="14"/>
  <c r="G50" i="8"/>
  <c r="C209" i="14"/>
  <c r="C199" i="14"/>
  <c r="C206" i="14" s="1"/>
  <c r="L212" i="14"/>
  <c r="L215" i="14" s="1"/>
  <c r="G201" i="14"/>
  <c r="S155" i="14"/>
  <c r="O75" i="14"/>
  <c r="J141" i="14"/>
  <c r="G76" i="14"/>
  <c r="S69" i="14"/>
  <c r="V140" i="14"/>
  <c r="U131" i="14"/>
  <c r="I136" i="14"/>
  <c r="O136" i="14" s="1"/>
  <c r="T75" i="14"/>
  <c r="O140" i="14"/>
  <c r="W130" i="14"/>
  <c r="R136" i="14"/>
  <c r="F141" i="14"/>
  <c r="F142" i="14" s="1"/>
  <c r="K76" i="14"/>
  <c r="W69" i="14"/>
  <c r="P76" i="14"/>
  <c r="D197" i="14"/>
  <c r="I69" i="14"/>
  <c r="J201" i="14"/>
  <c r="J202" i="14" s="1"/>
  <c r="V155" i="14"/>
  <c r="F201" i="14"/>
  <c r="F202" i="14" s="1"/>
  <c r="R155" i="14"/>
  <c r="I205" i="14"/>
  <c r="O81" i="14"/>
  <c r="I130" i="14"/>
  <c r="W140" i="14"/>
  <c r="J142" i="14"/>
  <c r="V130" i="14"/>
  <c r="F76" i="14"/>
  <c r="R69" i="14"/>
  <c r="O130" i="14"/>
  <c r="V75" i="14"/>
  <c r="W136" i="14"/>
  <c r="K141" i="14"/>
  <c r="W141" i="14" s="1"/>
  <c r="J76" i="14"/>
  <c r="V69" i="14"/>
  <c r="N76" i="14"/>
  <c r="C211" i="14"/>
  <c r="C214" i="14"/>
  <c r="T69" i="14"/>
  <c r="F204" i="14"/>
  <c r="F205" i="14" s="1"/>
  <c r="R187" i="14"/>
  <c r="G202" i="14"/>
  <c r="K201" i="14"/>
  <c r="K202" i="14" s="1"/>
  <c r="W155" i="14"/>
  <c r="N141" i="14"/>
  <c r="E141" i="14"/>
  <c r="Q136" i="14"/>
  <c r="H141" i="14"/>
  <c r="T136" i="14"/>
  <c r="R130" i="14"/>
  <c r="V131" i="14"/>
  <c r="D141" i="14"/>
  <c r="P136" i="14"/>
  <c r="G141" i="14"/>
  <c r="S136" i="14"/>
  <c r="L208" i="14"/>
  <c r="L199" i="14"/>
  <c r="L206" i="14" s="1"/>
  <c r="E76" i="14"/>
  <c r="H197" i="14"/>
  <c r="T76" i="14"/>
  <c r="M12" i="3"/>
  <c r="M16" i="3"/>
  <c r="M216" i="14" l="1"/>
  <c r="Z216" i="14" s="1"/>
  <c r="Z215" i="14"/>
  <c r="L211" i="14"/>
  <c r="L214" i="14" s="1"/>
  <c r="L216" i="14" s="1"/>
  <c r="J197" i="14"/>
  <c r="H208" i="14"/>
  <c r="T141" i="14"/>
  <c r="H142" i="14"/>
  <c r="N142" i="14"/>
  <c r="J198" i="14"/>
  <c r="J209" i="14" s="1"/>
  <c r="K142" i="14"/>
  <c r="I141" i="14"/>
  <c r="U141" i="14" s="1"/>
  <c r="U136" i="14"/>
  <c r="E197" i="14"/>
  <c r="Q76" i="14"/>
  <c r="N197" i="14"/>
  <c r="I76" i="14"/>
  <c r="V76" i="14" s="1"/>
  <c r="U69" i="14"/>
  <c r="O69" i="14"/>
  <c r="K197" i="14"/>
  <c r="W76" i="14"/>
  <c r="G197" i="14"/>
  <c r="S76" i="14"/>
  <c r="P141" i="14"/>
  <c r="D142" i="14"/>
  <c r="S141" i="14"/>
  <c r="G142" i="14"/>
  <c r="F198" i="14"/>
  <c r="F209" i="14" s="1"/>
  <c r="Q141" i="14"/>
  <c r="E142" i="14"/>
  <c r="F197" i="14"/>
  <c r="R76" i="14"/>
  <c r="U130" i="14"/>
  <c r="I142" i="14"/>
  <c r="D208" i="14"/>
  <c r="R141" i="14"/>
  <c r="V136" i="14"/>
  <c r="C212" i="14"/>
  <c r="C215" i="14"/>
  <c r="C216" i="14" s="1"/>
  <c r="J94" i="13"/>
  <c r="J92" i="13" s="1"/>
  <c r="J174" i="13"/>
  <c r="K174" i="13"/>
  <c r="J176" i="13"/>
  <c r="K176" i="13"/>
  <c r="J179" i="13"/>
  <c r="K179" i="13"/>
  <c r="J180" i="13"/>
  <c r="K180" i="13"/>
  <c r="J181" i="13"/>
  <c r="K181" i="13"/>
  <c r="J183" i="13"/>
  <c r="K183" i="13"/>
  <c r="J186" i="13"/>
  <c r="K186" i="13"/>
  <c r="U186" i="13" s="1"/>
  <c r="J189" i="13"/>
  <c r="K189" i="13"/>
  <c r="J146" i="13"/>
  <c r="K146" i="13"/>
  <c r="U146" i="13" s="1"/>
  <c r="J156" i="13"/>
  <c r="K156" i="13"/>
  <c r="J157" i="13"/>
  <c r="K157" i="13"/>
  <c r="J159" i="13"/>
  <c r="K159" i="13"/>
  <c r="J161" i="13"/>
  <c r="K161" i="13"/>
  <c r="J164" i="13"/>
  <c r="K164" i="13"/>
  <c r="J167" i="13"/>
  <c r="J168" i="13"/>
  <c r="K168" i="13"/>
  <c r="J82" i="13"/>
  <c r="K82" i="13"/>
  <c r="J83" i="13"/>
  <c r="J84" i="13"/>
  <c r="K84" i="13"/>
  <c r="J85" i="13"/>
  <c r="K85" i="13"/>
  <c r="J86" i="13"/>
  <c r="K86" i="13"/>
  <c r="J88" i="13"/>
  <c r="J87" i="13" s="1"/>
  <c r="K88" i="13"/>
  <c r="K87" i="13" s="1"/>
  <c r="J90" i="13"/>
  <c r="K90" i="13"/>
  <c r="J91" i="13"/>
  <c r="K91" i="13"/>
  <c r="K92" i="13"/>
  <c r="J97" i="13"/>
  <c r="K97" i="13"/>
  <c r="J98" i="13"/>
  <c r="K98" i="13"/>
  <c r="J102" i="13"/>
  <c r="K102" i="13"/>
  <c r="K101" i="13" s="1"/>
  <c r="J103" i="13"/>
  <c r="K103" i="13"/>
  <c r="J104" i="13"/>
  <c r="J108" i="13"/>
  <c r="J105" i="13" s="1"/>
  <c r="K108" i="13"/>
  <c r="K105" i="13" s="1"/>
  <c r="J111" i="13"/>
  <c r="K111" i="13"/>
  <c r="J112" i="13"/>
  <c r="J113" i="13"/>
  <c r="K113" i="13"/>
  <c r="J114" i="13"/>
  <c r="K114" i="13"/>
  <c r="J117" i="13"/>
  <c r="K117" i="13"/>
  <c r="J119" i="13"/>
  <c r="K119" i="13"/>
  <c r="J120" i="13"/>
  <c r="K120" i="13"/>
  <c r="J121" i="13"/>
  <c r="K121" i="13"/>
  <c r="J122" i="13"/>
  <c r="K122" i="13"/>
  <c r="J125" i="13"/>
  <c r="J124" i="13" s="1"/>
  <c r="K125" i="13"/>
  <c r="K124" i="13" s="1"/>
  <c r="J127" i="13"/>
  <c r="K127" i="13"/>
  <c r="J132" i="13"/>
  <c r="K132" i="13"/>
  <c r="U132" i="13" s="1"/>
  <c r="J134" i="13"/>
  <c r="K134" i="13"/>
  <c r="U134" i="13" s="1"/>
  <c r="J136" i="13"/>
  <c r="T136" i="13" s="1"/>
  <c r="K136" i="13"/>
  <c r="U136" i="13" s="1"/>
  <c r="J138" i="13"/>
  <c r="K138" i="13"/>
  <c r="J4" i="13"/>
  <c r="J3" i="13" s="1"/>
  <c r="K3" i="13"/>
  <c r="J12" i="13"/>
  <c r="K12" i="13"/>
  <c r="J14" i="13"/>
  <c r="K14" i="13"/>
  <c r="J20" i="13"/>
  <c r="K20" i="13"/>
  <c r="J22" i="13"/>
  <c r="J32" i="13"/>
  <c r="K32" i="13"/>
  <c r="J40" i="13"/>
  <c r="J34" i="13" s="1"/>
  <c r="K40" i="13"/>
  <c r="K34" i="13" s="1"/>
  <c r="J46" i="13"/>
  <c r="K46" i="13"/>
  <c r="J48" i="13"/>
  <c r="K48" i="13"/>
  <c r="J51" i="13"/>
  <c r="K51" i="13"/>
  <c r="J54" i="13"/>
  <c r="K54" i="13"/>
  <c r="J58" i="13"/>
  <c r="K58" i="13"/>
  <c r="J60" i="13"/>
  <c r="K60" i="13"/>
  <c r="J61" i="13"/>
  <c r="K61" i="13"/>
  <c r="J63" i="13"/>
  <c r="K63" i="13"/>
  <c r="J66" i="13"/>
  <c r="K66" i="13"/>
  <c r="J68" i="13"/>
  <c r="J131" i="13" s="1"/>
  <c r="K68" i="13"/>
  <c r="K131" i="13" s="1"/>
  <c r="U131" i="13" s="1"/>
  <c r="J72" i="13"/>
  <c r="K72" i="13"/>
  <c r="J74" i="13"/>
  <c r="K74" i="13"/>
  <c r="G8" i="7"/>
  <c r="M191" i="13"/>
  <c r="O189" i="13"/>
  <c r="N189" i="13"/>
  <c r="I189" i="13"/>
  <c r="H189" i="13"/>
  <c r="H186" i="13" s="1"/>
  <c r="G189" i="13"/>
  <c r="F189" i="13"/>
  <c r="F186" i="13" s="1"/>
  <c r="M188" i="13"/>
  <c r="M187" i="13"/>
  <c r="L186" i="13"/>
  <c r="L203" i="13" s="1"/>
  <c r="G186" i="13"/>
  <c r="G203" i="13" s="1"/>
  <c r="E186" i="13"/>
  <c r="D186" i="13"/>
  <c r="D203" i="13" s="1"/>
  <c r="C186" i="13"/>
  <c r="C203" i="13" s="1"/>
  <c r="O185" i="13"/>
  <c r="M185" i="13"/>
  <c r="M184" i="13"/>
  <c r="I183" i="13"/>
  <c r="M183" i="13" s="1"/>
  <c r="H183" i="13"/>
  <c r="N185" i="13" s="1"/>
  <c r="G183" i="13"/>
  <c r="F183" i="13"/>
  <c r="O182" i="13"/>
  <c r="I181" i="13"/>
  <c r="M181" i="13" s="1"/>
  <c r="H181" i="13"/>
  <c r="G181" i="13"/>
  <c r="F181" i="13"/>
  <c r="E181" i="13"/>
  <c r="D181" i="13"/>
  <c r="C181" i="13"/>
  <c r="I180" i="13"/>
  <c r="M180" i="13" s="1"/>
  <c r="H180" i="13"/>
  <c r="G180" i="13"/>
  <c r="F180" i="13"/>
  <c r="E180" i="13"/>
  <c r="D180" i="13"/>
  <c r="C180" i="13"/>
  <c r="O179" i="13"/>
  <c r="I179" i="13"/>
  <c r="M179" i="13" s="1"/>
  <c r="H179" i="13"/>
  <c r="G179" i="13"/>
  <c r="F179" i="13"/>
  <c r="E179" i="13"/>
  <c r="M178" i="13"/>
  <c r="E178" i="13"/>
  <c r="M177" i="13"/>
  <c r="I176" i="13"/>
  <c r="H176" i="13"/>
  <c r="G176" i="13"/>
  <c r="F176" i="13"/>
  <c r="E176" i="13"/>
  <c r="E173" i="13" s="1"/>
  <c r="E202" i="13" s="1"/>
  <c r="M175" i="13"/>
  <c r="I174" i="13"/>
  <c r="M174" i="13" s="1"/>
  <c r="H174" i="13"/>
  <c r="G174" i="13"/>
  <c r="G173" i="13" s="1"/>
  <c r="G202" i="13" s="1"/>
  <c r="F174" i="13"/>
  <c r="E174" i="13"/>
  <c r="D174" i="13"/>
  <c r="C174" i="13"/>
  <c r="C173" i="13" s="1"/>
  <c r="C202" i="13" s="1"/>
  <c r="L173" i="13"/>
  <c r="L202" i="13" s="1"/>
  <c r="I168" i="13"/>
  <c r="M168" i="13" s="1"/>
  <c r="H168" i="13"/>
  <c r="I167" i="13"/>
  <c r="M167" i="13" s="1"/>
  <c r="H167" i="13"/>
  <c r="G167" i="13"/>
  <c r="F167" i="13"/>
  <c r="M166" i="13"/>
  <c r="M165" i="13"/>
  <c r="I164" i="13"/>
  <c r="M164" i="13" s="1"/>
  <c r="H164" i="13"/>
  <c r="G164" i="13"/>
  <c r="F164" i="13"/>
  <c r="M163" i="13"/>
  <c r="M162" i="13"/>
  <c r="I161" i="13"/>
  <c r="M161" i="13" s="1"/>
  <c r="H161" i="13"/>
  <c r="G161" i="13"/>
  <c r="F161" i="13"/>
  <c r="M160" i="13"/>
  <c r="I159" i="13"/>
  <c r="M159" i="13" s="1"/>
  <c r="H159" i="13"/>
  <c r="G159" i="13"/>
  <c r="F159" i="13"/>
  <c r="M158" i="13"/>
  <c r="I157" i="13"/>
  <c r="M157" i="13" s="1"/>
  <c r="H157" i="13"/>
  <c r="G157" i="13"/>
  <c r="F157" i="13"/>
  <c r="I156" i="13"/>
  <c r="H156" i="13"/>
  <c r="H154" i="13" s="1"/>
  <c r="G156" i="13"/>
  <c r="F156" i="13"/>
  <c r="M155" i="13"/>
  <c r="L154" i="13"/>
  <c r="E154" i="13"/>
  <c r="E200" i="13" s="1"/>
  <c r="D154" i="13"/>
  <c r="D200" i="13" s="1"/>
  <c r="C154" i="13"/>
  <c r="C200" i="13" s="1"/>
  <c r="S153" i="13"/>
  <c r="R153" i="13"/>
  <c r="Q153" i="13"/>
  <c r="P153" i="13"/>
  <c r="O153" i="13"/>
  <c r="N153" i="13"/>
  <c r="M153" i="13"/>
  <c r="M152" i="13"/>
  <c r="M151" i="13"/>
  <c r="M150" i="13"/>
  <c r="M149" i="13"/>
  <c r="S148" i="13"/>
  <c r="R148" i="13"/>
  <c r="Q148" i="13"/>
  <c r="P148" i="13"/>
  <c r="O148" i="13"/>
  <c r="N148" i="13"/>
  <c r="M148" i="13"/>
  <c r="L146" i="13"/>
  <c r="L199" i="13" s="1"/>
  <c r="I146" i="13"/>
  <c r="H146" i="13"/>
  <c r="H199" i="13" s="1"/>
  <c r="G146" i="13"/>
  <c r="G199" i="13" s="1"/>
  <c r="F146" i="13"/>
  <c r="F199" i="13" s="1"/>
  <c r="E146" i="13"/>
  <c r="D146" i="13"/>
  <c r="D199" i="13" s="1"/>
  <c r="C146" i="13"/>
  <c r="C199" i="13" s="1"/>
  <c r="L138" i="13"/>
  <c r="L139" i="13" s="1"/>
  <c r="I138" i="13"/>
  <c r="H138" i="13"/>
  <c r="H139" i="13" s="1"/>
  <c r="G138" i="13"/>
  <c r="F138" i="13"/>
  <c r="E138" i="13"/>
  <c r="D138" i="13"/>
  <c r="C138" i="13"/>
  <c r="S137" i="13"/>
  <c r="R137" i="13"/>
  <c r="Q137" i="13"/>
  <c r="P137" i="13"/>
  <c r="O137" i="13"/>
  <c r="N137" i="13"/>
  <c r="M136" i="13"/>
  <c r="I136" i="13"/>
  <c r="H136" i="13"/>
  <c r="S136" i="13" s="1"/>
  <c r="G136" i="13"/>
  <c r="R136" i="13" s="1"/>
  <c r="F136" i="13"/>
  <c r="E136" i="13"/>
  <c r="D136" i="13"/>
  <c r="O136" i="13" s="1"/>
  <c r="C136" i="13"/>
  <c r="L134" i="13"/>
  <c r="I134" i="13"/>
  <c r="H134" i="13"/>
  <c r="G134" i="13"/>
  <c r="F134" i="13"/>
  <c r="E134" i="13"/>
  <c r="D134" i="13"/>
  <c r="C134" i="13"/>
  <c r="N134" i="13" s="1"/>
  <c r="S133" i="13"/>
  <c r="R133" i="13"/>
  <c r="Q133" i="13"/>
  <c r="P133" i="13"/>
  <c r="O133" i="13"/>
  <c r="N133" i="13"/>
  <c r="M133" i="13"/>
  <c r="L132" i="13"/>
  <c r="I132" i="13"/>
  <c r="H132" i="13"/>
  <c r="G132" i="13"/>
  <c r="F132" i="13"/>
  <c r="E132" i="13"/>
  <c r="D132" i="13"/>
  <c r="C132" i="13"/>
  <c r="L131" i="13"/>
  <c r="H131" i="13"/>
  <c r="D131" i="13"/>
  <c r="C131" i="13"/>
  <c r="M129" i="13"/>
  <c r="M128" i="13"/>
  <c r="I127" i="13"/>
  <c r="M127" i="13" s="1"/>
  <c r="H127" i="13"/>
  <c r="I126" i="13"/>
  <c r="M126" i="13" s="1"/>
  <c r="H126" i="13"/>
  <c r="H124" i="13" s="1"/>
  <c r="G126" i="13"/>
  <c r="F126" i="13"/>
  <c r="E126" i="13"/>
  <c r="M125" i="13"/>
  <c r="I125" i="13"/>
  <c r="H125" i="13"/>
  <c r="G125" i="13"/>
  <c r="G124" i="13" s="1"/>
  <c r="F125" i="13"/>
  <c r="F124" i="13" s="1"/>
  <c r="E125" i="13"/>
  <c r="L124" i="13"/>
  <c r="I124" i="13"/>
  <c r="E124" i="13"/>
  <c r="D124" i="13"/>
  <c r="C124" i="13"/>
  <c r="M123" i="13"/>
  <c r="M122" i="13"/>
  <c r="I122" i="13"/>
  <c r="H122" i="13"/>
  <c r="G122" i="13"/>
  <c r="M121" i="13"/>
  <c r="I121" i="13"/>
  <c r="H121" i="13"/>
  <c r="G121" i="13"/>
  <c r="F121" i="13"/>
  <c r="F116" i="13" s="1"/>
  <c r="E121" i="13"/>
  <c r="D121" i="13"/>
  <c r="C121" i="13"/>
  <c r="C116" i="13" s="1"/>
  <c r="M120" i="13"/>
  <c r="I120" i="13"/>
  <c r="H120" i="13"/>
  <c r="I119" i="13"/>
  <c r="M119" i="13" s="1"/>
  <c r="H119" i="13"/>
  <c r="M118" i="13"/>
  <c r="I117" i="13"/>
  <c r="M117" i="13" s="1"/>
  <c r="H117" i="13"/>
  <c r="G117" i="13"/>
  <c r="F117" i="13"/>
  <c r="E117" i="13"/>
  <c r="E116" i="13" s="1"/>
  <c r="D117" i="13"/>
  <c r="L116" i="13"/>
  <c r="M115" i="13"/>
  <c r="I114" i="13"/>
  <c r="M114" i="13" s="1"/>
  <c r="H114" i="13"/>
  <c r="G114" i="13"/>
  <c r="F114" i="13"/>
  <c r="E114" i="13"/>
  <c r="D114" i="13"/>
  <c r="I113" i="13"/>
  <c r="M113" i="13" s="1"/>
  <c r="H113" i="13"/>
  <c r="I112" i="13"/>
  <c r="M112" i="13" s="1"/>
  <c r="H112" i="13"/>
  <c r="G112" i="13"/>
  <c r="F112" i="13"/>
  <c r="I111" i="13"/>
  <c r="H111" i="13"/>
  <c r="G111" i="13"/>
  <c r="F111" i="13"/>
  <c r="E111" i="13"/>
  <c r="D111" i="13"/>
  <c r="D110" i="13" s="1"/>
  <c r="C111" i="13"/>
  <c r="C110" i="13" s="1"/>
  <c r="L110" i="13"/>
  <c r="I108" i="13"/>
  <c r="M108" i="13" s="1"/>
  <c r="M107" i="13"/>
  <c r="M106" i="13"/>
  <c r="L105" i="13"/>
  <c r="I105" i="13"/>
  <c r="H105" i="13"/>
  <c r="G105" i="13"/>
  <c r="F105" i="13"/>
  <c r="E105" i="13"/>
  <c r="D105" i="13"/>
  <c r="C105" i="13"/>
  <c r="I104" i="13"/>
  <c r="M104" i="13" s="1"/>
  <c r="H104" i="13"/>
  <c r="G104" i="13"/>
  <c r="F104" i="13"/>
  <c r="I103" i="13"/>
  <c r="M103" i="13" s="1"/>
  <c r="H103" i="13"/>
  <c r="G103" i="13"/>
  <c r="F103" i="13"/>
  <c r="I102" i="13"/>
  <c r="M102" i="13" s="1"/>
  <c r="H102" i="13"/>
  <c r="G102" i="13"/>
  <c r="G101" i="13" s="1"/>
  <c r="F102" i="13"/>
  <c r="F101" i="13" s="1"/>
  <c r="L101" i="13"/>
  <c r="E101" i="13"/>
  <c r="D101" i="13"/>
  <c r="C101" i="13"/>
  <c r="M100" i="13"/>
  <c r="M99" i="13"/>
  <c r="I98" i="13"/>
  <c r="H98" i="13"/>
  <c r="G98" i="13"/>
  <c r="F98" i="13"/>
  <c r="F96" i="13" s="1"/>
  <c r="I97" i="13"/>
  <c r="M97" i="13" s="1"/>
  <c r="H97" i="13"/>
  <c r="G97" i="13"/>
  <c r="G96" i="13" s="1"/>
  <c r="L96" i="13"/>
  <c r="E96" i="13"/>
  <c r="D96" i="13"/>
  <c r="C96" i="13"/>
  <c r="M95" i="13"/>
  <c r="I94" i="13"/>
  <c r="M94" i="13" s="1"/>
  <c r="H94" i="13"/>
  <c r="H92" i="13" s="1"/>
  <c r="G94" i="13"/>
  <c r="F94" i="13"/>
  <c r="E94" i="13"/>
  <c r="E92" i="13" s="1"/>
  <c r="M93" i="13"/>
  <c r="L92" i="13"/>
  <c r="G92" i="13"/>
  <c r="F92" i="13"/>
  <c r="D92" i="13"/>
  <c r="C92" i="13"/>
  <c r="I91" i="13"/>
  <c r="M91" i="13" s="1"/>
  <c r="H91" i="13"/>
  <c r="H89" i="13" s="1"/>
  <c r="G91" i="13"/>
  <c r="F91" i="13"/>
  <c r="I90" i="13"/>
  <c r="M90" i="13" s="1"/>
  <c r="H90" i="13"/>
  <c r="G90" i="13"/>
  <c r="F90" i="13"/>
  <c r="L89" i="13"/>
  <c r="G89" i="13"/>
  <c r="E89" i="13"/>
  <c r="D89" i="13"/>
  <c r="C89" i="13"/>
  <c r="I88" i="13"/>
  <c r="M88" i="13" s="1"/>
  <c r="H88" i="13"/>
  <c r="H87" i="13" s="1"/>
  <c r="L87" i="13"/>
  <c r="G87" i="13"/>
  <c r="F87" i="13"/>
  <c r="E87" i="13"/>
  <c r="D87" i="13"/>
  <c r="C87" i="13"/>
  <c r="I86" i="13"/>
  <c r="M86" i="13" s="1"/>
  <c r="H86" i="13"/>
  <c r="H81" i="13" s="1"/>
  <c r="G86" i="13"/>
  <c r="F86" i="13"/>
  <c r="E86" i="13"/>
  <c r="D86" i="13"/>
  <c r="D81" i="13" s="1"/>
  <c r="I85" i="13"/>
  <c r="M85" i="13" s="1"/>
  <c r="H85" i="13"/>
  <c r="G85" i="13"/>
  <c r="F85" i="13"/>
  <c r="E85" i="13"/>
  <c r="E81" i="13" s="1"/>
  <c r="D85" i="13"/>
  <c r="I84" i="13"/>
  <c r="M84" i="13" s="1"/>
  <c r="H84" i="13"/>
  <c r="G84" i="13"/>
  <c r="F84" i="13"/>
  <c r="M83" i="13"/>
  <c r="I83" i="13"/>
  <c r="H83" i="13"/>
  <c r="G83" i="13"/>
  <c r="F83" i="13"/>
  <c r="E83" i="13"/>
  <c r="D83" i="13"/>
  <c r="C83" i="13"/>
  <c r="C81" i="13" s="1"/>
  <c r="M82" i="13"/>
  <c r="I82" i="13"/>
  <c r="H82" i="13"/>
  <c r="G82" i="13"/>
  <c r="F82" i="13"/>
  <c r="L81" i="13"/>
  <c r="L74" i="13"/>
  <c r="I74" i="13"/>
  <c r="H74" i="13"/>
  <c r="G74" i="13"/>
  <c r="G75" i="13" s="1"/>
  <c r="F74" i="13"/>
  <c r="E74" i="13"/>
  <c r="D74" i="13"/>
  <c r="C74" i="13"/>
  <c r="S73" i="13"/>
  <c r="R73" i="13"/>
  <c r="Q73" i="13"/>
  <c r="P73" i="13"/>
  <c r="O73" i="13"/>
  <c r="N73" i="13"/>
  <c r="M73" i="13"/>
  <c r="L72" i="13"/>
  <c r="I72" i="13"/>
  <c r="H72" i="13"/>
  <c r="G72" i="13"/>
  <c r="F72" i="13"/>
  <c r="E72" i="13"/>
  <c r="D72" i="13"/>
  <c r="C72" i="13"/>
  <c r="S71" i="13"/>
  <c r="R71" i="13"/>
  <c r="Q71" i="13"/>
  <c r="P71" i="13"/>
  <c r="O71" i="13"/>
  <c r="N71" i="13"/>
  <c r="M71" i="13"/>
  <c r="S70" i="13"/>
  <c r="R70" i="13"/>
  <c r="Q70" i="13"/>
  <c r="P70" i="13"/>
  <c r="O70" i="13"/>
  <c r="N70" i="13"/>
  <c r="M70" i="13"/>
  <c r="I68" i="13"/>
  <c r="H68" i="13"/>
  <c r="G68" i="13"/>
  <c r="G131" i="13" s="1"/>
  <c r="F68" i="13"/>
  <c r="F131" i="13" s="1"/>
  <c r="E68" i="13"/>
  <c r="E131" i="13" s="1"/>
  <c r="O66" i="13"/>
  <c r="I66" i="13"/>
  <c r="H66" i="13"/>
  <c r="G66" i="13"/>
  <c r="G42" i="13" s="1"/>
  <c r="M65" i="13"/>
  <c r="O64" i="13"/>
  <c r="M64" i="13"/>
  <c r="I63" i="13"/>
  <c r="M63" i="13" s="1"/>
  <c r="H63" i="13"/>
  <c r="G63" i="13"/>
  <c r="F63" i="13"/>
  <c r="E63" i="13"/>
  <c r="D63" i="13"/>
  <c r="M62" i="13"/>
  <c r="I61" i="13"/>
  <c r="M61" i="13" s="1"/>
  <c r="H61" i="13"/>
  <c r="G61" i="13"/>
  <c r="F61" i="13"/>
  <c r="E61" i="13"/>
  <c r="D61" i="13"/>
  <c r="I60" i="13"/>
  <c r="M60" i="13" s="1"/>
  <c r="H60" i="13"/>
  <c r="G60" i="13"/>
  <c r="F60" i="13"/>
  <c r="E60" i="13"/>
  <c r="D60" i="13"/>
  <c r="I59" i="13"/>
  <c r="M59" i="13" s="1"/>
  <c r="H59" i="13"/>
  <c r="G59" i="13"/>
  <c r="F59" i="13"/>
  <c r="E59" i="13"/>
  <c r="I58" i="13"/>
  <c r="M58" i="13" s="1"/>
  <c r="H58" i="13"/>
  <c r="G58" i="13"/>
  <c r="F58" i="13"/>
  <c r="E58" i="13"/>
  <c r="D58" i="13"/>
  <c r="M57" i="13"/>
  <c r="I55" i="13"/>
  <c r="M55" i="13" s="1"/>
  <c r="H55" i="13"/>
  <c r="G55" i="13"/>
  <c r="F55" i="13"/>
  <c r="E55" i="13"/>
  <c r="D55" i="13"/>
  <c r="C55" i="13"/>
  <c r="I54" i="13"/>
  <c r="M54" i="13" s="1"/>
  <c r="H54" i="13"/>
  <c r="G54" i="13"/>
  <c r="M53" i="13"/>
  <c r="M52" i="13"/>
  <c r="M51" i="13"/>
  <c r="I51" i="13"/>
  <c r="H51" i="13"/>
  <c r="G51" i="13"/>
  <c r="F51" i="13"/>
  <c r="E51" i="13"/>
  <c r="D51" i="13"/>
  <c r="M50" i="13"/>
  <c r="M49" i="13"/>
  <c r="I48" i="13"/>
  <c r="M48" i="13" s="1"/>
  <c r="M47" i="13"/>
  <c r="I46" i="13"/>
  <c r="M46" i="13" s="1"/>
  <c r="H46" i="13"/>
  <c r="G46" i="13"/>
  <c r="F46" i="13"/>
  <c r="E46" i="13"/>
  <c r="D46" i="13"/>
  <c r="C46" i="13"/>
  <c r="C42" i="13" s="1"/>
  <c r="M45" i="13"/>
  <c r="M44" i="13"/>
  <c r="E44" i="13"/>
  <c r="L42" i="13"/>
  <c r="M41" i="13"/>
  <c r="O40" i="13"/>
  <c r="N40" i="13"/>
  <c r="I40" i="13"/>
  <c r="I34" i="13" s="1"/>
  <c r="H40" i="13"/>
  <c r="H34" i="13" s="1"/>
  <c r="G40" i="13"/>
  <c r="G34" i="13" s="1"/>
  <c r="F40" i="13"/>
  <c r="F34" i="13" s="1"/>
  <c r="M39" i="13"/>
  <c r="M38" i="13"/>
  <c r="M37" i="13"/>
  <c r="M36" i="13"/>
  <c r="M35" i="13"/>
  <c r="L34" i="13"/>
  <c r="E34" i="13"/>
  <c r="D34" i="13"/>
  <c r="C34" i="13"/>
  <c r="M33" i="13"/>
  <c r="L32" i="13"/>
  <c r="I32" i="13"/>
  <c r="H32" i="13"/>
  <c r="G32" i="13"/>
  <c r="F32" i="13"/>
  <c r="E32" i="13"/>
  <c r="D32" i="13"/>
  <c r="C32" i="13"/>
  <c r="O31" i="13"/>
  <c r="M31" i="13"/>
  <c r="M30" i="13"/>
  <c r="M29" i="13"/>
  <c r="M28" i="13"/>
  <c r="M27" i="13"/>
  <c r="M26" i="13"/>
  <c r="M25" i="13"/>
  <c r="M24" i="13"/>
  <c r="M23" i="13"/>
  <c r="I22" i="13"/>
  <c r="M22" i="13" s="1"/>
  <c r="H22" i="13"/>
  <c r="G22" i="13"/>
  <c r="F22" i="13"/>
  <c r="M21" i="13"/>
  <c r="I20" i="13"/>
  <c r="H20" i="13"/>
  <c r="G20" i="13"/>
  <c r="F20" i="13"/>
  <c r="E20" i="13"/>
  <c r="D20" i="13"/>
  <c r="D11" i="13" s="1"/>
  <c r="C20" i="13"/>
  <c r="C11" i="13" s="1"/>
  <c r="M19" i="13"/>
  <c r="M18" i="13"/>
  <c r="M17" i="13"/>
  <c r="O16" i="13"/>
  <c r="M15" i="13"/>
  <c r="I14" i="13"/>
  <c r="M14" i="13" s="1"/>
  <c r="H14" i="13"/>
  <c r="G14" i="13"/>
  <c r="F14" i="13"/>
  <c r="M13" i="13"/>
  <c r="I12" i="13"/>
  <c r="H12" i="13"/>
  <c r="G12" i="13"/>
  <c r="F12" i="13"/>
  <c r="L11" i="13"/>
  <c r="E11" i="13"/>
  <c r="M10" i="13"/>
  <c r="M9" i="13"/>
  <c r="M8" i="13"/>
  <c r="M7" i="13"/>
  <c r="M6" i="13"/>
  <c r="M5" i="13"/>
  <c r="I4" i="13"/>
  <c r="M4" i="13" s="1"/>
  <c r="H4" i="13"/>
  <c r="H3" i="13" s="1"/>
  <c r="L3" i="13"/>
  <c r="G3" i="13"/>
  <c r="F3" i="13"/>
  <c r="E3" i="13"/>
  <c r="D3" i="13"/>
  <c r="C3" i="13"/>
  <c r="L214" i="11"/>
  <c r="L211" i="11"/>
  <c r="G205" i="11"/>
  <c r="C205" i="11"/>
  <c r="G201" i="11"/>
  <c r="F201" i="11"/>
  <c r="C201" i="11"/>
  <c r="J191" i="11"/>
  <c r="I191" i="11"/>
  <c r="H191" i="11"/>
  <c r="F191" i="11"/>
  <c r="J188" i="11"/>
  <c r="G188" i="11"/>
  <c r="F188" i="11"/>
  <c r="F205" i="11" s="1"/>
  <c r="E188" i="11"/>
  <c r="I188" i="11" s="1"/>
  <c r="D188" i="11"/>
  <c r="H188" i="11" s="1"/>
  <c r="C188" i="11"/>
  <c r="H187" i="11"/>
  <c r="F185" i="11"/>
  <c r="F183" i="11"/>
  <c r="E183" i="11"/>
  <c r="D183" i="11"/>
  <c r="C183" i="11"/>
  <c r="F182" i="11"/>
  <c r="E182" i="11"/>
  <c r="D182" i="11"/>
  <c r="D175" i="11" s="1"/>
  <c r="C182" i="11"/>
  <c r="H184" i="11" s="1"/>
  <c r="F181" i="11"/>
  <c r="F175" i="11" s="1"/>
  <c r="E181" i="11"/>
  <c r="E180" i="11"/>
  <c r="F178" i="11"/>
  <c r="E178" i="11"/>
  <c r="F176" i="11"/>
  <c r="E176" i="11"/>
  <c r="D176" i="11"/>
  <c r="C176" i="11"/>
  <c r="H181" i="11" s="1"/>
  <c r="G175" i="11"/>
  <c r="G204" i="11" s="1"/>
  <c r="G206" i="11" s="1"/>
  <c r="F169" i="11"/>
  <c r="F166" i="11"/>
  <c r="F163" i="11"/>
  <c r="F161" i="11"/>
  <c r="F159" i="11"/>
  <c r="F158" i="11"/>
  <c r="F156" i="11" s="1"/>
  <c r="I156" i="11"/>
  <c r="G156" i="11"/>
  <c r="G202" i="11" s="1"/>
  <c r="E156" i="11"/>
  <c r="E202" i="11" s="1"/>
  <c r="D156" i="11"/>
  <c r="H156" i="11" s="1"/>
  <c r="C156" i="11"/>
  <c r="C202" i="11" s="1"/>
  <c r="J155" i="11"/>
  <c r="I155" i="11"/>
  <c r="H155" i="11"/>
  <c r="H150" i="11"/>
  <c r="G148" i="11"/>
  <c r="F148" i="11"/>
  <c r="E148" i="11"/>
  <c r="E201" i="11" s="1"/>
  <c r="E203" i="11" s="1"/>
  <c r="D148" i="11"/>
  <c r="H148" i="11" s="1"/>
  <c r="C148" i="11"/>
  <c r="G140" i="11"/>
  <c r="G141" i="11" s="1"/>
  <c r="F140" i="11"/>
  <c r="E140" i="11"/>
  <c r="I140" i="11" s="1"/>
  <c r="D140" i="11"/>
  <c r="D141" i="11" s="1"/>
  <c r="H141" i="11" s="1"/>
  <c r="C140" i="11"/>
  <c r="J139" i="11"/>
  <c r="I139" i="11"/>
  <c r="H139" i="11"/>
  <c r="F138" i="11"/>
  <c r="F141" i="11" s="1"/>
  <c r="E138" i="11"/>
  <c r="J138" i="11" s="1"/>
  <c r="D138" i="11"/>
  <c r="C138" i="11"/>
  <c r="C141" i="11" s="1"/>
  <c r="G137" i="11"/>
  <c r="G142" i="11" s="1"/>
  <c r="C137" i="11"/>
  <c r="C142" i="11" s="1"/>
  <c r="G136" i="11"/>
  <c r="F136" i="11"/>
  <c r="J136" i="11" s="1"/>
  <c r="E136" i="11"/>
  <c r="I136" i="11" s="1"/>
  <c r="D136" i="11"/>
  <c r="H136" i="11" s="1"/>
  <c r="C136" i="11"/>
  <c r="J135" i="11"/>
  <c r="I135" i="11"/>
  <c r="H135" i="11"/>
  <c r="J134" i="11"/>
  <c r="I134" i="11"/>
  <c r="H134" i="11"/>
  <c r="I133" i="11"/>
  <c r="G133" i="11"/>
  <c r="F133" i="11"/>
  <c r="E133" i="11"/>
  <c r="D133" i="11"/>
  <c r="H133" i="11" s="1"/>
  <c r="C133" i="11"/>
  <c r="G132" i="11"/>
  <c r="F132" i="11"/>
  <c r="J132" i="11" s="1"/>
  <c r="E132" i="11"/>
  <c r="I132" i="11" s="1"/>
  <c r="D132" i="11"/>
  <c r="H132" i="11" s="1"/>
  <c r="C132" i="11"/>
  <c r="I131" i="11"/>
  <c r="G131" i="11"/>
  <c r="E131" i="11"/>
  <c r="D131" i="11"/>
  <c r="H131" i="11" s="1"/>
  <c r="C131" i="11"/>
  <c r="F126" i="11"/>
  <c r="E126" i="11"/>
  <c r="F125" i="11"/>
  <c r="E125" i="11"/>
  <c r="G124" i="11"/>
  <c r="F124" i="11"/>
  <c r="D124" i="11"/>
  <c r="C124" i="11"/>
  <c r="F121" i="11"/>
  <c r="E121" i="11"/>
  <c r="D121" i="11"/>
  <c r="C121" i="11"/>
  <c r="H121" i="11" s="1"/>
  <c r="F117" i="11"/>
  <c r="E117" i="11"/>
  <c r="D117" i="11"/>
  <c r="G116" i="11"/>
  <c r="F116" i="11"/>
  <c r="E116" i="11"/>
  <c r="D116" i="11"/>
  <c r="C116" i="11"/>
  <c r="F114" i="11"/>
  <c r="E114" i="11"/>
  <c r="D114" i="11"/>
  <c r="F112" i="11"/>
  <c r="F110" i="11" s="1"/>
  <c r="F111" i="11"/>
  <c r="E111" i="11"/>
  <c r="E110" i="11" s="1"/>
  <c r="D111" i="11"/>
  <c r="C111" i="11"/>
  <c r="C110" i="11" s="1"/>
  <c r="G110" i="11"/>
  <c r="D110" i="11"/>
  <c r="G105" i="11"/>
  <c r="F105" i="11"/>
  <c r="E105" i="11"/>
  <c r="D105" i="11"/>
  <c r="C105" i="11"/>
  <c r="F104" i="11"/>
  <c r="F103" i="11"/>
  <c r="F102" i="11"/>
  <c r="G101" i="11"/>
  <c r="E101" i="11"/>
  <c r="D101" i="11"/>
  <c r="C101" i="11"/>
  <c r="F98" i="11"/>
  <c r="G96" i="11"/>
  <c r="F96" i="11"/>
  <c r="E96" i="11"/>
  <c r="D96" i="11"/>
  <c r="C96" i="11"/>
  <c r="F94" i="11"/>
  <c r="E94" i="11"/>
  <c r="E92" i="11" s="1"/>
  <c r="G92" i="11"/>
  <c r="F92" i="11"/>
  <c r="D92" i="11"/>
  <c r="C92" i="11"/>
  <c r="F91" i="11"/>
  <c r="F90" i="11"/>
  <c r="F89" i="11" s="1"/>
  <c r="G89" i="11"/>
  <c r="E89" i="11"/>
  <c r="D89" i="11"/>
  <c r="C89" i="11"/>
  <c r="G87" i="11"/>
  <c r="F87" i="11"/>
  <c r="E87" i="11"/>
  <c r="D87" i="11"/>
  <c r="C87" i="11"/>
  <c r="F86" i="11"/>
  <c r="E86" i="11"/>
  <c r="D86" i="11"/>
  <c r="F85" i="11"/>
  <c r="E85" i="11"/>
  <c r="D85" i="11"/>
  <c r="F84" i="11"/>
  <c r="F81" i="11" s="1"/>
  <c r="F83" i="11"/>
  <c r="E83" i="11"/>
  <c r="E81" i="11" s="1"/>
  <c r="D83" i="11"/>
  <c r="D81" i="11" s="1"/>
  <c r="C83" i="11"/>
  <c r="F82" i="11"/>
  <c r="G81" i="11"/>
  <c r="C81" i="11"/>
  <c r="G74" i="11"/>
  <c r="G75" i="11" s="1"/>
  <c r="F74" i="11"/>
  <c r="F75" i="11" s="1"/>
  <c r="J75" i="11" s="1"/>
  <c r="E74" i="11"/>
  <c r="I74" i="11" s="1"/>
  <c r="D74" i="11"/>
  <c r="C74" i="11"/>
  <c r="C75" i="11" s="1"/>
  <c r="J73" i="11"/>
  <c r="I73" i="11"/>
  <c r="H73" i="11"/>
  <c r="J72" i="11"/>
  <c r="I72" i="11"/>
  <c r="H72" i="11"/>
  <c r="G71" i="11"/>
  <c r="F71" i="11"/>
  <c r="J71" i="11" s="1"/>
  <c r="E71" i="11"/>
  <c r="E75" i="11" s="1"/>
  <c r="D71" i="11"/>
  <c r="H71" i="11" s="1"/>
  <c r="C71" i="11"/>
  <c r="J70" i="11"/>
  <c r="I70" i="11"/>
  <c r="H70" i="11"/>
  <c r="J69" i="11"/>
  <c r="I69" i="11"/>
  <c r="H69" i="11"/>
  <c r="J68" i="11"/>
  <c r="I68" i="11"/>
  <c r="H68" i="11"/>
  <c r="F66" i="11"/>
  <c r="F131" i="11" s="1"/>
  <c r="E66" i="11"/>
  <c r="I64" i="11"/>
  <c r="H64" i="11"/>
  <c r="I62" i="11"/>
  <c r="F60" i="11"/>
  <c r="E60" i="11"/>
  <c r="D60" i="11"/>
  <c r="F59" i="11"/>
  <c r="E59" i="11"/>
  <c r="D59" i="11"/>
  <c r="F58" i="11"/>
  <c r="E58" i="11"/>
  <c r="D58" i="11"/>
  <c r="F57" i="11"/>
  <c r="E57" i="11"/>
  <c r="F56" i="11"/>
  <c r="E56" i="11"/>
  <c r="D56" i="11"/>
  <c r="F53" i="11"/>
  <c r="E53" i="11"/>
  <c r="D53" i="11"/>
  <c r="C53" i="11"/>
  <c r="F49" i="11"/>
  <c r="E49" i="11"/>
  <c r="D49" i="11"/>
  <c r="F45" i="11"/>
  <c r="E45" i="11"/>
  <c r="E42" i="11" s="1"/>
  <c r="D45" i="11"/>
  <c r="C45" i="11"/>
  <c r="H62" i="11" s="1"/>
  <c r="E44" i="11"/>
  <c r="D44" i="11"/>
  <c r="G42" i="11"/>
  <c r="D42" i="11"/>
  <c r="I40" i="11"/>
  <c r="H40" i="11"/>
  <c r="F40" i="11"/>
  <c r="F34" i="11" s="1"/>
  <c r="G34" i="11"/>
  <c r="E34" i="11"/>
  <c r="D34" i="11"/>
  <c r="C34" i="11"/>
  <c r="G32" i="11"/>
  <c r="F32" i="11"/>
  <c r="E32" i="11"/>
  <c r="D32" i="11"/>
  <c r="C32" i="11"/>
  <c r="I31" i="11"/>
  <c r="H31" i="11"/>
  <c r="F22" i="11"/>
  <c r="F20" i="11"/>
  <c r="E20" i="11"/>
  <c r="D20" i="11"/>
  <c r="D11" i="11" s="1"/>
  <c r="C20" i="11"/>
  <c r="I16" i="11"/>
  <c r="H16" i="11"/>
  <c r="F14" i="11"/>
  <c r="F12" i="11"/>
  <c r="F11" i="11" s="1"/>
  <c r="G11" i="11"/>
  <c r="E11" i="11"/>
  <c r="C11" i="11"/>
  <c r="G3" i="11"/>
  <c r="G67" i="11" s="1"/>
  <c r="F3" i="11"/>
  <c r="E3" i="11"/>
  <c r="E67" i="11" s="1"/>
  <c r="D3" i="11"/>
  <c r="C3" i="11"/>
  <c r="F42" i="13" l="1"/>
  <c r="I96" i="13"/>
  <c r="G116" i="13"/>
  <c r="I11" i="13"/>
  <c r="M11" i="13" s="1"/>
  <c r="M98" i="13"/>
  <c r="T74" i="13"/>
  <c r="J135" i="13"/>
  <c r="J42" i="13"/>
  <c r="J69" i="13" s="1"/>
  <c r="F11" i="13"/>
  <c r="N31" i="13"/>
  <c r="I81" i="13"/>
  <c r="H96" i="13"/>
  <c r="N182" i="13"/>
  <c r="J11" i="13"/>
  <c r="K116" i="13"/>
  <c r="K154" i="13"/>
  <c r="K173" i="13"/>
  <c r="G81" i="13"/>
  <c r="I116" i="13"/>
  <c r="M132" i="13"/>
  <c r="D173" i="13"/>
  <c r="N173" i="13" s="1"/>
  <c r="K42" i="13"/>
  <c r="K11" i="13"/>
  <c r="K69" i="13" s="1"/>
  <c r="K76" i="13" s="1"/>
  <c r="K196" i="13" s="1"/>
  <c r="J116" i="13"/>
  <c r="K110" i="13"/>
  <c r="J101" i="13"/>
  <c r="K81" i="13"/>
  <c r="J154" i="13"/>
  <c r="J200" i="13" s="1"/>
  <c r="J173" i="13"/>
  <c r="J202" i="13" s="1"/>
  <c r="I3" i="13"/>
  <c r="M3" i="13" s="1"/>
  <c r="H11" i="13"/>
  <c r="H69" i="13" s="1"/>
  <c r="M40" i="13"/>
  <c r="I89" i="13"/>
  <c r="M89" i="13" s="1"/>
  <c r="I92" i="13"/>
  <c r="E110" i="13"/>
  <c r="I110" i="13"/>
  <c r="M110" i="13" s="1"/>
  <c r="H110" i="13"/>
  <c r="G110" i="13"/>
  <c r="H116" i="13"/>
  <c r="D116" i="13"/>
  <c r="D130" i="13" s="1"/>
  <c r="F173" i="13"/>
  <c r="P173" i="13" s="1"/>
  <c r="P189" i="13"/>
  <c r="J110" i="13"/>
  <c r="K96" i="13"/>
  <c r="K89" i="13"/>
  <c r="J81" i="13"/>
  <c r="G11" i="13"/>
  <c r="I87" i="13"/>
  <c r="M87" i="13" s="1"/>
  <c r="N16" i="13"/>
  <c r="H42" i="13"/>
  <c r="F89" i="13"/>
  <c r="I101" i="13"/>
  <c r="M101" i="13" s="1"/>
  <c r="H101" i="13"/>
  <c r="F110" i="13"/>
  <c r="M111" i="13"/>
  <c r="O154" i="13"/>
  <c r="G154" i="13"/>
  <c r="G200" i="13" s="1"/>
  <c r="G201" i="13" s="1"/>
  <c r="F154" i="13"/>
  <c r="F200" i="13" s="1"/>
  <c r="F201" i="13" s="1"/>
  <c r="J96" i="13"/>
  <c r="J89" i="13"/>
  <c r="I198" i="14"/>
  <c r="I209" i="14" s="1"/>
  <c r="U142" i="14"/>
  <c r="E198" i="14"/>
  <c r="E209" i="14" s="1"/>
  <c r="S209" i="14" s="1"/>
  <c r="Q142" i="14"/>
  <c r="G198" i="14"/>
  <c r="G209" i="14" s="1"/>
  <c r="S142" i="14"/>
  <c r="N208" i="14"/>
  <c r="O142" i="14"/>
  <c r="N198" i="14"/>
  <c r="N209" i="14" s="1"/>
  <c r="G208" i="14"/>
  <c r="G199" i="14"/>
  <c r="G206" i="14" s="1"/>
  <c r="K198" i="14"/>
  <c r="K209" i="14" s="1"/>
  <c r="W142" i="14"/>
  <c r="O141" i="14"/>
  <c r="H214" i="14"/>
  <c r="H211" i="14"/>
  <c r="U208" i="14"/>
  <c r="J199" i="14"/>
  <c r="J206" i="14" s="1"/>
  <c r="J208" i="14"/>
  <c r="R142" i="14"/>
  <c r="D198" i="14"/>
  <c r="P142" i="14"/>
  <c r="I197" i="14"/>
  <c r="U76" i="14"/>
  <c r="E208" i="14"/>
  <c r="V142" i="14"/>
  <c r="H198" i="14"/>
  <c r="T142" i="14"/>
  <c r="D214" i="14"/>
  <c r="Q214" i="14" s="1"/>
  <c r="Q208" i="14"/>
  <c r="D211" i="14"/>
  <c r="Q211" i="14" s="1"/>
  <c r="F208" i="14"/>
  <c r="F199" i="14"/>
  <c r="F206" i="14" s="1"/>
  <c r="F212" i="14"/>
  <c r="F215" i="14" s="1"/>
  <c r="K208" i="14"/>
  <c r="O76" i="14"/>
  <c r="J212" i="14"/>
  <c r="J215" i="14" s="1"/>
  <c r="V141" i="14"/>
  <c r="S134" i="13"/>
  <c r="Q138" i="13"/>
  <c r="L204" i="13"/>
  <c r="P186" i="13"/>
  <c r="J75" i="13"/>
  <c r="K135" i="13"/>
  <c r="M105" i="13"/>
  <c r="T146" i="13"/>
  <c r="T72" i="13"/>
  <c r="K139" i="13"/>
  <c r="U138" i="13"/>
  <c r="K199" i="13"/>
  <c r="M32" i="13"/>
  <c r="K75" i="13"/>
  <c r="U74" i="13"/>
  <c r="J139" i="13"/>
  <c r="T138" i="13"/>
  <c r="T132" i="13"/>
  <c r="J199" i="13"/>
  <c r="M116" i="13"/>
  <c r="Q132" i="13"/>
  <c r="Q134" i="13"/>
  <c r="O138" i="13"/>
  <c r="S138" i="13"/>
  <c r="K203" i="13"/>
  <c r="D75" i="13"/>
  <c r="H75" i="13"/>
  <c r="R75" i="13" s="1"/>
  <c r="U72" i="13"/>
  <c r="T134" i="13"/>
  <c r="J203" i="13"/>
  <c r="J130" i="13"/>
  <c r="E75" i="13"/>
  <c r="I75" i="13"/>
  <c r="O134" i="13"/>
  <c r="R134" i="13"/>
  <c r="P138" i="13"/>
  <c r="G139" i="13"/>
  <c r="R139" i="13" s="1"/>
  <c r="C75" i="13"/>
  <c r="Q72" i="13"/>
  <c r="N74" i="13"/>
  <c r="R74" i="13"/>
  <c r="P132" i="13"/>
  <c r="P134" i="13"/>
  <c r="M134" i="13"/>
  <c r="O186" i="13"/>
  <c r="M96" i="13"/>
  <c r="C135" i="13"/>
  <c r="S74" i="13"/>
  <c r="N132" i="13"/>
  <c r="O146" i="13"/>
  <c r="S146" i="13"/>
  <c r="P72" i="13"/>
  <c r="F75" i="13"/>
  <c r="N138" i="13"/>
  <c r="R138" i="13"/>
  <c r="D139" i="13"/>
  <c r="I139" i="13"/>
  <c r="S139" i="13" s="1"/>
  <c r="C204" i="13"/>
  <c r="E199" i="13"/>
  <c r="E201" i="13" s="1"/>
  <c r="E203" i="13"/>
  <c r="E204" i="13" s="1"/>
  <c r="M34" i="13"/>
  <c r="O74" i="13"/>
  <c r="C130" i="13"/>
  <c r="C69" i="13"/>
  <c r="M72" i="13"/>
  <c r="L130" i="13"/>
  <c r="L135" i="13"/>
  <c r="L140" i="13" s="1"/>
  <c r="C139" i="13"/>
  <c r="E139" i="13"/>
  <c r="Q146" i="13"/>
  <c r="G204" i="13"/>
  <c r="Q186" i="13"/>
  <c r="I199" i="13"/>
  <c r="N72" i="13"/>
  <c r="F69" i="13"/>
  <c r="L69" i="13"/>
  <c r="F135" i="13"/>
  <c r="P131" i="13"/>
  <c r="R72" i="13"/>
  <c r="Q74" i="13"/>
  <c r="P74" i="13"/>
  <c r="F81" i="13"/>
  <c r="M92" i="13"/>
  <c r="M124" i="13"/>
  <c r="P154" i="13"/>
  <c r="E135" i="13"/>
  <c r="O131" i="13"/>
  <c r="L75" i="13"/>
  <c r="M74" i="13"/>
  <c r="E130" i="13"/>
  <c r="G130" i="13"/>
  <c r="N64" i="13"/>
  <c r="I131" i="13"/>
  <c r="T131" i="13" s="1"/>
  <c r="M68" i="13"/>
  <c r="G69" i="13"/>
  <c r="N66" i="13"/>
  <c r="M66" i="13"/>
  <c r="G135" i="13"/>
  <c r="Q131" i="13"/>
  <c r="E42" i="13"/>
  <c r="E69" i="13" s="1"/>
  <c r="D42" i="13"/>
  <c r="D69" i="13" s="1"/>
  <c r="N121" i="13"/>
  <c r="H135" i="13"/>
  <c r="R131" i="13"/>
  <c r="R132" i="13"/>
  <c r="O72" i="13"/>
  <c r="S72" i="13"/>
  <c r="N136" i="13"/>
  <c r="I154" i="13"/>
  <c r="M154" i="13" s="1"/>
  <c r="M156" i="13"/>
  <c r="D135" i="13"/>
  <c r="N131" i="13"/>
  <c r="F139" i="13"/>
  <c r="P136" i="13"/>
  <c r="H200" i="13"/>
  <c r="H201" i="13" s="1"/>
  <c r="R154" i="13"/>
  <c r="M12" i="13"/>
  <c r="M20" i="13"/>
  <c r="I42" i="13"/>
  <c r="M81" i="13"/>
  <c r="O132" i="13"/>
  <c r="S132" i="13"/>
  <c r="Q136" i="13"/>
  <c r="M138" i="13"/>
  <c r="C201" i="13"/>
  <c r="M146" i="13"/>
  <c r="H203" i="13"/>
  <c r="R186" i="13"/>
  <c r="D201" i="13"/>
  <c r="P146" i="13"/>
  <c r="L200" i="13"/>
  <c r="L201" i="13" s="1"/>
  <c r="D202" i="13"/>
  <c r="D204" i="13" s="1"/>
  <c r="N179" i="13"/>
  <c r="H173" i="13"/>
  <c r="O173" i="13"/>
  <c r="I173" i="13"/>
  <c r="M176" i="13"/>
  <c r="I186" i="13"/>
  <c r="T186" i="13" s="1"/>
  <c r="M189" i="13"/>
  <c r="N146" i="13"/>
  <c r="R146" i="13"/>
  <c r="N186" i="13"/>
  <c r="F203" i="13"/>
  <c r="N154" i="13"/>
  <c r="G76" i="11"/>
  <c r="G198" i="11" s="1"/>
  <c r="F130" i="11"/>
  <c r="J140" i="11"/>
  <c r="J148" i="11"/>
  <c r="J156" i="11"/>
  <c r="F202" i="11"/>
  <c r="E175" i="11"/>
  <c r="J175" i="11"/>
  <c r="F204" i="11"/>
  <c r="F206" i="11" s="1"/>
  <c r="C203" i="11"/>
  <c r="E141" i="11"/>
  <c r="I141" i="11" s="1"/>
  <c r="F137" i="11"/>
  <c r="J131" i="11"/>
  <c r="D67" i="11"/>
  <c r="F42" i="11"/>
  <c r="F67" i="11" s="1"/>
  <c r="I71" i="11"/>
  <c r="H74" i="11"/>
  <c r="C130" i="11"/>
  <c r="C143" i="11" s="1"/>
  <c r="C199" i="11" s="1"/>
  <c r="C210" i="11" s="1"/>
  <c r="D130" i="11"/>
  <c r="E124" i="11"/>
  <c r="E130" i="11" s="1"/>
  <c r="E137" i="11"/>
  <c r="J133" i="11"/>
  <c r="H138" i="11"/>
  <c r="F203" i="11"/>
  <c r="E76" i="11"/>
  <c r="G130" i="11"/>
  <c r="G143" i="11" s="1"/>
  <c r="G199" i="11" s="1"/>
  <c r="G210" i="11" s="1"/>
  <c r="F101" i="11"/>
  <c r="I148" i="11"/>
  <c r="C175" i="11"/>
  <c r="C204" i="11" s="1"/>
  <c r="C206" i="11" s="1"/>
  <c r="H175" i="11"/>
  <c r="D204" i="11"/>
  <c r="G203" i="11"/>
  <c r="D75" i="11"/>
  <c r="H75" i="11" s="1"/>
  <c r="D137" i="11"/>
  <c r="I138" i="11"/>
  <c r="D201" i="11"/>
  <c r="D205" i="11"/>
  <c r="D202" i="11"/>
  <c r="E205" i="11"/>
  <c r="C42" i="11"/>
  <c r="C67" i="11" s="1"/>
  <c r="C76" i="11" s="1"/>
  <c r="C198" i="11" s="1"/>
  <c r="J74" i="11"/>
  <c r="H140" i="11"/>
  <c r="E199" i="14" l="1"/>
  <c r="E206" i="14" s="1"/>
  <c r="K199" i="14"/>
  <c r="K206" i="14" s="1"/>
  <c r="F130" i="13"/>
  <c r="N75" i="13"/>
  <c r="O139" i="13"/>
  <c r="P75" i="13"/>
  <c r="U135" i="13"/>
  <c r="H130" i="13"/>
  <c r="K130" i="13"/>
  <c r="U130" i="13" s="1"/>
  <c r="U173" i="13"/>
  <c r="Q154" i="13"/>
  <c r="U154" i="13"/>
  <c r="F202" i="13"/>
  <c r="Q173" i="13"/>
  <c r="O75" i="13"/>
  <c r="K202" i="13"/>
  <c r="K207" i="13" s="1"/>
  <c r="K210" i="13" s="1"/>
  <c r="I130" i="13"/>
  <c r="S130" i="13" s="1"/>
  <c r="T173" i="13"/>
  <c r="P139" i="13"/>
  <c r="K200" i="13"/>
  <c r="K201" i="13" s="1"/>
  <c r="I208" i="14"/>
  <c r="I199" i="14"/>
  <c r="I206" i="14" s="1"/>
  <c r="J211" i="14"/>
  <c r="J214" i="14"/>
  <c r="U214" i="14"/>
  <c r="N199" i="14"/>
  <c r="N206" i="14" s="1"/>
  <c r="K211" i="14"/>
  <c r="G211" i="14"/>
  <c r="T208" i="14"/>
  <c r="G214" i="14"/>
  <c r="N214" i="14"/>
  <c r="N211" i="14"/>
  <c r="E212" i="14"/>
  <c r="E215" i="14" s="1"/>
  <c r="R209" i="14"/>
  <c r="F211" i="14"/>
  <c r="S208" i="14"/>
  <c r="F214" i="14"/>
  <c r="R208" i="14"/>
  <c r="E211" i="14"/>
  <c r="R211" i="14" s="1"/>
  <c r="D209" i="14"/>
  <c r="D199" i="14"/>
  <c r="D206" i="14" s="1"/>
  <c r="N212" i="14"/>
  <c r="N215" i="14" s="1"/>
  <c r="F216" i="14"/>
  <c r="H209" i="14"/>
  <c r="H199" i="14"/>
  <c r="H206" i="14" s="1"/>
  <c r="U211" i="14"/>
  <c r="K212" i="14"/>
  <c r="G212" i="14"/>
  <c r="T212" i="14" s="1"/>
  <c r="T209" i="14"/>
  <c r="G215" i="14"/>
  <c r="I212" i="14"/>
  <c r="C140" i="13"/>
  <c r="C141" i="13" s="1"/>
  <c r="C197" i="13" s="1"/>
  <c r="C208" i="13" s="1"/>
  <c r="C211" i="13" s="1"/>
  <c r="C214" i="13" s="1"/>
  <c r="T75" i="13"/>
  <c r="J204" i="13"/>
  <c r="T154" i="13"/>
  <c r="C76" i="13"/>
  <c r="C196" i="13" s="1"/>
  <c r="C207" i="13" s="1"/>
  <c r="U75" i="13"/>
  <c r="T130" i="13"/>
  <c r="K140" i="13"/>
  <c r="U139" i="13"/>
  <c r="M75" i="13"/>
  <c r="J201" i="13"/>
  <c r="J140" i="13"/>
  <c r="T139" i="13"/>
  <c r="Q75" i="13"/>
  <c r="S75" i="13"/>
  <c r="N139" i="13"/>
  <c r="J76" i="13"/>
  <c r="U69" i="13"/>
  <c r="L141" i="13"/>
  <c r="M139" i="13"/>
  <c r="F204" i="13"/>
  <c r="E76" i="13"/>
  <c r="O69" i="13"/>
  <c r="N130" i="13"/>
  <c r="F76" i="13"/>
  <c r="P69" i="13"/>
  <c r="S173" i="13"/>
  <c r="M173" i="13"/>
  <c r="I202" i="13"/>
  <c r="M42" i="13"/>
  <c r="I69" i="13"/>
  <c r="M69" i="13" s="1"/>
  <c r="G76" i="13"/>
  <c r="Q69" i="13"/>
  <c r="S131" i="13"/>
  <c r="M131" i="13"/>
  <c r="I135" i="13"/>
  <c r="T135" i="13" s="1"/>
  <c r="L197" i="13"/>
  <c r="L208" i="13" s="1"/>
  <c r="S154" i="13"/>
  <c r="I200" i="13"/>
  <c r="I201" i="13" s="1"/>
  <c r="G140" i="13"/>
  <c r="Q135" i="13"/>
  <c r="Q130" i="13"/>
  <c r="Q139" i="13"/>
  <c r="P130" i="13"/>
  <c r="F140" i="13"/>
  <c r="P135" i="13"/>
  <c r="N69" i="13"/>
  <c r="D76" i="13"/>
  <c r="R135" i="13"/>
  <c r="H140" i="13"/>
  <c r="S186" i="13"/>
  <c r="I203" i="13"/>
  <c r="M186" i="13"/>
  <c r="H202" i="13"/>
  <c r="H204" i="13" s="1"/>
  <c r="R173" i="13"/>
  <c r="N135" i="13"/>
  <c r="D140" i="13"/>
  <c r="R69" i="13"/>
  <c r="H76" i="13"/>
  <c r="C210" i="13"/>
  <c r="C213" i="13" s="1"/>
  <c r="R130" i="13"/>
  <c r="O130" i="13"/>
  <c r="O135" i="13"/>
  <c r="E140" i="13"/>
  <c r="L76" i="13"/>
  <c r="I130" i="11"/>
  <c r="C209" i="11"/>
  <c r="C200" i="11"/>
  <c r="C207" i="11" s="1"/>
  <c r="F76" i="11"/>
  <c r="J67" i="11"/>
  <c r="D142" i="11"/>
  <c r="H142" i="11" s="1"/>
  <c r="H137" i="11"/>
  <c r="J137" i="11"/>
  <c r="F142" i="11"/>
  <c r="I75" i="11"/>
  <c r="D143" i="11"/>
  <c r="H130" i="11"/>
  <c r="G209" i="11"/>
  <c r="G200" i="11"/>
  <c r="G207" i="11" s="1"/>
  <c r="G213" i="11"/>
  <c r="G216" i="11" s="1"/>
  <c r="F143" i="11"/>
  <c r="J130" i="11"/>
  <c r="D203" i="11"/>
  <c r="E198" i="11"/>
  <c r="H67" i="11"/>
  <c r="D76" i="11"/>
  <c r="I175" i="11"/>
  <c r="E204" i="11"/>
  <c r="E206" i="11" s="1"/>
  <c r="C213" i="11"/>
  <c r="C216" i="11"/>
  <c r="D206" i="11"/>
  <c r="I67" i="11"/>
  <c r="I137" i="11"/>
  <c r="E142" i="11"/>
  <c r="I142" i="11" s="1"/>
  <c r="J141" i="11"/>
  <c r="I215" i="14" l="1"/>
  <c r="S212" i="14"/>
  <c r="K215" i="14"/>
  <c r="K214" i="14"/>
  <c r="N216" i="14"/>
  <c r="M130" i="13"/>
  <c r="T69" i="13"/>
  <c r="K204" i="13"/>
  <c r="E214" i="14"/>
  <c r="R214" i="14" s="1"/>
  <c r="G216" i="14"/>
  <c r="T216" i="14" s="1"/>
  <c r="T215" i="14"/>
  <c r="H212" i="14"/>
  <c r="U212" i="14" s="1"/>
  <c r="U209" i="14"/>
  <c r="D212" i="14"/>
  <c r="Q212" i="14" s="1"/>
  <c r="Q209" i="14"/>
  <c r="T214" i="14"/>
  <c r="I211" i="14"/>
  <c r="V211" i="14" s="1"/>
  <c r="V208" i="14"/>
  <c r="E216" i="14"/>
  <c r="V209" i="14"/>
  <c r="S215" i="14"/>
  <c r="S211" i="14"/>
  <c r="T211" i="14"/>
  <c r="J216" i="14"/>
  <c r="N140" i="13"/>
  <c r="C198" i="13"/>
  <c r="C205" i="13" s="1"/>
  <c r="C215" i="13" s="1"/>
  <c r="U140" i="13"/>
  <c r="K141" i="13"/>
  <c r="K197" i="13" s="1"/>
  <c r="J141" i="13"/>
  <c r="K213" i="13"/>
  <c r="J196" i="13"/>
  <c r="U76" i="13"/>
  <c r="Q140" i="13"/>
  <c r="I204" i="13"/>
  <c r="R140" i="13"/>
  <c r="H141" i="13"/>
  <c r="H197" i="13" s="1"/>
  <c r="H208" i="13" s="1"/>
  <c r="O140" i="13"/>
  <c r="H196" i="13"/>
  <c r="R76" i="13"/>
  <c r="I140" i="13"/>
  <c r="T140" i="13" s="1"/>
  <c r="S135" i="13"/>
  <c r="M135" i="13"/>
  <c r="G196" i="13"/>
  <c r="Q76" i="13"/>
  <c r="F196" i="13"/>
  <c r="P76" i="13"/>
  <c r="I76" i="13"/>
  <c r="T76" i="13" s="1"/>
  <c r="S69" i="13"/>
  <c r="P140" i="13"/>
  <c r="L211" i="13"/>
  <c r="L214" i="13" s="1"/>
  <c r="L196" i="13"/>
  <c r="E141" i="13"/>
  <c r="D196" i="13"/>
  <c r="N76" i="13"/>
  <c r="F141" i="13"/>
  <c r="G141" i="13"/>
  <c r="D141" i="13"/>
  <c r="E196" i="13"/>
  <c r="O76" i="13"/>
  <c r="D198" i="11"/>
  <c r="H76" i="11"/>
  <c r="D199" i="11"/>
  <c r="D210" i="11" s="1"/>
  <c r="H143" i="11"/>
  <c r="C212" i="11"/>
  <c r="C215" i="11"/>
  <c r="C217" i="11"/>
  <c r="I76" i="11"/>
  <c r="F199" i="11"/>
  <c r="F210" i="11" s="1"/>
  <c r="J143" i="11"/>
  <c r="G212" i="11"/>
  <c r="G215" i="11" s="1"/>
  <c r="G217" i="11" s="1"/>
  <c r="J142" i="11"/>
  <c r="E143" i="11"/>
  <c r="E209" i="11"/>
  <c r="J76" i="11"/>
  <c r="F198" i="11"/>
  <c r="R212" i="14" l="1"/>
  <c r="D215" i="14"/>
  <c r="D216" i="14" s="1"/>
  <c r="Q216" i="14" s="1"/>
  <c r="K216" i="14"/>
  <c r="M76" i="13"/>
  <c r="Q215" i="14"/>
  <c r="S216" i="14"/>
  <c r="V212" i="14"/>
  <c r="R215" i="14"/>
  <c r="I214" i="14"/>
  <c r="S214" i="14"/>
  <c r="H215" i="14"/>
  <c r="J197" i="13"/>
  <c r="J208" i="13" s="1"/>
  <c r="U141" i="13"/>
  <c r="K208" i="13"/>
  <c r="K198" i="13"/>
  <c r="K205" i="13" s="1"/>
  <c r="J198" i="13"/>
  <c r="J205" i="13" s="1"/>
  <c r="J207" i="13"/>
  <c r="R141" i="13"/>
  <c r="F197" i="13"/>
  <c r="F208" i="13" s="1"/>
  <c r="P141" i="13"/>
  <c r="F207" i="13"/>
  <c r="E207" i="13"/>
  <c r="L207" i="13"/>
  <c r="L198" i="13"/>
  <c r="L205" i="13" s="1"/>
  <c r="S140" i="13"/>
  <c r="M140" i="13"/>
  <c r="I141" i="13"/>
  <c r="T141" i="13" s="1"/>
  <c r="H207" i="13"/>
  <c r="H198" i="13"/>
  <c r="H205" i="13" s="1"/>
  <c r="D197" i="13"/>
  <c r="D208" i="13" s="1"/>
  <c r="N141" i="13"/>
  <c r="D207" i="13"/>
  <c r="I196" i="13"/>
  <c r="S76" i="13"/>
  <c r="G207" i="13"/>
  <c r="G197" i="13"/>
  <c r="G208" i="13" s="1"/>
  <c r="Q141" i="13"/>
  <c r="O141" i="13"/>
  <c r="E197" i="13"/>
  <c r="E208" i="13" s="1"/>
  <c r="H211" i="13"/>
  <c r="E212" i="11"/>
  <c r="D216" i="11"/>
  <c r="I210" i="11"/>
  <c r="D213" i="11"/>
  <c r="I213" i="11" s="1"/>
  <c r="F209" i="11"/>
  <c r="F200" i="11"/>
  <c r="F207" i="11" s="1"/>
  <c r="F213" i="11"/>
  <c r="F216" i="11"/>
  <c r="D209" i="11"/>
  <c r="J209" i="11" s="1"/>
  <c r="D200" i="11"/>
  <c r="D207" i="11" s="1"/>
  <c r="E199" i="11"/>
  <c r="I143" i="11"/>
  <c r="V214" i="14" l="1"/>
  <c r="I216" i="14"/>
  <c r="U215" i="14"/>
  <c r="H216" i="14"/>
  <c r="U216" i="14" s="1"/>
  <c r="V215" i="14"/>
  <c r="R216" i="14"/>
  <c r="V207" i="13"/>
  <c r="J211" i="13"/>
  <c r="V208" i="13"/>
  <c r="K211" i="13"/>
  <c r="J210" i="13"/>
  <c r="I197" i="13"/>
  <c r="I208" i="13" s="1"/>
  <c r="U208" i="13" s="1"/>
  <c r="S141" i="13"/>
  <c r="M141" i="13"/>
  <c r="L210" i="13"/>
  <c r="L213" i="13" s="1"/>
  <c r="L215" i="13" s="1"/>
  <c r="F210" i="13"/>
  <c r="F213" i="13" s="1"/>
  <c r="Q207" i="13"/>
  <c r="R208" i="13"/>
  <c r="G211" i="13"/>
  <c r="G214" i="13" s="1"/>
  <c r="D211" i="13"/>
  <c r="O211" i="13" s="1"/>
  <c r="O208" i="13"/>
  <c r="E198" i="13"/>
  <c r="E205" i="13" s="1"/>
  <c r="H214" i="13"/>
  <c r="E211" i="13"/>
  <c r="P211" i="13" s="1"/>
  <c r="P208" i="13"/>
  <c r="G198" i="13"/>
  <c r="G205" i="13" s="1"/>
  <c r="D198" i="13"/>
  <c r="D205" i="13" s="1"/>
  <c r="P207" i="13"/>
  <c r="E210" i="13"/>
  <c r="F211" i="13"/>
  <c r="Q208" i="13"/>
  <c r="I207" i="13"/>
  <c r="U207" i="13" s="1"/>
  <c r="S208" i="13"/>
  <c r="G210" i="13"/>
  <c r="R207" i="13"/>
  <c r="D210" i="13"/>
  <c r="O210" i="13" s="1"/>
  <c r="O207" i="13"/>
  <c r="H210" i="13"/>
  <c r="S210" i="13" s="1"/>
  <c r="S207" i="13"/>
  <c r="F198" i="13"/>
  <c r="F205" i="13" s="1"/>
  <c r="K209" i="11"/>
  <c r="L209" i="11" s="1"/>
  <c r="F212" i="11"/>
  <c r="K212" i="11" s="1"/>
  <c r="F215" i="11"/>
  <c r="J212" i="11"/>
  <c r="L212" i="11" s="1"/>
  <c r="D212" i="11"/>
  <c r="I212" i="11" s="1"/>
  <c r="D215" i="11"/>
  <c r="I215" i="11" s="1"/>
  <c r="I209" i="11"/>
  <c r="I216" i="11"/>
  <c r="E210" i="11"/>
  <c r="E200" i="11"/>
  <c r="E207" i="11" s="1"/>
  <c r="E215" i="11"/>
  <c r="J215" i="11" s="1"/>
  <c r="V216" i="14" l="1"/>
  <c r="J214" i="13"/>
  <c r="R210" i="13"/>
  <c r="J213" i="13"/>
  <c r="V210" i="13"/>
  <c r="Q211" i="13"/>
  <c r="V211" i="13"/>
  <c r="I198" i="13"/>
  <c r="I205" i="13" s="1"/>
  <c r="K214" i="13"/>
  <c r="G213" i="13"/>
  <c r="R213" i="13" s="1"/>
  <c r="G215" i="13"/>
  <c r="P210" i="13"/>
  <c r="Q210" i="13"/>
  <c r="R211" i="13"/>
  <c r="D213" i="13"/>
  <c r="O213" i="13" s="1"/>
  <c r="H213" i="13"/>
  <c r="F214" i="13"/>
  <c r="E214" i="13"/>
  <c r="I211" i="13"/>
  <c r="T211" i="13" s="1"/>
  <c r="T208" i="13"/>
  <c r="T207" i="13"/>
  <c r="I210" i="13"/>
  <c r="T210" i="13" s="1"/>
  <c r="E213" i="13"/>
  <c r="Q213" i="13" s="1"/>
  <c r="S214" i="13"/>
  <c r="D214" i="13"/>
  <c r="S211" i="13"/>
  <c r="J210" i="11"/>
  <c r="L210" i="11" s="1"/>
  <c r="E213" i="11"/>
  <c r="E216" i="11"/>
  <c r="K210" i="11"/>
  <c r="K215" i="11"/>
  <c r="L215" i="11" s="1"/>
  <c r="F217" i="11"/>
  <c r="D217" i="11"/>
  <c r="I217" i="11" s="1"/>
  <c r="J215" i="13" l="1"/>
  <c r="V213" i="13"/>
  <c r="U211" i="13"/>
  <c r="S213" i="13"/>
  <c r="U210" i="13"/>
  <c r="V214" i="13"/>
  <c r="K215" i="13"/>
  <c r="D215" i="13"/>
  <c r="O215" i="13" s="1"/>
  <c r="O214" i="13"/>
  <c r="I213" i="13"/>
  <c r="T213" i="13" s="1"/>
  <c r="I214" i="13"/>
  <c r="U214" i="13" s="1"/>
  <c r="H215" i="13"/>
  <c r="S215" i="13" s="1"/>
  <c r="P214" i="13"/>
  <c r="E215" i="13"/>
  <c r="P213" i="13"/>
  <c r="Q214" i="13"/>
  <c r="F215" i="13"/>
  <c r="R214" i="13"/>
  <c r="J213" i="11"/>
  <c r="K213" i="11"/>
  <c r="E217" i="11"/>
  <c r="J217" i="11" s="1"/>
  <c r="J216" i="11"/>
  <c r="L216" i="11" s="1"/>
  <c r="K216" i="11"/>
  <c r="P215" i="13" l="1"/>
  <c r="V215" i="13"/>
  <c r="U213" i="13"/>
  <c r="Q215" i="13"/>
  <c r="T214" i="13"/>
  <c r="I215" i="13"/>
  <c r="T215" i="13" s="1"/>
  <c r="R215" i="13"/>
  <c r="K217" i="11"/>
  <c r="L217" i="11" s="1"/>
  <c r="L213" i="11"/>
  <c r="U215" i="13" l="1"/>
  <c r="R207" i="12"/>
  <c r="R208" i="12"/>
  <c r="R210" i="12"/>
  <c r="R211" i="12"/>
  <c r="R213" i="12"/>
  <c r="R214" i="12"/>
  <c r="R215" i="12"/>
  <c r="K4" i="12"/>
  <c r="K5" i="12"/>
  <c r="K6" i="12"/>
  <c r="K7" i="12"/>
  <c r="K8" i="12"/>
  <c r="K9" i="12"/>
  <c r="K10" i="12"/>
  <c r="K11" i="12"/>
  <c r="K12" i="12"/>
  <c r="K13" i="12"/>
  <c r="K14" i="12"/>
  <c r="K15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7" i="12"/>
  <c r="K58" i="12"/>
  <c r="K59" i="12"/>
  <c r="K60" i="12"/>
  <c r="K61" i="12"/>
  <c r="K62" i="12"/>
  <c r="K63" i="12"/>
  <c r="K64" i="12"/>
  <c r="K65" i="12"/>
  <c r="K66" i="12"/>
  <c r="K68" i="12"/>
  <c r="K69" i="12"/>
  <c r="K70" i="12"/>
  <c r="K71" i="12"/>
  <c r="K72" i="12"/>
  <c r="K73" i="12"/>
  <c r="K74" i="12"/>
  <c r="K75" i="12"/>
  <c r="K76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8" i="12"/>
  <c r="K139" i="12"/>
  <c r="K140" i="12"/>
  <c r="K141" i="12"/>
  <c r="K146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73" i="12"/>
  <c r="K174" i="12"/>
  <c r="K175" i="12"/>
  <c r="K176" i="12"/>
  <c r="K177" i="12"/>
  <c r="K178" i="12"/>
  <c r="K179" i="12"/>
  <c r="K180" i="12"/>
  <c r="K181" i="12"/>
  <c r="K183" i="12"/>
  <c r="K184" i="12"/>
  <c r="K185" i="12"/>
  <c r="K186" i="12"/>
  <c r="K187" i="12"/>
  <c r="K188" i="12"/>
  <c r="K189" i="12"/>
  <c r="K191" i="12"/>
  <c r="K3" i="12"/>
  <c r="I167" i="12"/>
  <c r="I168" i="12"/>
  <c r="H168" i="12"/>
  <c r="H167" i="12"/>
  <c r="I126" i="12"/>
  <c r="H126" i="12"/>
  <c r="I121" i="12"/>
  <c r="H121" i="12"/>
  <c r="I120" i="12"/>
  <c r="H120" i="12"/>
  <c r="I119" i="12"/>
  <c r="H119" i="12"/>
  <c r="I112" i="12"/>
  <c r="H112" i="12"/>
  <c r="I108" i="12"/>
  <c r="Q173" i="12"/>
  <c r="Q186" i="12"/>
  <c r="Q146" i="12"/>
  <c r="Q148" i="12"/>
  <c r="Q153" i="12"/>
  <c r="Q131" i="12"/>
  <c r="Q132" i="12"/>
  <c r="Q133" i="12"/>
  <c r="Q134" i="12"/>
  <c r="Q135" i="12"/>
  <c r="Q136" i="12"/>
  <c r="Q137" i="12"/>
  <c r="Q138" i="12"/>
  <c r="Q139" i="12"/>
  <c r="Q140" i="12"/>
  <c r="Q69" i="12"/>
  <c r="Q70" i="12"/>
  <c r="Q71" i="12"/>
  <c r="Q72" i="12"/>
  <c r="Q73" i="12"/>
  <c r="Q74" i="12"/>
  <c r="Q75" i="12"/>
  <c r="Q76" i="12"/>
  <c r="L16" i="12"/>
  <c r="L31" i="12"/>
  <c r="M66" i="12"/>
  <c r="L66" i="12"/>
  <c r="L64" i="12"/>
  <c r="I68" i="12"/>
  <c r="I48" i="12"/>
  <c r="I174" i="12" l="1"/>
  <c r="I176" i="12"/>
  <c r="I179" i="12"/>
  <c r="I180" i="12"/>
  <c r="I181" i="12"/>
  <c r="I183" i="12"/>
  <c r="I189" i="12"/>
  <c r="I186" i="12" s="1"/>
  <c r="I203" i="12" s="1"/>
  <c r="I146" i="12"/>
  <c r="I199" i="12" s="1"/>
  <c r="I156" i="12"/>
  <c r="I154" i="12" s="1"/>
  <c r="I200" i="12" s="1"/>
  <c r="I157" i="12"/>
  <c r="I159" i="12"/>
  <c r="I161" i="12"/>
  <c r="I164" i="12"/>
  <c r="I82" i="12"/>
  <c r="I83" i="12"/>
  <c r="I84" i="12"/>
  <c r="I85" i="12"/>
  <c r="I86" i="12"/>
  <c r="I88" i="12"/>
  <c r="I87" i="12" s="1"/>
  <c r="I90" i="12"/>
  <c r="I91" i="12"/>
  <c r="I94" i="12"/>
  <c r="I92" i="12" s="1"/>
  <c r="I97" i="12"/>
  <c r="I98" i="12"/>
  <c r="I96" i="12" s="1"/>
  <c r="I102" i="12"/>
  <c r="I103" i="12"/>
  <c r="I104" i="12"/>
  <c r="I105" i="12"/>
  <c r="I111" i="12"/>
  <c r="I110" i="12"/>
  <c r="I113" i="12"/>
  <c r="I114" i="12"/>
  <c r="I117" i="12"/>
  <c r="I122" i="12"/>
  <c r="I125" i="12"/>
  <c r="I127" i="12"/>
  <c r="I132" i="12"/>
  <c r="I134" i="12"/>
  <c r="I136" i="12"/>
  <c r="I139" i="12" s="1"/>
  <c r="I138" i="12"/>
  <c r="I4" i="12"/>
  <c r="I3" i="12" s="1"/>
  <c r="I12" i="12"/>
  <c r="I14" i="12"/>
  <c r="I20" i="12"/>
  <c r="I22" i="12"/>
  <c r="I32" i="12"/>
  <c r="I34" i="12"/>
  <c r="I40" i="12"/>
  <c r="I46" i="12"/>
  <c r="I51" i="12"/>
  <c r="I54" i="12"/>
  <c r="I55" i="12"/>
  <c r="I58" i="12"/>
  <c r="I59" i="12"/>
  <c r="I60" i="12"/>
  <c r="I61" i="12"/>
  <c r="I63" i="12"/>
  <c r="I66" i="12"/>
  <c r="I131" i="12"/>
  <c r="I135" i="12" s="1"/>
  <c r="I140" i="12" s="1"/>
  <c r="I72" i="12"/>
  <c r="I74" i="12"/>
  <c r="I201" i="12" l="1"/>
  <c r="I11" i="12"/>
  <c r="I116" i="12"/>
  <c r="I101" i="12"/>
  <c r="I81" i="12"/>
  <c r="I173" i="12"/>
  <c r="I202" i="12" s="1"/>
  <c r="I204" i="12" s="1"/>
  <c r="I124" i="12"/>
  <c r="I42" i="12"/>
  <c r="I69" i="12" s="1"/>
  <c r="I76" i="12" s="1"/>
  <c r="I196" i="12" s="1"/>
  <c r="I75" i="12"/>
  <c r="I89" i="12"/>
  <c r="K32" i="7"/>
  <c r="K33" i="7"/>
  <c r="K30" i="7"/>
  <c r="K31" i="7"/>
  <c r="K34" i="7"/>
  <c r="K11" i="7"/>
  <c r="I130" i="12" l="1"/>
  <c r="I207" i="12"/>
  <c r="I213" i="12" s="1"/>
  <c r="I210" i="12"/>
  <c r="G40" i="7"/>
  <c r="G38" i="7"/>
  <c r="G28" i="7"/>
  <c r="G23" i="7"/>
  <c r="G17" i="7"/>
  <c r="G13" i="7"/>
  <c r="G7" i="7"/>
  <c r="G42" i="7" l="1"/>
  <c r="G45" i="7" s="1"/>
  <c r="I141" i="12"/>
  <c r="G20" i="7"/>
  <c r="G24" i="7" s="1"/>
  <c r="C40" i="8"/>
  <c r="C33" i="8"/>
  <c r="C27" i="8"/>
  <c r="C17" i="8"/>
  <c r="C13" i="8"/>
  <c r="C7" i="8"/>
  <c r="K40" i="7"/>
  <c r="K38" i="7"/>
  <c r="K29" i="7"/>
  <c r="K24" i="7"/>
  <c r="K18" i="7"/>
  <c r="K14" i="7"/>
  <c r="K7" i="7"/>
  <c r="E199" i="12"/>
  <c r="M189" i="12"/>
  <c r="L189" i="12"/>
  <c r="H189" i="12"/>
  <c r="G189" i="12"/>
  <c r="F189" i="12"/>
  <c r="N189" i="12" s="1"/>
  <c r="J186" i="12"/>
  <c r="G186" i="12"/>
  <c r="G203" i="12" s="1"/>
  <c r="F186" i="12"/>
  <c r="F203" i="12" s="1"/>
  <c r="E186" i="12"/>
  <c r="E203" i="12" s="1"/>
  <c r="D186" i="12"/>
  <c r="D203" i="12" s="1"/>
  <c r="C186" i="12"/>
  <c r="C203" i="12" s="1"/>
  <c r="M185" i="12"/>
  <c r="H183" i="12"/>
  <c r="G183" i="12"/>
  <c r="F183" i="12"/>
  <c r="M182" i="12"/>
  <c r="L182" i="12"/>
  <c r="H181" i="12"/>
  <c r="G181" i="12"/>
  <c r="F181" i="12"/>
  <c r="E181" i="12"/>
  <c r="D181" i="12"/>
  <c r="C181" i="12"/>
  <c r="H180" i="12"/>
  <c r="G180" i="12"/>
  <c r="F180" i="12"/>
  <c r="E180" i="12"/>
  <c r="E173" i="12" s="1"/>
  <c r="D180" i="12"/>
  <c r="C180" i="12"/>
  <c r="M179" i="12"/>
  <c r="H179" i="12"/>
  <c r="G179" i="12"/>
  <c r="F179" i="12"/>
  <c r="E179" i="12"/>
  <c r="E178" i="12"/>
  <c r="H176" i="12"/>
  <c r="G176" i="12"/>
  <c r="F176" i="12"/>
  <c r="F173" i="12" s="1"/>
  <c r="E176" i="12"/>
  <c r="H174" i="12"/>
  <c r="G174" i="12"/>
  <c r="G173" i="12" s="1"/>
  <c r="F174" i="12"/>
  <c r="E174" i="12"/>
  <c r="D174" i="12"/>
  <c r="D173" i="12" s="1"/>
  <c r="C174" i="12"/>
  <c r="C173" i="12" s="1"/>
  <c r="C202" i="12" s="1"/>
  <c r="J173" i="12"/>
  <c r="G167" i="12"/>
  <c r="F167" i="12"/>
  <c r="H164" i="12"/>
  <c r="G164" i="12"/>
  <c r="F164" i="12"/>
  <c r="H161" i="12"/>
  <c r="G161" i="12"/>
  <c r="F161" i="12"/>
  <c r="H159" i="12"/>
  <c r="G159" i="12"/>
  <c r="F159" i="12"/>
  <c r="H157" i="12"/>
  <c r="G157" i="12"/>
  <c r="F157" i="12"/>
  <c r="H156" i="12"/>
  <c r="G156" i="12"/>
  <c r="G154" i="12" s="1"/>
  <c r="F156" i="12"/>
  <c r="J154" i="12"/>
  <c r="J200" i="12" s="1"/>
  <c r="E154" i="12"/>
  <c r="E200" i="12" s="1"/>
  <c r="D154" i="12"/>
  <c r="D200" i="12" s="1"/>
  <c r="C154" i="12"/>
  <c r="P153" i="12"/>
  <c r="O153" i="12"/>
  <c r="N153" i="12"/>
  <c r="M153" i="12"/>
  <c r="L153" i="12"/>
  <c r="P148" i="12"/>
  <c r="O148" i="12"/>
  <c r="N148" i="12"/>
  <c r="M148" i="12"/>
  <c r="L148" i="12"/>
  <c r="J146" i="12"/>
  <c r="H146" i="12"/>
  <c r="G146" i="12"/>
  <c r="F146" i="12"/>
  <c r="F199" i="12" s="1"/>
  <c r="E146" i="12"/>
  <c r="N146" i="12" s="1"/>
  <c r="D146" i="12"/>
  <c r="D199" i="12" s="1"/>
  <c r="D201" i="12" s="1"/>
  <c r="C146" i="12"/>
  <c r="C199" i="12" s="1"/>
  <c r="J138" i="12"/>
  <c r="J139" i="12" s="1"/>
  <c r="H138" i="12"/>
  <c r="G138" i="12"/>
  <c r="F138" i="12"/>
  <c r="E138" i="12"/>
  <c r="D138" i="12"/>
  <c r="C138" i="12"/>
  <c r="P137" i="12"/>
  <c r="O137" i="12"/>
  <c r="N137" i="12"/>
  <c r="M137" i="12"/>
  <c r="L137" i="12"/>
  <c r="H136" i="12"/>
  <c r="G136" i="12"/>
  <c r="O136" i="12" s="1"/>
  <c r="F136" i="12"/>
  <c r="E136" i="12"/>
  <c r="D136" i="12"/>
  <c r="C136" i="12"/>
  <c r="J134" i="12"/>
  <c r="H134" i="12"/>
  <c r="G134" i="12"/>
  <c r="F134" i="12"/>
  <c r="N134" i="12" s="1"/>
  <c r="E134" i="12"/>
  <c r="D134" i="12"/>
  <c r="M134" i="12" s="1"/>
  <c r="C134" i="12"/>
  <c r="P133" i="12"/>
  <c r="O133" i="12"/>
  <c r="N133" i="12"/>
  <c r="M133" i="12"/>
  <c r="L133" i="12"/>
  <c r="J132" i="12"/>
  <c r="H132" i="12"/>
  <c r="G132" i="12"/>
  <c r="F132" i="12"/>
  <c r="E132" i="12"/>
  <c r="D132" i="12"/>
  <c r="C132" i="12"/>
  <c r="J131" i="12"/>
  <c r="D131" i="12"/>
  <c r="D135" i="12" s="1"/>
  <c r="C131" i="12"/>
  <c r="H127" i="12"/>
  <c r="G126" i="12"/>
  <c r="F126" i="12"/>
  <c r="E126" i="12"/>
  <c r="H125" i="12"/>
  <c r="G125" i="12"/>
  <c r="G124" i="12" s="1"/>
  <c r="F125" i="12"/>
  <c r="F124" i="12" s="1"/>
  <c r="E125" i="12"/>
  <c r="E124" i="12" s="1"/>
  <c r="J124" i="12"/>
  <c r="D124" i="12"/>
  <c r="C124" i="12"/>
  <c r="H122" i="12"/>
  <c r="G122" i="12"/>
  <c r="G121" i="12"/>
  <c r="F121" i="12"/>
  <c r="E121" i="12"/>
  <c r="D121" i="12"/>
  <c r="C121" i="12"/>
  <c r="L121" i="12" s="1"/>
  <c r="H117" i="12"/>
  <c r="G117" i="12"/>
  <c r="F117" i="12"/>
  <c r="E117" i="12"/>
  <c r="E116" i="12" s="1"/>
  <c r="D117" i="12"/>
  <c r="J116" i="12"/>
  <c r="G116" i="12"/>
  <c r="F116" i="12"/>
  <c r="C116" i="12"/>
  <c r="H114" i="12"/>
  <c r="G114" i="12"/>
  <c r="F114" i="12"/>
  <c r="E114" i="12"/>
  <c r="D114" i="12"/>
  <c r="H113" i="12"/>
  <c r="G112" i="12"/>
  <c r="F112" i="12"/>
  <c r="F110" i="12" s="1"/>
  <c r="H111" i="12"/>
  <c r="G111" i="12"/>
  <c r="F111" i="12"/>
  <c r="E111" i="12"/>
  <c r="E110" i="12" s="1"/>
  <c r="D111" i="12"/>
  <c r="D110" i="12" s="1"/>
  <c r="C111" i="12"/>
  <c r="J110" i="12"/>
  <c r="H110" i="12"/>
  <c r="C110" i="12"/>
  <c r="J105" i="12"/>
  <c r="H105" i="12"/>
  <c r="G105" i="12"/>
  <c r="F105" i="12"/>
  <c r="E105" i="12"/>
  <c r="D105" i="12"/>
  <c r="C105" i="12"/>
  <c r="H104" i="12"/>
  <c r="G104" i="12"/>
  <c r="F104" i="12"/>
  <c r="H103" i="12"/>
  <c r="G103" i="12"/>
  <c r="F103" i="12"/>
  <c r="F101" i="12" s="1"/>
  <c r="H102" i="12"/>
  <c r="G102" i="12"/>
  <c r="F102" i="12"/>
  <c r="J101" i="12"/>
  <c r="G101" i="12"/>
  <c r="E101" i="12"/>
  <c r="D101" i="12"/>
  <c r="C101" i="12"/>
  <c r="H98" i="12"/>
  <c r="G98" i="12"/>
  <c r="F98" i="12"/>
  <c r="H97" i="12"/>
  <c r="G97" i="12"/>
  <c r="J96" i="12"/>
  <c r="F96" i="12"/>
  <c r="E96" i="12"/>
  <c r="D96" i="12"/>
  <c r="C96" i="12"/>
  <c r="H94" i="12"/>
  <c r="G94" i="12"/>
  <c r="F94" i="12"/>
  <c r="F92" i="12" s="1"/>
  <c r="E94" i="12"/>
  <c r="J92" i="12"/>
  <c r="G92" i="12"/>
  <c r="E92" i="12"/>
  <c r="D92" i="12"/>
  <c r="C92" i="12"/>
  <c r="H91" i="12"/>
  <c r="G91" i="12"/>
  <c r="F91" i="12"/>
  <c r="H90" i="12"/>
  <c r="G90" i="12"/>
  <c r="G89" i="12" s="1"/>
  <c r="F90" i="12"/>
  <c r="F89" i="12" s="1"/>
  <c r="J89" i="12"/>
  <c r="E89" i="12"/>
  <c r="D89" i="12"/>
  <c r="C89" i="12"/>
  <c r="H88" i="12"/>
  <c r="J87" i="12"/>
  <c r="G87" i="12"/>
  <c r="F87" i="12"/>
  <c r="E87" i="12"/>
  <c r="D87" i="12"/>
  <c r="C87" i="12"/>
  <c r="H86" i="12"/>
  <c r="G86" i="12"/>
  <c r="F86" i="12"/>
  <c r="E86" i="12"/>
  <c r="D86" i="12"/>
  <c r="H85" i="12"/>
  <c r="G85" i="12"/>
  <c r="F85" i="12"/>
  <c r="E85" i="12"/>
  <c r="D85" i="12"/>
  <c r="H84" i="12"/>
  <c r="G84" i="12"/>
  <c r="F84" i="12"/>
  <c r="H83" i="12"/>
  <c r="G83" i="12"/>
  <c r="F83" i="12"/>
  <c r="F81" i="12" s="1"/>
  <c r="E83" i="12"/>
  <c r="D83" i="12"/>
  <c r="C83" i="12"/>
  <c r="C81" i="12" s="1"/>
  <c r="H82" i="12"/>
  <c r="G82" i="12"/>
  <c r="F82" i="12"/>
  <c r="J81" i="12"/>
  <c r="J74" i="12"/>
  <c r="H74" i="12"/>
  <c r="G74" i="12"/>
  <c r="P74" i="12" s="1"/>
  <c r="F74" i="12"/>
  <c r="E74" i="12"/>
  <c r="D74" i="12"/>
  <c r="C74" i="12"/>
  <c r="L74" i="12" s="1"/>
  <c r="P73" i="12"/>
  <c r="O73" i="12"/>
  <c r="N73" i="12"/>
  <c r="M73" i="12"/>
  <c r="L73" i="12"/>
  <c r="J72" i="12"/>
  <c r="H72" i="12"/>
  <c r="P72" i="12" s="1"/>
  <c r="G72" i="12"/>
  <c r="F72" i="12"/>
  <c r="E72" i="12"/>
  <c r="D72" i="12"/>
  <c r="L72" i="12" s="1"/>
  <c r="C72" i="12"/>
  <c r="P71" i="12"/>
  <c r="O71" i="12"/>
  <c r="N71" i="12"/>
  <c r="M71" i="12"/>
  <c r="L71" i="12"/>
  <c r="P70" i="12"/>
  <c r="O70" i="12"/>
  <c r="N70" i="12"/>
  <c r="M70" i="12"/>
  <c r="L70" i="12"/>
  <c r="H68" i="12"/>
  <c r="H131" i="12" s="1"/>
  <c r="G68" i="12"/>
  <c r="G131" i="12" s="1"/>
  <c r="F68" i="12"/>
  <c r="F131" i="12" s="1"/>
  <c r="E68" i="12"/>
  <c r="E131" i="12" s="1"/>
  <c r="H66" i="12"/>
  <c r="G66" i="12"/>
  <c r="M64" i="12"/>
  <c r="H63" i="12"/>
  <c r="G63" i="12"/>
  <c r="F63" i="12"/>
  <c r="E63" i="12"/>
  <c r="D63" i="12"/>
  <c r="H61" i="12"/>
  <c r="G61" i="12"/>
  <c r="F61" i="12"/>
  <c r="E61" i="12"/>
  <c r="E42" i="12" s="1"/>
  <c r="D61" i="12"/>
  <c r="H60" i="12"/>
  <c r="G60" i="12"/>
  <c r="F60" i="12"/>
  <c r="E60" i="12"/>
  <c r="D60" i="12"/>
  <c r="H59" i="12"/>
  <c r="G59" i="12"/>
  <c r="F59" i="12"/>
  <c r="E59" i="12"/>
  <c r="H58" i="12"/>
  <c r="G58" i="12"/>
  <c r="F58" i="12"/>
  <c r="E58" i="12"/>
  <c r="D58" i="12"/>
  <c r="H55" i="12"/>
  <c r="G55" i="12"/>
  <c r="F55" i="12"/>
  <c r="E55" i="12"/>
  <c r="D55" i="12"/>
  <c r="C55" i="12"/>
  <c r="H54" i="12"/>
  <c r="G54" i="12"/>
  <c r="H51" i="12"/>
  <c r="G51" i="12"/>
  <c r="F51" i="12"/>
  <c r="E51" i="12"/>
  <c r="D51" i="12"/>
  <c r="H46" i="12"/>
  <c r="G46" i="12"/>
  <c r="F46" i="12"/>
  <c r="E46" i="12"/>
  <c r="D46" i="12"/>
  <c r="D42" i="12" s="1"/>
  <c r="C46" i="12"/>
  <c r="E44" i="12"/>
  <c r="J42" i="12"/>
  <c r="M40" i="12"/>
  <c r="L40" i="12"/>
  <c r="H40" i="12"/>
  <c r="G40" i="12"/>
  <c r="G34" i="12" s="1"/>
  <c r="F40" i="12"/>
  <c r="J34" i="12"/>
  <c r="H34" i="12"/>
  <c r="F34" i="12"/>
  <c r="E34" i="12"/>
  <c r="D34" i="12"/>
  <c r="C34" i="12"/>
  <c r="J32" i="12"/>
  <c r="H32" i="12"/>
  <c r="G32" i="12"/>
  <c r="F32" i="12"/>
  <c r="E32" i="12"/>
  <c r="D32" i="12"/>
  <c r="C32" i="12"/>
  <c r="M31" i="12"/>
  <c r="H22" i="12"/>
  <c r="G22" i="12"/>
  <c r="F22" i="12"/>
  <c r="H20" i="12"/>
  <c r="G20" i="12"/>
  <c r="F20" i="12"/>
  <c r="E20" i="12"/>
  <c r="E11" i="12" s="1"/>
  <c r="D20" i="12"/>
  <c r="D11" i="12" s="1"/>
  <c r="C20" i="12"/>
  <c r="M16" i="12"/>
  <c r="H14" i="12"/>
  <c r="G14" i="12"/>
  <c r="F14" i="12"/>
  <c r="F11" i="12" s="1"/>
  <c r="H12" i="12"/>
  <c r="G12" i="12"/>
  <c r="F12" i="12"/>
  <c r="J11" i="12"/>
  <c r="C11" i="12"/>
  <c r="H4" i="12"/>
  <c r="J3" i="12"/>
  <c r="G3" i="12"/>
  <c r="F3" i="12"/>
  <c r="E3" i="12"/>
  <c r="D3" i="12"/>
  <c r="C3" i="12"/>
  <c r="G46" i="7" l="1"/>
  <c r="C20" i="8"/>
  <c r="C23" i="8" s="1"/>
  <c r="C43" i="8"/>
  <c r="C46" i="8" s="1"/>
  <c r="K42" i="7"/>
  <c r="K45" i="7" s="1"/>
  <c r="I197" i="12"/>
  <c r="H186" i="12"/>
  <c r="C139" i="12"/>
  <c r="L179" i="12"/>
  <c r="P131" i="12"/>
  <c r="H89" i="12"/>
  <c r="M132" i="12"/>
  <c r="H11" i="12"/>
  <c r="M74" i="12"/>
  <c r="D81" i="12"/>
  <c r="H81" i="12"/>
  <c r="H87" i="12"/>
  <c r="N138" i="12"/>
  <c r="F154" i="12"/>
  <c r="H173" i="12"/>
  <c r="G11" i="12"/>
  <c r="G81" i="12"/>
  <c r="G96" i="12"/>
  <c r="P134" i="12"/>
  <c r="L138" i="12"/>
  <c r="C42" i="12"/>
  <c r="C69" i="12" s="1"/>
  <c r="F42" i="12"/>
  <c r="E81" i="12"/>
  <c r="D116" i="12"/>
  <c r="D130" i="12" s="1"/>
  <c r="L132" i="12"/>
  <c r="P132" i="12"/>
  <c r="F139" i="12"/>
  <c r="E69" i="12"/>
  <c r="N69" i="12" s="1"/>
  <c r="J69" i="12"/>
  <c r="M72" i="12"/>
  <c r="C130" i="12"/>
  <c r="G135" i="12"/>
  <c r="L134" i="12"/>
  <c r="O134" i="12"/>
  <c r="P146" i="12"/>
  <c r="M186" i="12"/>
  <c r="H199" i="12"/>
  <c r="C204" i="12"/>
  <c r="J135" i="12"/>
  <c r="M138" i="12"/>
  <c r="N186" i="12"/>
  <c r="J199" i="12"/>
  <c r="J201" i="12" s="1"/>
  <c r="H75" i="12"/>
  <c r="M131" i="12"/>
  <c r="F69" i="12"/>
  <c r="C75" i="12"/>
  <c r="G75" i="12"/>
  <c r="O74" i="12"/>
  <c r="L146" i="12"/>
  <c r="L186" i="12"/>
  <c r="P186" i="12"/>
  <c r="K21" i="7"/>
  <c r="K25" i="7" s="1"/>
  <c r="G200" i="12"/>
  <c r="O154" i="12"/>
  <c r="F130" i="12"/>
  <c r="H42" i="12"/>
  <c r="N131" i="12"/>
  <c r="F135" i="12"/>
  <c r="H96" i="12"/>
  <c r="J140" i="12"/>
  <c r="N74" i="12"/>
  <c r="H124" i="12"/>
  <c r="E135" i="12"/>
  <c r="N154" i="12"/>
  <c r="F200" i="12"/>
  <c r="P173" i="12"/>
  <c r="H202" i="12"/>
  <c r="D69" i="12"/>
  <c r="H3" i="12"/>
  <c r="H135" i="12"/>
  <c r="N72" i="12"/>
  <c r="J75" i="12"/>
  <c r="G110" i="12"/>
  <c r="E139" i="12"/>
  <c r="N139" i="12" s="1"/>
  <c r="M136" i="12"/>
  <c r="N136" i="12"/>
  <c r="P138" i="12"/>
  <c r="F201" i="12"/>
  <c r="E75" i="12"/>
  <c r="H116" i="12"/>
  <c r="C135" i="12"/>
  <c r="C140" i="12" s="1"/>
  <c r="C141" i="12" s="1"/>
  <c r="C197" i="12" s="1"/>
  <c r="C208" i="12" s="1"/>
  <c r="L131" i="12"/>
  <c r="O131" i="12"/>
  <c r="L173" i="12"/>
  <c r="D202" i="12"/>
  <c r="D204" i="12" s="1"/>
  <c r="F75" i="12"/>
  <c r="O132" i="12"/>
  <c r="N132" i="12"/>
  <c r="D139" i="12"/>
  <c r="L139" i="12" s="1"/>
  <c r="L136" i="12"/>
  <c r="H139" i="12"/>
  <c r="P136" i="12"/>
  <c r="O138" i="12"/>
  <c r="G139" i="12"/>
  <c r="O139" i="12" s="1"/>
  <c r="G42" i="12"/>
  <c r="D75" i="12"/>
  <c r="E130" i="12"/>
  <c r="H101" i="12"/>
  <c r="C200" i="12"/>
  <c r="C201" i="12" s="1"/>
  <c r="L154" i="12"/>
  <c r="O173" i="12"/>
  <c r="G202" i="12"/>
  <c r="G204" i="12" s="1"/>
  <c r="F202" i="12"/>
  <c r="F204" i="12" s="1"/>
  <c r="N173" i="12"/>
  <c r="E202" i="12"/>
  <c r="E204" i="12" s="1"/>
  <c r="M173" i="12"/>
  <c r="L185" i="12"/>
  <c r="O72" i="12"/>
  <c r="G199" i="12"/>
  <c r="O146" i="12"/>
  <c r="M146" i="12"/>
  <c r="H203" i="12"/>
  <c r="H154" i="12"/>
  <c r="Q154" i="12" s="1"/>
  <c r="J202" i="12"/>
  <c r="J130" i="12"/>
  <c r="H92" i="12"/>
  <c r="E201" i="12"/>
  <c r="J203" i="12"/>
  <c r="M154" i="12"/>
  <c r="O186" i="12"/>
  <c r="G97" i="9"/>
  <c r="H112" i="9"/>
  <c r="G112" i="9"/>
  <c r="H104" i="9"/>
  <c r="H97" i="9"/>
  <c r="G104" i="9"/>
  <c r="K46" i="7" l="1"/>
  <c r="C47" i="8"/>
  <c r="I208" i="12"/>
  <c r="I211" i="12" s="1"/>
  <c r="I214" i="12" s="1"/>
  <c r="I198" i="12"/>
  <c r="I205" i="12" s="1"/>
  <c r="G130" i="12"/>
  <c r="G69" i="12"/>
  <c r="O69" i="12" s="1"/>
  <c r="H130" i="12"/>
  <c r="Q130" i="12" s="1"/>
  <c r="L75" i="12"/>
  <c r="H204" i="12"/>
  <c r="C76" i="12"/>
  <c r="C196" i="12" s="1"/>
  <c r="C207" i="12" s="1"/>
  <c r="P75" i="12"/>
  <c r="P130" i="12"/>
  <c r="O130" i="12"/>
  <c r="G76" i="12"/>
  <c r="C211" i="12"/>
  <c r="C214" i="12" s="1"/>
  <c r="J141" i="12"/>
  <c r="H200" i="12"/>
  <c r="H201" i="12" s="1"/>
  <c r="P154" i="12"/>
  <c r="M75" i="12"/>
  <c r="G140" i="12"/>
  <c r="H140" i="12"/>
  <c r="P135" i="12"/>
  <c r="N130" i="12"/>
  <c r="J76" i="12"/>
  <c r="G201" i="12"/>
  <c r="N75" i="12"/>
  <c r="M135" i="12"/>
  <c r="E140" i="12"/>
  <c r="E141" i="12" s="1"/>
  <c r="L135" i="12"/>
  <c r="M139" i="12"/>
  <c r="O75" i="12"/>
  <c r="H69" i="12"/>
  <c r="F140" i="12"/>
  <c r="F141" i="12" s="1"/>
  <c r="N135" i="12"/>
  <c r="F76" i="12"/>
  <c r="E76" i="12"/>
  <c r="J204" i="12"/>
  <c r="D140" i="12"/>
  <c r="L140" i="12" s="1"/>
  <c r="M130" i="12"/>
  <c r="P139" i="12"/>
  <c r="O135" i="12"/>
  <c r="L130" i="12"/>
  <c r="L69" i="12"/>
  <c r="D76" i="12"/>
  <c r="M69" i="12"/>
  <c r="O44" i="7"/>
  <c r="O35" i="7"/>
  <c r="O32" i="7"/>
  <c r="I215" i="12" l="1"/>
  <c r="C198" i="12"/>
  <c r="C205" i="12" s="1"/>
  <c r="P140" i="12"/>
  <c r="N141" i="12"/>
  <c r="F197" i="12"/>
  <c r="F208" i="12" s="1"/>
  <c r="E197" i="12"/>
  <c r="E208" i="12" s="1"/>
  <c r="P69" i="12"/>
  <c r="H76" i="12"/>
  <c r="D141" i="12"/>
  <c r="M141" i="12" s="1"/>
  <c r="M76" i="12"/>
  <c r="E196" i="12"/>
  <c r="J197" i="12"/>
  <c r="J208" i="12" s="1"/>
  <c r="M140" i="12"/>
  <c r="J196" i="12"/>
  <c r="N140" i="12"/>
  <c r="O140" i="12"/>
  <c r="G141" i="12"/>
  <c r="D196" i="12"/>
  <c r="L76" i="12"/>
  <c r="F196" i="12"/>
  <c r="N76" i="12"/>
  <c r="C210" i="12"/>
  <c r="C213" i="12" s="1"/>
  <c r="C215" i="12" s="1"/>
  <c r="G196" i="12"/>
  <c r="O76" i="12"/>
  <c r="H141" i="12"/>
  <c r="J4" i="9"/>
  <c r="J5" i="9"/>
  <c r="J6" i="9"/>
  <c r="J7" i="9"/>
  <c r="J8" i="9"/>
  <c r="J9" i="9"/>
  <c r="J10" i="9"/>
  <c r="J11" i="9"/>
  <c r="J12" i="9"/>
  <c r="J13" i="9"/>
  <c r="J14" i="9"/>
  <c r="J15" i="9"/>
  <c r="J17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6" i="9"/>
  <c r="J37" i="9"/>
  <c r="J38" i="9"/>
  <c r="J39" i="9"/>
  <c r="J40" i="9"/>
  <c r="J41" i="9"/>
  <c r="J42" i="9"/>
  <c r="J44" i="9"/>
  <c r="J45" i="9"/>
  <c r="J47" i="9"/>
  <c r="J48" i="9"/>
  <c r="J49" i="9"/>
  <c r="J50" i="9"/>
  <c r="J51" i="9"/>
  <c r="J52" i="9"/>
  <c r="J53" i="9"/>
  <c r="J54" i="9"/>
  <c r="J55" i="9"/>
  <c r="J57" i="9"/>
  <c r="J58" i="9"/>
  <c r="J59" i="9"/>
  <c r="J60" i="9"/>
  <c r="J61" i="9"/>
  <c r="J62" i="9"/>
  <c r="J63" i="9"/>
  <c r="J64" i="9"/>
  <c r="J65" i="9"/>
  <c r="J66" i="9"/>
  <c r="J68" i="9"/>
  <c r="J70" i="9"/>
  <c r="J71" i="9"/>
  <c r="J73" i="9"/>
  <c r="J74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7" i="9"/>
  <c r="J98" i="9"/>
  <c r="J99" i="9"/>
  <c r="J100" i="9"/>
  <c r="J102" i="9"/>
  <c r="J103" i="9"/>
  <c r="J104" i="9"/>
  <c r="J105" i="9"/>
  <c r="J106" i="9"/>
  <c r="J107" i="9"/>
  <c r="J108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1" i="9"/>
  <c r="J133" i="9"/>
  <c r="J134" i="9"/>
  <c r="J136" i="9"/>
  <c r="J138" i="9"/>
  <c r="J139" i="9"/>
  <c r="J146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73" i="9"/>
  <c r="J174" i="9"/>
  <c r="J175" i="9"/>
  <c r="J176" i="9"/>
  <c r="J177" i="9"/>
  <c r="J178" i="9"/>
  <c r="J179" i="9"/>
  <c r="J180" i="9"/>
  <c r="J181" i="9"/>
  <c r="J183" i="9"/>
  <c r="J184" i="9"/>
  <c r="J185" i="9"/>
  <c r="J186" i="9"/>
  <c r="J187" i="9"/>
  <c r="J188" i="9"/>
  <c r="J189" i="9"/>
  <c r="J191" i="9"/>
  <c r="J3" i="9"/>
  <c r="K3" i="9"/>
  <c r="H121" i="9"/>
  <c r="H114" i="9"/>
  <c r="H113" i="9"/>
  <c r="H111" i="9"/>
  <c r="H94" i="9"/>
  <c r="H88" i="9"/>
  <c r="H12" i="9"/>
  <c r="Q141" i="12" l="1"/>
  <c r="O141" i="12"/>
  <c r="G197" i="12"/>
  <c r="G208" i="12" s="1"/>
  <c r="F207" i="12"/>
  <c r="F198" i="12"/>
  <c r="F205" i="12" s="1"/>
  <c r="E207" i="12"/>
  <c r="E198" i="12"/>
  <c r="E205" i="12" s="1"/>
  <c r="H196" i="12"/>
  <c r="P76" i="12"/>
  <c r="F211" i="12"/>
  <c r="O208" i="12"/>
  <c r="G198" i="12"/>
  <c r="G205" i="12" s="1"/>
  <c r="G207" i="12"/>
  <c r="E211" i="12"/>
  <c r="P141" i="12"/>
  <c r="H197" i="12"/>
  <c r="H208" i="12" s="1"/>
  <c r="D207" i="12"/>
  <c r="J207" i="12"/>
  <c r="J198" i="12"/>
  <c r="J205" i="12" s="1"/>
  <c r="J211" i="12"/>
  <c r="J214" i="12" s="1"/>
  <c r="L141" i="12"/>
  <c r="D197" i="12"/>
  <c r="D208" i="12" s="1"/>
  <c r="N208" i="12" s="1"/>
  <c r="F18" i="3"/>
  <c r="C18" i="3"/>
  <c r="D198" i="12" l="1"/>
  <c r="D205" i="12" s="1"/>
  <c r="H207" i="12"/>
  <c r="H198" i="12"/>
  <c r="H205" i="12" s="1"/>
  <c r="E214" i="12"/>
  <c r="O211" i="12"/>
  <c r="P208" i="12"/>
  <c r="G211" i="12"/>
  <c r="P211" i="12" s="1"/>
  <c r="M207" i="12"/>
  <c r="D210" i="12"/>
  <c r="M210" i="12" s="1"/>
  <c r="F210" i="12"/>
  <c r="O207" i="12"/>
  <c r="M208" i="12"/>
  <c r="D211" i="12"/>
  <c r="M211" i="12" s="1"/>
  <c r="Q208" i="12"/>
  <c r="H211" i="12"/>
  <c r="H214" i="12" s="1"/>
  <c r="J210" i="12"/>
  <c r="J213" i="12" s="1"/>
  <c r="J215" i="12" s="1"/>
  <c r="P207" i="12"/>
  <c r="G210" i="12"/>
  <c r="P210" i="12" s="1"/>
  <c r="F214" i="12"/>
  <c r="E210" i="12"/>
  <c r="E213" i="12" s="1"/>
  <c r="N207" i="12"/>
  <c r="L70" i="9"/>
  <c r="M70" i="9"/>
  <c r="N70" i="9"/>
  <c r="O70" i="9"/>
  <c r="L71" i="9"/>
  <c r="M71" i="9"/>
  <c r="N71" i="9"/>
  <c r="O71" i="9"/>
  <c r="L72" i="9"/>
  <c r="M72" i="9"/>
  <c r="N72" i="9"/>
  <c r="O72" i="9"/>
  <c r="L73" i="9"/>
  <c r="M73" i="9"/>
  <c r="N73" i="9"/>
  <c r="O73" i="9"/>
  <c r="L74" i="9"/>
  <c r="M74" i="9"/>
  <c r="N74" i="9"/>
  <c r="O74" i="9"/>
  <c r="L75" i="9"/>
  <c r="M75" i="9"/>
  <c r="N75" i="9"/>
  <c r="O75" i="9"/>
  <c r="O11" i="7"/>
  <c r="H40" i="9"/>
  <c r="H4" i="9"/>
  <c r="L146" i="9"/>
  <c r="M146" i="9"/>
  <c r="N146" i="9"/>
  <c r="O146" i="9"/>
  <c r="L148" i="9"/>
  <c r="M148" i="9"/>
  <c r="N148" i="9"/>
  <c r="O148" i="9"/>
  <c r="L153" i="9"/>
  <c r="M153" i="9"/>
  <c r="N153" i="9"/>
  <c r="O153" i="9"/>
  <c r="L154" i="9"/>
  <c r="M154" i="9"/>
  <c r="M208" i="9"/>
  <c r="N208" i="9"/>
  <c r="M211" i="9"/>
  <c r="N211" i="9"/>
  <c r="M214" i="9"/>
  <c r="N214" i="9"/>
  <c r="L186" i="9"/>
  <c r="M186" i="9"/>
  <c r="N186" i="9"/>
  <c r="O186" i="9"/>
  <c r="L173" i="9"/>
  <c r="M173" i="9"/>
  <c r="N173" i="9"/>
  <c r="O173" i="9"/>
  <c r="L130" i="9"/>
  <c r="M130" i="9"/>
  <c r="L131" i="9"/>
  <c r="M131" i="9"/>
  <c r="N131" i="9"/>
  <c r="O131" i="9"/>
  <c r="L132" i="9"/>
  <c r="M132" i="9"/>
  <c r="N132" i="9"/>
  <c r="O132" i="9"/>
  <c r="L133" i="9"/>
  <c r="M133" i="9"/>
  <c r="N133" i="9"/>
  <c r="O133" i="9"/>
  <c r="L134" i="9"/>
  <c r="M134" i="9"/>
  <c r="N134" i="9"/>
  <c r="O134" i="9"/>
  <c r="L135" i="9"/>
  <c r="M135" i="9"/>
  <c r="N135" i="9"/>
  <c r="O135" i="9"/>
  <c r="L136" i="9"/>
  <c r="M136" i="9"/>
  <c r="N136" i="9"/>
  <c r="O136" i="9"/>
  <c r="L137" i="9"/>
  <c r="M137" i="9"/>
  <c r="N137" i="9"/>
  <c r="O137" i="9"/>
  <c r="L138" i="9"/>
  <c r="M138" i="9"/>
  <c r="N138" i="9"/>
  <c r="O138" i="9"/>
  <c r="L139" i="9"/>
  <c r="M139" i="9"/>
  <c r="N139" i="9"/>
  <c r="O139" i="9"/>
  <c r="L140" i="9"/>
  <c r="M140" i="9"/>
  <c r="N140" i="9"/>
  <c r="O140" i="9"/>
  <c r="L141" i="9"/>
  <c r="M141" i="9"/>
  <c r="H126" i="9"/>
  <c r="H127" i="9"/>
  <c r="H91" i="9"/>
  <c r="H82" i="9"/>
  <c r="H167" i="9"/>
  <c r="H168" i="9"/>
  <c r="O210" i="12" l="1"/>
  <c r="G214" i="12"/>
  <c r="Q211" i="12"/>
  <c r="D213" i="12"/>
  <c r="M213" i="12" s="1"/>
  <c r="N211" i="12"/>
  <c r="Q214" i="12"/>
  <c r="P214" i="12"/>
  <c r="O214" i="12"/>
  <c r="Q207" i="12"/>
  <c r="H210" i="12"/>
  <c r="Q210" i="12" s="1"/>
  <c r="N210" i="12"/>
  <c r="G213" i="12"/>
  <c r="G215" i="12" s="1"/>
  <c r="D214" i="12"/>
  <c r="F213" i="12"/>
  <c r="O213" i="12" s="1"/>
  <c r="E215" i="12"/>
  <c r="N214" i="12"/>
  <c r="K46" i="8"/>
  <c r="K42" i="8"/>
  <c r="K29" i="8"/>
  <c r="K19" i="8"/>
  <c r="K15" i="8"/>
  <c r="K7" i="8"/>
  <c r="H22" i="3"/>
  <c r="G22" i="3"/>
  <c r="F22" i="3"/>
  <c r="E22" i="3"/>
  <c r="D22" i="3"/>
  <c r="C22" i="3"/>
  <c r="I21" i="3"/>
  <c r="J21" i="3" s="1"/>
  <c r="H20" i="3"/>
  <c r="G20" i="3"/>
  <c r="E20" i="3"/>
  <c r="D20" i="3"/>
  <c r="I19" i="3"/>
  <c r="J19" i="3" s="1"/>
  <c r="I18" i="3"/>
  <c r="J18" i="3" s="1"/>
  <c r="I17" i="3"/>
  <c r="I16" i="3"/>
  <c r="J16" i="3" s="1"/>
  <c r="I15" i="3"/>
  <c r="C15" i="3"/>
  <c r="F14" i="3"/>
  <c r="I14" i="3" s="1"/>
  <c r="C14" i="3"/>
  <c r="F13" i="3"/>
  <c r="I13" i="3" s="1"/>
  <c r="J13" i="3" s="1"/>
  <c r="I12" i="3"/>
  <c r="J12" i="3" s="1"/>
  <c r="F11" i="3"/>
  <c r="I11" i="3" s="1"/>
  <c r="C11" i="3"/>
  <c r="I10" i="3"/>
  <c r="J10" i="3" s="1"/>
  <c r="F9" i="3"/>
  <c r="I9" i="3" s="1"/>
  <c r="C9" i="3"/>
  <c r="M17" i="3"/>
  <c r="F8" i="3"/>
  <c r="I8" i="3" s="1"/>
  <c r="F7" i="3"/>
  <c r="I7" i="3" s="1"/>
  <c r="C7" i="3"/>
  <c r="I6" i="3"/>
  <c r="J6" i="3" s="1"/>
  <c r="F5" i="3"/>
  <c r="C5" i="3"/>
  <c r="I4" i="3"/>
  <c r="J4" i="3" s="1"/>
  <c r="O47" i="7"/>
  <c r="O39" i="7"/>
  <c r="O41" i="7"/>
  <c r="O34" i="7"/>
  <c r="O22" i="7"/>
  <c r="O21" i="7"/>
  <c r="O7" i="7"/>
  <c r="O52" i="7"/>
  <c r="O50" i="7"/>
  <c r="O26" i="7"/>
  <c r="O16" i="7"/>
  <c r="H102" i="9"/>
  <c r="H125" i="9"/>
  <c r="G125" i="9"/>
  <c r="H103" i="9"/>
  <c r="G103" i="9"/>
  <c r="G111" i="9"/>
  <c r="G121" i="9"/>
  <c r="H117" i="9"/>
  <c r="G117" i="9"/>
  <c r="H98" i="9"/>
  <c r="G98" i="9"/>
  <c r="H90" i="9"/>
  <c r="G90" i="9"/>
  <c r="H122" i="9"/>
  <c r="G122" i="9"/>
  <c r="G102" i="9"/>
  <c r="G114" i="9"/>
  <c r="G82" i="9"/>
  <c r="F183" i="9"/>
  <c r="J9" i="3" l="1"/>
  <c r="H23" i="3"/>
  <c r="D23" i="3"/>
  <c r="F20" i="3"/>
  <c r="F23" i="3" s="1"/>
  <c r="F25" i="3" s="1"/>
  <c r="J11" i="3"/>
  <c r="J14" i="3"/>
  <c r="G23" i="3"/>
  <c r="J8" i="3"/>
  <c r="E23" i="3"/>
  <c r="J15" i="3"/>
  <c r="F215" i="12"/>
  <c r="O215" i="12" s="1"/>
  <c r="M214" i="12"/>
  <c r="D215" i="12"/>
  <c r="M215" i="12" s="1"/>
  <c r="H213" i="12"/>
  <c r="N213" i="12"/>
  <c r="P213" i="12"/>
  <c r="K49" i="8"/>
  <c r="K52" i="8" s="1"/>
  <c r="K22" i="8"/>
  <c r="K25" i="8" s="1"/>
  <c r="J7" i="3"/>
  <c r="J17" i="3"/>
  <c r="C20" i="3"/>
  <c r="I22" i="3"/>
  <c r="J22" i="3" s="1"/>
  <c r="I5" i="3"/>
  <c r="I20" i="3" s="1"/>
  <c r="I23" i="3" s="1"/>
  <c r="D24" i="3"/>
  <c r="O31" i="7"/>
  <c r="O54" i="7" s="1"/>
  <c r="O57" i="7" s="1"/>
  <c r="O20" i="7"/>
  <c r="O23" i="7" s="1"/>
  <c r="O27" i="7" s="1"/>
  <c r="L185" i="9"/>
  <c r="L182" i="9"/>
  <c r="L179" i="9"/>
  <c r="H54" i="9"/>
  <c r="G54" i="9"/>
  <c r="L64" i="9"/>
  <c r="H66" i="9"/>
  <c r="G66" i="9"/>
  <c r="H60" i="9"/>
  <c r="G60" i="9"/>
  <c r="E44" i="9"/>
  <c r="L31" i="9"/>
  <c r="L16" i="9"/>
  <c r="N215" i="12" l="1"/>
  <c r="Q213" i="12"/>
  <c r="H215" i="12"/>
  <c r="Q215" i="12" s="1"/>
  <c r="P215" i="12"/>
  <c r="O58" i="7"/>
  <c r="K53" i="8"/>
  <c r="J5" i="3"/>
  <c r="J20" i="3"/>
  <c r="C23" i="3"/>
  <c r="J23" i="3" s="1"/>
  <c r="G174" i="9"/>
  <c r="H174" i="9"/>
  <c r="G176" i="9"/>
  <c r="H176" i="9"/>
  <c r="G179" i="9"/>
  <c r="H179" i="9"/>
  <c r="G180" i="9"/>
  <c r="H180" i="9"/>
  <c r="K182" i="9" s="1"/>
  <c r="G181" i="9"/>
  <c r="H181" i="9"/>
  <c r="G183" i="9"/>
  <c r="H183" i="9"/>
  <c r="K185" i="9" s="1"/>
  <c r="G189" i="9"/>
  <c r="G186" i="9" s="1"/>
  <c r="G203" i="9" s="1"/>
  <c r="H189" i="9"/>
  <c r="H186" i="9" s="1"/>
  <c r="H203" i="9" s="1"/>
  <c r="G146" i="9"/>
  <c r="G199" i="9" s="1"/>
  <c r="H146" i="9"/>
  <c r="H199" i="9" s="1"/>
  <c r="G156" i="9"/>
  <c r="H156" i="9"/>
  <c r="G157" i="9"/>
  <c r="H157" i="9"/>
  <c r="G159" i="9"/>
  <c r="H159" i="9"/>
  <c r="G161" i="9"/>
  <c r="H161" i="9"/>
  <c r="G164" i="9"/>
  <c r="H164" i="9"/>
  <c r="G167" i="9"/>
  <c r="G83" i="9"/>
  <c r="H83" i="9"/>
  <c r="G84" i="9"/>
  <c r="H84" i="9"/>
  <c r="G85" i="9"/>
  <c r="H85" i="9"/>
  <c r="G86" i="9"/>
  <c r="H86" i="9"/>
  <c r="G87" i="9"/>
  <c r="H87" i="9"/>
  <c r="G91" i="9"/>
  <c r="G94" i="9"/>
  <c r="G92" i="9" s="1"/>
  <c r="H92" i="9"/>
  <c r="G96" i="9"/>
  <c r="H96" i="9"/>
  <c r="J96" i="9" s="1"/>
  <c r="G105" i="9"/>
  <c r="H105" i="9"/>
  <c r="G126" i="9"/>
  <c r="G132" i="9"/>
  <c r="H132" i="9"/>
  <c r="G134" i="9"/>
  <c r="H134" i="9"/>
  <c r="G136" i="9"/>
  <c r="H136" i="9"/>
  <c r="G138" i="9"/>
  <c r="H138" i="9"/>
  <c r="G3" i="9"/>
  <c r="H3" i="9"/>
  <c r="G12" i="9"/>
  <c r="G14" i="9"/>
  <c r="H14" i="9"/>
  <c r="G20" i="9"/>
  <c r="H20" i="9"/>
  <c r="G22" i="9"/>
  <c r="H22" i="9"/>
  <c r="G32" i="9"/>
  <c r="H32" i="9"/>
  <c r="G40" i="9"/>
  <c r="G34" i="9" s="1"/>
  <c r="H34" i="9"/>
  <c r="J34" i="9" s="1"/>
  <c r="G45" i="9"/>
  <c r="H45" i="9"/>
  <c r="G51" i="9"/>
  <c r="H51" i="9"/>
  <c r="G55" i="9"/>
  <c r="H55" i="9"/>
  <c r="G58" i="9"/>
  <c r="H58" i="9"/>
  <c r="G59" i="9"/>
  <c r="H59" i="9"/>
  <c r="G61" i="9"/>
  <c r="H61" i="9"/>
  <c r="G63" i="9"/>
  <c r="H63" i="9"/>
  <c r="G68" i="9"/>
  <c r="G131" i="9" s="1"/>
  <c r="H68" i="9"/>
  <c r="H131" i="9" s="1"/>
  <c r="G72" i="9"/>
  <c r="H72" i="9"/>
  <c r="G74" i="9"/>
  <c r="H74" i="9"/>
  <c r="K64" i="9" l="1"/>
  <c r="K179" i="9"/>
  <c r="H139" i="9"/>
  <c r="G116" i="9"/>
  <c r="H75" i="9"/>
  <c r="K31" i="9"/>
  <c r="K16" i="9"/>
  <c r="G42" i="9"/>
  <c r="H42" i="9"/>
  <c r="G81" i="9"/>
  <c r="G11" i="9"/>
  <c r="H124" i="9"/>
  <c r="H110" i="9"/>
  <c r="J110" i="9" s="1"/>
  <c r="H89" i="9"/>
  <c r="H154" i="9"/>
  <c r="H200" i="9" s="1"/>
  <c r="H201" i="9" s="1"/>
  <c r="G139" i="9"/>
  <c r="G101" i="9"/>
  <c r="G173" i="9"/>
  <c r="G202" i="9" s="1"/>
  <c r="G204" i="9" s="1"/>
  <c r="G75" i="9"/>
  <c r="H11" i="9"/>
  <c r="G124" i="9"/>
  <c r="G110" i="9"/>
  <c r="G89" i="9"/>
  <c r="G154" i="9"/>
  <c r="H173" i="9"/>
  <c r="H202" i="9" s="1"/>
  <c r="H204" i="9" s="1"/>
  <c r="G135" i="9"/>
  <c r="H135" i="9"/>
  <c r="H140" i="9" s="1"/>
  <c r="H116" i="9"/>
  <c r="H101" i="9"/>
  <c r="H81" i="9"/>
  <c r="S42" i="7"/>
  <c r="S39" i="7"/>
  <c r="G200" i="9" l="1"/>
  <c r="G201" i="9" s="1"/>
  <c r="N154" i="9"/>
  <c r="O154" i="9"/>
  <c r="H69" i="9"/>
  <c r="J69" i="9" s="1"/>
  <c r="G69" i="9"/>
  <c r="G140" i="9"/>
  <c r="G130" i="9"/>
  <c r="H130" i="9"/>
  <c r="S38" i="7"/>
  <c r="F94" i="9"/>
  <c r="E94" i="9"/>
  <c r="F59" i="9"/>
  <c r="F55" i="9"/>
  <c r="F179" i="9"/>
  <c r="F174" i="9"/>
  <c r="F125" i="9"/>
  <c r="E125" i="9"/>
  <c r="E179" i="9"/>
  <c r="E174" i="9"/>
  <c r="E68" i="9"/>
  <c r="E59" i="9"/>
  <c r="E55" i="9"/>
  <c r="F40" i="9"/>
  <c r="F22" i="9"/>
  <c r="S43" i="7"/>
  <c r="H141" i="9" l="1"/>
  <c r="G76" i="9"/>
  <c r="H76" i="9"/>
  <c r="O69" i="9"/>
  <c r="N130" i="9"/>
  <c r="O130" i="9"/>
  <c r="G141" i="9"/>
  <c r="S46" i="7"/>
  <c r="S27" i="7"/>
  <c r="S19" i="7"/>
  <c r="S12" i="7"/>
  <c r="H197" i="9" l="1"/>
  <c r="H208" i="9" s="1"/>
  <c r="H211" i="9" s="1"/>
  <c r="H214" i="9" s="1"/>
  <c r="G196" i="9"/>
  <c r="G207" i="9" s="1"/>
  <c r="G210" i="9" s="1"/>
  <c r="H196" i="9"/>
  <c r="O76" i="9"/>
  <c r="G197" i="9"/>
  <c r="G208" i="9" s="1"/>
  <c r="N141" i="9"/>
  <c r="O141" i="9"/>
  <c r="F86" i="9"/>
  <c r="F85" i="9"/>
  <c r="E85" i="9"/>
  <c r="I138" i="9"/>
  <c r="I132" i="9"/>
  <c r="J132" i="9" s="1"/>
  <c r="I134" i="9"/>
  <c r="I131" i="9"/>
  <c r="F58" i="9"/>
  <c r="G198" i="9" l="1"/>
  <c r="G205" i="9" s="1"/>
  <c r="G213" i="9"/>
  <c r="H207" i="9"/>
  <c r="H198" i="9"/>
  <c r="H205" i="9" s="1"/>
  <c r="P208" i="9"/>
  <c r="O208" i="9"/>
  <c r="G211" i="9"/>
  <c r="G214" i="9" s="1"/>
  <c r="D174" i="9"/>
  <c r="D121" i="9"/>
  <c r="D117" i="9"/>
  <c r="D114" i="9"/>
  <c r="D86" i="9"/>
  <c r="D85" i="9"/>
  <c r="D63" i="9"/>
  <c r="D61" i="9"/>
  <c r="D60" i="9"/>
  <c r="E58" i="9"/>
  <c r="D58" i="9"/>
  <c r="D51" i="9"/>
  <c r="D45" i="9"/>
  <c r="E176" i="9"/>
  <c r="E178" i="9"/>
  <c r="E180" i="9"/>
  <c r="E181" i="9"/>
  <c r="E186" i="9"/>
  <c r="E146" i="9"/>
  <c r="E199" i="9" s="1"/>
  <c r="E154" i="9"/>
  <c r="E83" i="9"/>
  <c r="E86" i="9"/>
  <c r="E87" i="9"/>
  <c r="E89" i="9"/>
  <c r="E92" i="9"/>
  <c r="E96" i="9"/>
  <c r="E101" i="9"/>
  <c r="E105" i="9"/>
  <c r="E111" i="9"/>
  <c r="E114" i="9"/>
  <c r="E117" i="9"/>
  <c r="E121" i="9"/>
  <c r="E126" i="9"/>
  <c r="E132" i="9"/>
  <c r="E134" i="9"/>
  <c r="E136" i="9"/>
  <c r="E138" i="9"/>
  <c r="E3" i="9"/>
  <c r="E20" i="9"/>
  <c r="E11" i="9" s="1"/>
  <c r="E32" i="9"/>
  <c r="E34" i="9"/>
  <c r="E45" i="9"/>
  <c r="E51" i="9"/>
  <c r="E60" i="9"/>
  <c r="E61" i="9"/>
  <c r="E63" i="9"/>
  <c r="E131" i="9"/>
  <c r="E72" i="9"/>
  <c r="E74" i="9"/>
  <c r="H210" i="9" l="1"/>
  <c r="P210" i="9" s="1"/>
  <c r="P207" i="9"/>
  <c r="O214" i="9"/>
  <c r="P214" i="9"/>
  <c r="O211" i="9"/>
  <c r="P211" i="9"/>
  <c r="G215" i="9"/>
  <c r="E200" i="9"/>
  <c r="E75" i="9"/>
  <c r="E81" i="9"/>
  <c r="E139" i="9"/>
  <c r="E201" i="9"/>
  <c r="E116" i="9"/>
  <c r="E173" i="9"/>
  <c r="E42" i="9"/>
  <c r="E69" i="9" s="1"/>
  <c r="E135" i="9"/>
  <c r="E124" i="9"/>
  <c r="E110" i="9"/>
  <c r="E203" i="9"/>
  <c r="X33" i="7"/>
  <c r="X32" i="7"/>
  <c r="X31" i="7"/>
  <c r="X30" i="7"/>
  <c r="X29" i="7"/>
  <c r="X9" i="7"/>
  <c r="X8" i="7"/>
  <c r="X38" i="7"/>
  <c r="X36" i="7"/>
  <c r="X23" i="7"/>
  <c r="X16" i="7"/>
  <c r="X12" i="7"/>
  <c r="H213" i="9" l="1"/>
  <c r="H215" i="9"/>
  <c r="P215" i="9" s="1"/>
  <c r="P213" i="9"/>
  <c r="E76" i="9"/>
  <c r="E130" i="9"/>
  <c r="E140" i="9"/>
  <c r="E202" i="9"/>
  <c r="E204" i="9" s="1"/>
  <c r="X7" i="7"/>
  <c r="X20" i="7" s="1"/>
  <c r="X24" i="7" s="1"/>
  <c r="X28" i="7"/>
  <c r="X40" i="7" s="1"/>
  <c r="X43" i="7" s="1"/>
  <c r="F63" i="9"/>
  <c r="E196" i="9" l="1"/>
  <c r="E207" i="9" s="1"/>
  <c r="X44" i="7"/>
  <c r="E141" i="9"/>
  <c r="F68" i="9"/>
  <c r="F161" i="9"/>
  <c r="F159" i="9"/>
  <c r="S57" i="7"/>
  <c r="S14" i="7"/>
  <c r="F39" i="3"/>
  <c r="C39" i="3"/>
  <c r="F41" i="3"/>
  <c r="C41" i="3"/>
  <c r="M40" i="3"/>
  <c r="E197" i="9" l="1"/>
  <c r="E210" i="9"/>
  <c r="L189" i="9"/>
  <c r="K189" i="9"/>
  <c r="F176" i="9"/>
  <c r="F167" i="9"/>
  <c r="F164" i="9"/>
  <c r="F157" i="9"/>
  <c r="F156" i="9"/>
  <c r="K153" i="9"/>
  <c r="D146" i="9"/>
  <c r="F146" i="9"/>
  <c r="I146" i="9"/>
  <c r="C146" i="9"/>
  <c r="F117" i="9"/>
  <c r="F114" i="9"/>
  <c r="F112" i="9"/>
  <c r="F111" i="9"/>
  <c r="F104" i="9"/>
  <c r="F103" i="9"/>
  <c r="F102" i="9"/>
  <c r="F98" i="9"/>
  <c r="F91" i="9"/>
  <c r="F90" i="9"/>
  <c r="F84" i="9"/>
  <c r="F83" i="9"/>
  <c r="F82" i="9"/>
  <c r="F61" i="9"/>
  <c r="F60" i="9"/>
  <c r="L66" i="9"/>
  <c r="F35" i="3"/>
  <c r="C35" i="3"/>
  <c r="O30" i="8"/>
  <c r="O36" i="8"/>
  <c r="E213" i="9" l="1"/>
  <c r="E208" i="9"/>
  <c r="E211" i="9" s="1"/>
  <c r="E214" i="9" s="1"/>
  <c r="E198" i="9"/>
  <c r="E205" i="9" s="1"/>
  <c r="K146" i="9"/>
  <c r="F47" i="3"/>
  <c r="C47" i="3"/>
  <c r="C37" i="3"/>
  <c r="F37" i="3"/>
  <c r="E215" i="9" l="1"/>
  <c r="F189" i="9"/>
  <c r="M189" i="9" s="1"/>
  <c r="O61" i="8"/>
  <c r="O46" i="8" l="1"/>
  <c r="S18" i="7"/>
  <c r="F121" i="9" l="1"/>
  <c r="F116" i="9" s="1"/>
  <c r="S26" i="7"/>
  <c r="K133" i="9"/>
  <c r="K137" i="9"/>
  <c r="F126" i="9"/>
  <c r="F124" i="9" s="1"/>
  <c r="K70" i="9"/>
  <c r="K71" i="9"/>
  <c r="K73" i="9"/>
  <c r="F51" i="9"/>
  <c r="F45" i="9"/>
  <c r="F14" i="9"/>
  <c r="F12" i="9"/>
  <c r="F199" i="9"/>
  <c r="F180" i="9"/>
  <c r="F181" i="9"/>
  <c r="F186" i="9"/>
  <c r="F154" i="9"/>
  <c r="F87" i="9"/>
  <c r="F89" i="9"/>
  <c r="F92" i="9"/>
  <c r="F96" i="9"/>
  <c r="F101" i="9"/>
  <c r="F105" i="9"/>
  <c r="F110" i="9"/>
  <c r="F131" i="9"/>
  <c r="F132" i="9"/>
  <c r="F134" i="9"/>
  <c r="F136" i="9"/>
  <c r="F138" i="9"/>
  <c r="F3" i="9"/>
  <c r="F20" i="9"/>
  <c r="F32" i="9"/>
  <c r="F34" i="9"/>
  <c r="F72" i="9"/>
  <c r="F74" i="9"/>
  <c r="F203" i="9" l="1"/>
  <c r="F81" i="9"/>
  <c r="F130" i="9" s="1"/>
  <c r="F75" i="9"/>
  <c r="F173" i="9"/>
  <c r="F42" i="9"/>
  <c r="F135" i="9"/>
  <c r="F139" i="9"/>
  <c r="F11" i="9"/>
  <c r="F200" i="9"/>
  <c r="F201" i="9" s="1"/>
  <c r="O9" i="8"/>
  <c r="F202" i="9" l="1"/>
  <c r="F204" i="9" s="1"/>
  <c r="F69" i="9"/>
  <c r="F140" i="9"/>
  <c r="F44" i="3"/>
  <c r="C44" i="3"/>
  <c r="N69" i="9" l="1"/>
  <c r="M69" i="9"/>
  <c r="F76" i="9"/>
  <c r="F141" i="9"/>
  <c r="I46" i="3"/>
  <c r="J46" i="3" s="1"/>
  <c r="I42" i="3"/>
  <c r="J42" i="3"/>
  <c r="M48" i="3"/>
  <c r="N76" i="9" l="1"/>
  <c r="M76" i="9"/>
  <c r="F196" i="9"/>
  <c r="F207" i="9" s="1"/>
  <c r="F197" i="9"/>
  <c r="F208" i="9" s="1"/>
  <c r="S32" i="7"/>
  <c r="S21" i="7"/>
  <c r="S25" i="7"/>
  <c r="T25" i="7" s="1"/>
  <c r="T18" i="7"/>
  <c r="S7" i="7"/>
  <c r="T7" i="7" s="1"/>
  <c r="O8" i="8"/>
  <c r="K148" i="9"/>
  <c r="D3" i="9"/>
  <c r="D20" i="9"/>
  <c r="D11" i="9" s="1"/>
  <c r="D32" i="9"/>
  <c r="D34" i="9"/>
  <c r="D55" i="9"/>
  <c r="D72" i="9"/>
  <c r="D74" i="9"/>
  <c r="D83" i="9"/>
  <c r="D81" i="9" s="1"/>
  <c r="D87" i="9"/>
  <c r="D89" i="9"/>
  <c r="D92" i="9"/>
  <c r="D96" i="9"/>
  <c r="D101" i="9"/>
  <c r="D105" i="9"/>
  <c r="D111" i="9"/>
  <c r="D110" i="9" s="1"/>
  <c r="D116" i="9"/>
  <c r="D124" i="9"/>
  <c r="D131" i="9"/>
  <c r="D132" i="9"/>
  <c r="D134" i="9"/>
  <c r="D136" i="9"/>
  <c r="D138" i="9"/>
  <c r="D199" i="9"/>
  <c r="D154" i="9"/>
  <c r="D181" i="9"/>
  <c r="D180" i="9"/>
  <c r="D186" i="9"/>
  <c r="O207" i="9" l="1"/>
  <c r="N207" i="9"/>
  <c r="F198" i="9"/>
  <c r="F205" i="9" s="1"/>
  <c r="F210" i="9"/>
  <c r="F213" i="9" s="1"/>
  <c r="F211" i="9"/>
  <c r="D200" i="9"/>
  <c r="F214" i="9"/>
  <c r="D203" i="9"/>
  <c r="T13" i="7"/>
  <c r="D75" i="9"/>
  <c r="D42" i="9"/>
  <c r="D69" i="9" s="1"/>
  <c r="L69" i="9" s="1"/>
  <c r="D173" i="9"/>
  <c r="D139" i="9"/>
  <c r="D135" i="9"/>
  <c r="D130" i="9"/>
  <c r="D201" i="9"/>
  <c r="M49" i="3"/>
  <c r="H52" i="3"/>
  <c r="G52" i="3"/>
  <c r="F52" i="3"/>
  <c r="E52" i="3"/>
  <c r="D52" i="3"/>
  <c r="C52" i="3"/>
  <c r="I51" i="3"/>
  <c r="J51" i="3" s="1"/>
  <c r="H50" i="3"/>
  <c r="G50" i="3"/>
  <c r="D50" i="3"/>
  <c r="D54" i="3" s="1"/>
  <c r="I49" i="3"/>
  <c r="J49" i="3" s="1"/>
  <c r="I48" i="3"/>
  <c r="J48" i="3" s="1"/>
  <c r="E47" i="3"/>
  <c r="E50" i="3" s="1"/>
  <c r="I45" i="3"/>
  <c r="C45" i="3"/>
  <c r="I44" i="3"/>
  <c r="J44" i="3" s="1"/>
  <c r="F43" i="3"/>
  <c r="I43" i="3" s="1"/>
  <c r="J43" i="3" s="1"/>
  <c r="I41" i="3"/>
  <c r="J41" i="3" s="1"/>
  <c r="I40" i="3"/>
  <c r="J40" i="3" s="1"/>
  <c r="I39" i="3"/>
  <c r="J39" i="3" s="1"/>
  <c r="F38" i="3"/>
  <c r="I38" i="3" s="1"/>
  <c r="C38" i="3"/>
  <c r="I37" i="3"/>
  <c r="J37" i="3" s="1"/>
  <c r="I36" i="3"/>
  <c r="J36" i="3" s="1"/>
  <c r="I35" i="3"/>
  <c r="J35" i="3" s="1"/>
  <c r="I34" i="3"/>
  <c r="J34" i="3" s="1"/>
  <c r="I186" i="9"/>
  <c r="I203" i="9" s="1"/>
  <c r="C186" i="9"/>
  <c r="C203" i="9" s="1"/>
  <c r="C180" i="9"/>
  <c r="C181" i="9"/>
  <c r="C174" i="9"/>
  <c r="I173" i="9"/>
  <c r="I202" i="9" s="1"/>
  <c r="I154" i="9"/>
  <c r="I200" i="9" s="1"/>
  <c r="C154" i="9"/>
  <c r="C200" i="9" s="1"/>
  <c r="I199" i="9"/>
  <c r="C199" i="9"/>
  <c r="I139" i="9"/>
  <c r="C138" i="9"/>
  <c r="K138" i="9" s="1"/>
  <c r="C136" i="9"/>
  <c r="K136" i="9" s="1"/>
  <c r="I135" i="9"/>
  <c r="J135" i="9" s="1"/>
  <c r="C134" i="9"/>
  <c r="K134" i="9" s="1"/>
  <c r="C132" i="9"/>
  <c r="K132" i="9" s="1"/>
  <c r="C131" i="9"/>
  <c r="K131" i="9" s="1"/>
  <c r="I124" i="9"/>
  <c r="C124" i="9"/>
  <c r="C121" i="9"/>
  <c r="K121" i="9" s="1"/>
  <c r="I116" i="9"/>
  <c r="C111" i="9"/>
  <c r="C110" i="9" s="1"/>
  <c r="I110" i="9"/>
  <c r="I105" i="9"/>
  <c r="C105" i="9"/>
  <c r="I101" i="9"/>
  <c r="J101" i="9" s="1"/>
  <c r="C101" i="9"/>
  <c r="I96" i="9"/>
  <c r="C96" i="9"/>
  <c r="I92" i="9"/>
  <c r="C92" i="9"/>
  <c r="I89" i="9"/>
  <c r="C89" i="9"/>
  <c r="I87" i="9"/>
  <c r="C87" i="9"/>
  <c r="I81" i="9"/>
  <c r="C83" i="9"/>
  <c r="C81" i="9" s="1"/>
  <c r="I74" i="9"/>
  <c r="C74" i="9"/>
  <c r="K74" i="9" s="1"/>
  <c r="I72" i="9"/>
  <c r="J72" i="9" s="1"/>
  <c r="C72" i="9"/>
  <c r="K72" i="9" s="1"/>
  <c r="K66" i="9"/>
  <c r="C55" i="9"/>
  <c r="I42" i="9"/>
  <c r="C45" i="9"/>
  <c r="L40" i="9"/>
  <c r="K40" i="9"/>
  <c r="I34" i="9"/>
  <c r="C34" i="9"/>
  <c r="I32" i="9"/>
  <c r="C32" i="9"/>
  <c r="I11" i="9"/>
  <c r="C20" i="9"/>
  <c r="I3" i="9"/>
  <c r="C3" i="9"/>
  <c r="O51" i="8"/>
  <c r="O28" i="8"/>
  <c r="O18" i="8"/>
  <c r="O14" i="8"/>
  <c r="O7" i="8"/>
  <c r="S53" i="7"/>
  <c r="S51" i="7"/>
  <c r="S37" i="7"/>
  <c r="O210" i="9" l="1"/>
  <c r="N210" i="9"/>
  <c r="O213" i="9"/>
  <c r="N213" i="9"/>
  <c r="K186" i="9"/>
  <c r="F215" i="9"/>
  <c r="K154" i="9"/>
  <c r="O21" i="8"/>
  <c r="O24" i="8" s="1"/>
  <c r="D202" i="9"/>
  <c r="D204" i="9" s="1"/>
  <c r="O64" i="8"/>
  <c r="O67" i="8" s="1"/>
  <c r="E53" i="3"/>
  <c r="J38" i="3"/>
  <c r="J45" i="3"/>
  <c r="H53" i="3"/>
  <c r="S29" i="7"/>
  <c r="S33" i="7" s="1"/>
  <c r="S55" i="7"/>
  <c r="S58" i="7" s="1"/>
  <c r="F50" i="3"/>
  <c r="F53" i="3" s="1"/>
  <c r="G53" i="3"/>
  <c r="D53" i="3"/>
  <c r="C50" i="3"/>
  <c r="C53" i="3" s="1"/>
  <c r="C116" i="9"/>
  <c r="D76" i="9"/>
  <c r="L76" i="9" s="1"/>
  <c r="C11" i="9"/>
  <c r="D140" i="9"/>
  <c r="C139" i="9"/>
  <c r="K139" i="9" s="1"/>
  <c r="I75" i="9"/>
  <c r="J75" i="9" s="1"/>
  <c r="I140" i="9"/>
  <c r="J140" i="9" s="1"/>
  <c r="I69" i="9"/>
  <c r="C42" i="9"/>
  <c r="C75" i="9"/>
  <c r="K75" i="9" s="1"/>
  <c r="I130" i="9"/>
  <c r="J130" i="9" s="1"/>
  <c r="I201" i="9"/>
  <c r="C173" i="9"/>
  <c r="C202" i="9" s="1"/>
  <c r="C204" i="9" s="1"/>
  <c r="I52" i="3"/>
  <c r="J52" i="3" s="1"/>
  <c r="I47" i="3"/>
  <c r="I50" i="3" s="1"/>
  <c r="C130" i="9"/>
  <c r="K130" i="9" s="1"/>
  <c r="C135" i="9"/>
  <c r="K135" i="9" s="1"/>
  <c r="I204" i="9"/>
  <c r="C201" i="9"/>
  <c r="O215" i="9" l="1"/>
  <c r="N215" i="9"/>
  <c r="K173" i="9"/>
  <c r="O68" i="8"/>
  <c r="D141" i="9"/>
  <c r="D196" i="9"/>
  <c r="D207" i="9" s="1"/>
  <c r="M207" i="9" s="1"/>
  <c r="S59" i="7"/>
  <c r="J47" i="3"/>
  <c r="C69" i="9"/>
  <c r="I76" i="9"/>
  <c r="C140" i="9"/>
  <c r="C141" i="9" s="1"/>
  <c r="C197" i="9" s="1"/>
  <c r="C208" i="9" s="1"/>
  <c r="I141" i="9"/>
  <c r="I53" i="3"/>
  <c r="J53" i="3" s="1"/>
  <c r="J50" i="3"/>
  <c r="I196" i="9" l="1"/>
  <c r="I207" i="9" s="1"/>
  <c r="J76" i="9"/>
  <c r="I197" i="9"/>
  <c r="I208" i="9" s="1"/>
  <c r="I211" i="9" s="1"/>
  <c r="I214" i="9" s="1"/>
  <c r="J141" i="9"/>
  <c r="K140" i="9"/>
  <c r="K141" i="9"/>
  <c r="D197" i="9"/>
  <c r="D198" i="9" s="1"/>
  <c r="D205" i="9" s="1"/>
  <c r="C76" i="9"/>
  <c r="K69" i="9"/>
  <c r="D210" i="9"/>
  <c r="M210" i="9" s="1"/>
  <c r="I210" i="9"/>
  <c r="I213" i="9" s="1"/>
  <c r="C211" i="9"/>
  <c r="C214" i="9" s="1"/>
  <c r="I198" i="9" l="1"/>
  <c r="I205" i="9" s="1"/>
  <c r="I215" i="9" s="1"/>
  <c r="D208" i="9"/>
  <c r="C196" i="9"/>
  <c r="K76" i="9"/>
  <c r="D213" i="9"/>
  <c r="M213" i="9" s="1"/>
  <c r="D211" i="9"/>
  <c r="L208" i="9" l="1"/>
  <c r="C207" i="9"/>
  <c r="C198" i="9"/>
  <c r="C205" i="9" s="1"/>
  <c r="D214" i="9"/>
  <c r="L211" i="9"/>
  <c r="K5" i="6"/>
  <c r="K6" i="6"/>
  <c r="K7" i="6"/>
  <c r="K8" i="6"/>
  <c r="K10" i="6"/>
  <c r="K11" i="6"/>
  <c r="K13" i="6"/>
  <c r="K14" i="6"/>
  <c r="J15" i="6"/>
  <c r="I15" i="6"/>
  <c r="H15" i="6"/>
  <c r="K15" i="6" s="1"/>
  <c r="J12" i="6"/>
  <c r="I12" i="6"/>
  <c r="H12" i="6"/>
  <c r="J9" i="6"/>
  <c r="I9" i="6"/>
  <c r="H9" i="6"/>
  <c r="K4" i="6"/>
  <c r="E8" i="6"/>
  <c r="E9" i="6"/>
  <c r="E10" i="6"/>
  <c r="E11" i="6"/>
  <c r="E12" i="6"/>
  <c r="E14" i="6"/>
  <c r="E15" i="6"/>
  <c r="E17" i="6"/>
  <c r="E19" i="6"/>
  <c r="E20" i="6"/>
  <c r="E5" i="6"/>
  <c r="E6" i="6"/>
  <c r="C18" i="6"/>
  <c r="D18" i="6"/>
  <c r="B18" i="6"/>
  <c r="C16" i="6"/>
  <c r="D16" i="6"/>
  <c r="B16" i="6"/>
  <c r="C13" i="6"/>
  <c r="D13" i="6"/>
  <c r="C7" i="6"/>
  <c r="D7" i="6"/>
  <c r="B7" i="6"/>
  <c r="B13" i="6"/>
  <c r="E4" i="6"/>
  <c r="R14" i="4"/>
  <c r="Q14" i="4"/>
  <c r="K14" i="4"/>
  <c r="J14" i="4"/>
  <c r="D14" i="4"/>
  <c r="C14" i="4"/>
  <c r="C210" i="9" l="1"/>
  <c r="L210" i="9" s="1"/>
  <c r="L207" i="9"/>
  <c r="D215" i="9"/>
  <c r="M215" i="9" s="1"/>
  <c r="L214" i="9"/>
  <c r="H16" i="6"/>
  <c r="K12" i="6"/>
  <c r="K9" i="6"/>
  <c r="L16" i="6" s="1"/>
  <c r="J16" i="6"/>
  <c r="E13" i="6"/>
  <c r="I16" i="6"/>
  <c r="E18" i="6"/>
  <c r="E16" i="6"/>
  <c r="E7" i="6"/>
  <c r="C21" i="6"/>
  <c r="I17" i="6" s="1"/>
  <c r="D21" i="6"/>
  <c r="B21" i="6"/>
  <c r="H17" i="6" s="1"/>
  <c r="R13" i="4"/>
  <c r="Q13" i="4"/>
  <c r="P13" i="4"/>
  <c r="S13" i="4" s="1"/>
  <c r="S11" i="4"/>
  <c r="S10" i="4"/>
  <c r="R9" i="4"/>
  <c r="Q9" i="4"/>
  <c r="P9" i="4"/>
  <c r="S9" i="4" s="1"/>
  <c r="S8" i="4"/>
  <c r="S7" i="4"/>
  <c r="S6" i="4"/>
  <c r="S5" i="4"/>
  <c r="S4" i="4"/>
  <c r="K13" i="4"/>
  <c r="J13" i="4"/>
  <c r="I13" i="4"/>
  <c r="L13" i="4" s="1"/>
  <c r="L11" i="4"/>
  <c r="L10" i="4"/>
  <c r="K9" i="4"/>
  <c r="J9" i="4"/>
  <c r="I9" i="4"/>
  <c r="L8" i="4"/>
  <c r="L7" i="4"/>
  <c r="L6" i="4"/>
  <c r="L5" i="4"/>
  <c r="L4" i="4"/>
  <c r="I28" i="5"/>
  <c r="E28" i="5"/>
  <c r="J28" i="5" s="1"/>
  <c r="K27" i="5"/>
  <c r="I27" i="5"/>
  <c r="E27" i="5"/>
  <c r="J27" i="5" s="1"/>
  <c r="J26" i="5"/>
  <c r="I26" i="5"/>
  <c r="E26" i="5"/>
  <c r="I25" i="5"/>
  <c r="J25" i="5" s="1"/>
  <c r="E25" i="5"/>
  <c r="I24" i="5"/>
  <c r="E24" i="5"/>
  <c r="J24" i="5" s="1"/>
  <c r="I23" i="5"/>
  <c r="E23" i="5"/>
  <c r="J23" i="5" s="1"/>
  <c r="J18" i="5"/>
  <c r="I18" i="5"/>
  <c r="E18" i="5"/>
  <c r="K17" i="5"/>
  <c r="J17" i="5"/>
  <c r="I17" i="5"/>
  <c r="E17" i="5"/>
  <c r="I16" i="5"/>
  <c r="J16" i="5" s="1"/>
  <c r="E16" i="5"/>
  <c r="I15" i="5"/>
  <c r="E15" i="5"/>
  <c r="J15" i="5" s="1"/>
  <c r="I14" i="5"/>
  <c r="E14" i="5"/>
  <c r="J14" i="5" s="1"/>
  <c r="J13" i="5"/>
  <c r="I13" i="5"/>
  <c r="E13" i="5"/>
  <c r="I8" i="5"/>
  <c r="J8" i="5" s="1"/>
  <c r="E8" i="5"/>
  <c r="K7" i="5"/>
  <c r="I7" i="5"/>
  <c r="J7" i="5" s="1"/>
  <c r="E7" i="5"/>
  <c r="I6" i="5"/>
  <c r="E6" i="5"/>
  <c r="J6" i="5" s="1"/>
  <c r="I5" i="5"/>
  <c r="E5" i="5"/>
  <c r="J5" i="5" s="1"/>
  <c r="J4" i="5"/>
  <c r="I4" i="5"/>
  <c r="E4" i="5"/>
  <c r="I3" i="5"/>
  <c r="J3" i="5" s="1"/>
  <c r="E3" i="5"/>
  <c r="C213" i="9" l="1"/>
  <c r="C215" i="9" s="1"/>
  <c r="L215" i="9" s="1"/>
  <c r="J17" i="6"/>
  <c r="K16" i="6"/>
  <c r="E21" i="6"/>
  <c r="K17" i="6" s="1"/>
  <c r="F21" i="6"/>
  <c r="S14" i="4"/>
  <c r="M9" i="4"/>
  <c r="L9" i="4"/>
  <c r="L14" i="4" s="1"/>
  <c r="T9" i="4"/>
  <c r="S12" i="4"/>
  <c r="T13" i="4" s="1"/>
  <c r="L12" i="4"/>
  <c r="M13" i="4" s="1"/>
  <c r="L213" i="9" l="1"/>
  <c r="B12" i="4"/>
  <c r="B7" i="4"/>
  <c r="J233" i="1" l="1"/>
  <c r="D10" i="4" l="1"/>
  <c r="J156" i="1"/>
  <c r="L99" i="1"/>
  <c r="K99" i="1"/>
  <c r="L4" i="1"/>
  <c r="K4" i="1"/>
  <c r="J99" i="1" l="1"/>
  <c r="J127" i="1"/>
  <c r="J139" i="1" l="1"/>
  <c r="D13" i="4" l="1"/>
  <c r="C13" i="4"/>
  <c r="B13" i="4"/>
  <c r="E13" i="4" s="1"/>
  <c r="E12" i="4"/>
  <c r="E11" i="4"/>
  <c r="E10" i="4"/>
  <c r="D9" i="4"/>
  <c r="C9" i="4"/>
  <c r="B9" i="4"/>
  <c r="E9" i="4" s="1"/>
  <c r="E8" i="4"/>
  <c r="E7" i="4"/>
  <c r="E6" i="4"/>
  <c r="E5" i="4"/>
  <c r="E4" i="4"/>
  <c r="M180" i="1"/>
  <c r="E14" i="4" l="1"/>
  <c r="F13" i="4"/>
  <c r="F9" i="4"/>
  <c r="N43" i="1"/>
  <c r="O43" i="1"/>
  <c r="M154" i="1" l="1"/>
  <c r="J232" i="1" l="1"/>
  <c r="I65" i="3" l="1"/>
  <c r="J65" i="3" s="1"/>
  <c r="M80" i="1"/>
  <c r="N78" i="1"/>
  <c r="O78" i="1"/>
  <c r="J68" i="1"/>
  <c r="M78" i="1"/>
  <c r="M43" i="1"/>
  <c r="M237" i="1"/>
  <c r="M234" i="1"/>
  <c r="M231" i="1"/>
  <c r="M139" i="1" l="1"/>
  <c r="E37" i="1" l="1"/>
  <c r="F37" i="1"/>
  <c r="G37" i="1"/>
  <c r="H37" i="1"/>
  <c r="I37" i="1"/>
  <c r="J37" i="1"/>
  <c r="K37" i="1"/>
  <c r="L37" i="1"/>
  <c r="M34" i="1"/>
  <c r="F69" i="3" l="1"/>
  <c r="M16" i="1" l="1"/>
  <c r="G193" i="1" l="1"/>
  <c r="G157" i="1"/>
  <c r="G54" i="1"/>
  <c r="G76" i="1"/>
  <c r="G60" i="1"/>
  <c r="H81" i="3" l="1"/>
  <c r="G81" i="3"/>
  <c r="F81" i="3"/>
  <c r="E81" i="3"/>
  <c r="D81" i="3"/>
  <c r="C81" i="3"/>
  <c r="I80" i="3"/>
  <c r="I81" i="3" s="1"/>
  <c r="H79" i="3"/>
  <c r="G79" i="3"/>
  <c r="D79" i="3"/>
  <c r="I78" i="3"/>
  <c r="J78" i="3" s="1"/>
  <c r="I77" i="3"/>
  <c r="J77" i="3" s="1"/>
  <c r="M78" i="3"/>
  <c r="E76" i="3"/>
  <c r="E79" i="3" s="1"/>
  <c r="C76" i="3"/>
  <c r="I75" i="3"/>
  <c r="C75" i="3"/>
  <c r="F74" i="3"/>
  <c r="I74" i="3" s="1"/>
  <c r="J74" i="3" s="1"/>
  <c r="F73" i="3"/>
  <c r="I73" i="3" s="1"/>
  <c r="J73" i="3" s="1"/>
  <c r="I72" i="3"/>
  <c r="J72" i="3" s="1"/>
  <c r="I71" i="3"/>
  <c r="J71" i="3" s="1"/>
  <c r="I70" i="3"/>
  <c r="J70" i="3" s="1"/>
  <c r="I69" i="3"/>
  <c r="C69" i="3"/>
  <c r="I68" i="3"/>
  <c r="J68" i="3" s="1"/>
  <c r="I67" i="3"/>
  <c r="J67" i="3" s="1"/>
  <c r="I66" i="3"/>
  <c r="J66" i="3" s="1"/>
  <c r="I64" i="3"/>
  <c r="J64" i="3" s="1"/>
  <c r="H82" i="3" l="1"/>
  <c r="J69" i="3"/>
  <c r="E82" i="3"/>
  <c r="D82" i="3"/>
  <c r="D83" i="3"/>
  <c r="F79" i="3"/>
  <c r="F82" i="3" s="1"/>
  <c r="F55" i="3" s="1"/>
  <c r="C79" i="3"/>
  <c r="C82" i="3" s="1"/>
  <c r="G82" i="3"/>
  <c r="J81" i="3"/>
  <c r="I76" i="3"/>
  <c r="J76" i="3" s="1"/>
  <c r="J80" i="3"/>
  <c r="J75" i="3"/>
  <c r="I79" i="3" l="1"/>
  <c r="I82" i="3" l="1"/>
  <c r="J82" i="3" s="1"/>
  <c r="J79" i="3"/>
  <c r="H161" i="1" l="1"/>
  <c r="I161" i="1"/>
  <c r="H143" i="1"/>
  <c r="H142" i="1"/>
  <c r="H133" i="1"/>
  <c r="H132" i="1" s="1"/>
  <c r="H126" i="1"/>
  <c r="H121" i="1"/>
  <c r="H117" i="1"/>
  <c r="H112" i="1"/>
  <c r="H108" i="1"/>
  <c r="H105" i="1"/>
  <c r="H103" i="1"/>
  <c r="H100" i="1"/>
  <c r="H98" i="1"/>
  <c r="H97" i="1" s="1"/>
  <c r="C268" i="1"/>
  <c r="E241" i="1"/>
  <c r="F241" i="1"/>
  <c r="G241" i="1"/>
  <c r="H241" i="1"/>
  <c r="I241" i="1"/>
  <c r="I258" i="1" s="1"/>
  <c r="J241" i="1"/>
  <c r="K241" i="1"/>
  <c r="L241" i="1"/>
  <c r="E224" i="1"/>
  <c r="F224" i="1"/>
  <c r="G224" i="1"/>
  <c r="I224" i="1"/>
  <c r="I257" i="1" s="1"/>
  <c r="K224" i="1"/>
  <c r="L224" i="1"/>
  <c r="I181" i="1"/>
  <c r="I255" i="1" s="1"/>
  <c r="J181" i="1"/>
  <c r="K181" i="1"/>
  <c r="L181" i="1"/>
  <c r="I166" i="1"/>
  <c r="I254" i="1" s="1"/>
  <c r="J166" i="1"/>
  <c r="K166" i="1"/>
  <c r="L166" i="1"/>
  <c r="I149" i="1"/>
  <c r="I150" i="1"/>
  <c r="I151" i="1"/>
  <c r="I154" i="1"/>
  <c r="I158" i="1"/>
  <c r="I156" i="1" s="1"/>
  <c r="J149" i="1"/>
  <c r="K149" i="1"/>
  <c r="L149" i="1"/>
  <c r="I146" i="1"/>
  <c r="I145" i="1"/>
  <c r="I144" i="1"/>
  <c r="I143" i="1"/>
  <c r="I140" i="1"/>
  <c r="I139" i="1"/>
  <c r="I136" i="1"/>
  <c r="I133" i="1"/>
  <c r="I131" i="1"/>
  <c r="I130" i="1"/>
  <c r="I129" i="1"/>
  <c r="I128" i="1"/>
  <c r="I127" i="1"/>
  <c r="I125" i="1"/>
  <c r="I121" i="1"/>
  <c r="I120" i="1"/>
  <c r="I119" i="1"/>
  <c r="I118" i="1"/>
  <c r="I114" i="1"/>
  <c r="I113" i="1"/>
  <c r="I111" i="1"/>
  <c r="I110" i="1"/>
  <c r="I109" i="1"/>
  <c r="I106" i="1"/>
  <c r="I105" i="1" s="1"/>
  <c r="I104" i="1"/>
  <c r="I103" i="1" s="1"/>
  <c r="I102" i="1"/>
  <c r="I101" i="1"/>
  <c r="I100" i="1"/>
  <c r="I99" i="1"/>
  <c r="I98" i="1"/>
  <c r="I90" i="1"/>
  <c r="J90" i="1"/>
  <c r="K90" i="1"/>
  <c r="L90" i="1"/>
  <c r="I87" i="1"/>
  <c r="J87" i="1"/>
  <c r="K87" i="1"/>
  <c r="L87" i="1"/>
  <c r="L91" i="1" s="1"/>
  <c r="I45" i="1"/>
  <c r="I35" i="1"/>
  <c r="J35" i="1"/>
  <c r="K35" i="1"/>
  <c r="L35" i="1"/>
  <c r="I11" i="1"/>
  <c r="K11" i="1"/>
  <c r="I259" i="1" l="1"/>
  <c r="I117" i="1"/>
  <c r="I159" i="1"/>
  <c r="I155" i="1"/>
  <c r="I160" i="1" s="1"/>
  <c r="H148" i="1"/>
  <c r="I256" i="1"/>
  <c r="I97" i="1"/>
  <c r="K91" i="1"/>
  <c r="I91" i="1"/>
  <c r="J91" i="1"/>
  <c r="I112" i="1"/>
  <c r="I142" i="1"/>
  <c r="I108" i="1"/>
  <c r="I132" i="1"/>
  <c r="I126" i="1"/>
  <c r="I148" i="1" l="1"/>
  <c r="I252" i="1" s="1"/>
  <c r="I263" i="1" s="1"/>
  <c r="I266" i="1" l="1"/>
  <c r="I269" i="1" s="1"/>
  <c r="K56" i="1" l="1"/>
  <c r="K45" i="1" s="1"/>
  <c r="L56" i="1"/>
  <c r="L45" i="1" s="1"/>
  <c r="J56" i="1"/>
  <c r="J45" i="1" s="1"/>
  <c r="K255" i="1" l="1"/>
  <c r="K257" i="1"/>
  <c r="K258" i="1"/>
  <c r="J227" i="1"/>
  <c r="J224" i="1" s="1"/>
  <c r="K254" i="1"/>
  <c r="L254" i="1"/>
  <c r="L255" i="1"/>
  <c r="K150" i="1"/>
  <c r="L150" i="1"/>
  <c r="K151" i="1"/>
  <c r="L151" i="1"/>
  <c r="K154" i="1"/>
  <c r="L154" i="1"/>
  <c r="K158" i="1"/>
  <c r="K159" i="1" s="1"/>
  <c r="L158" i="1"/>
  <c r="L159" i="1" s="1"/>
  <c r="K142" i="1"/>
  <c r="L142" i="1"/>
  <c r="K132" i="1"/>
  <c r="L132" i="1"/>
  <c r="K126" i="1"/>
  <c r="L126" i="1"/>
  <c r="K121" i="1"/>
  <c r="L121" i="1"/>
  <c r="K117" i="1"/>
  <c r="L117" i="1"/>
  <c r="K112" i="1"/>
  <c r="L112" i="1"/>
  <c r="K108" i="1"/>
  <c r="L108" i="1"/>
  <c r="K105" i="1"/>
  <c r="L105" i="1"/>
  <c r="K103" i="1"/>
  <c r="L103" i="1"/>
  <c r="K97" i="1"/>
  <c r="L97" i="1"/>
  <c r="I3" i="1"/>
  <c r="I83" i="1" s="1"/>
  <c r="I92" i="1" s="1"/>
  <c r="I251" i="1" s="1"/>
  <c r="J3" i="1"/>
  <c r="K3" i="1"/>
  <c r="K83" i="1" s="1"/>
  <c r="K92" i="1" s="1"/>
  <c r="K251" i="1" s="1"/>
  <c r="L3" i="1"/>
  <c r="I253" i="1" l="1"/>
  <c r="I260" i="1" s="1"/>
  <c r="I262" i="1"/>
  <c r="K256" i="1"/>
  <c r="K262" i="1"/>
  <c r="L155" i="1"/>
  <c r="L160" i="1" s="1"/>
  <c r="L256" i="1"/>
  <c r="L148" i="1"/>
  <c r="K259" i="1"/>
  <c r="K155" i="1"/>
  <c r="K160" i="1" s="1"/>
  <c r="K148" i="1"/>
  <c r="L161" i="1" l="1"/>
  <c r="K161" i="1"/>
  <c r="K252" i="1" s="1"/>
  <c r="I265" i="1"/>
  <c r="I268" i="1" s="1"/>
  <c r="I270" i="1" s="1"/>
  <c r="K265" i="1"/>
  <c r="K268" i="1" s="1"/>
  <c r="L252" i="1"/>
  <c r="H176" i="1"/>
  <c r="K263" i="1" l="1"/>
  <c r="K266" i="1" s="1"/>
  <c r="K269" i="1" s="1"/>
  <c r="K253" i="1"/>
  <c r="K260" i="1" s="1"/>
  <c r="K270" i="1" l="1"/>
  <c r="H219" i="1" l="1"/>
  <c r="H43" i="1" l="1"/>
  <c r="H227" i="1" l="1"/>
  <c r="L257" i="1"/>
  <c r="D224" i="1"/>
  <c r="L258" i="1"/>
  <c r="F181" i="1"/>
  <c r="G181" i="1"/>
  <c r="H181" i="1"/>
  <c r="G121" i="1"/>
  <c r="G108" i="1"/>
  <c r="G105" i="1"/>
  <c r="G103" i="1"/>
  <c r="F45" i="1"/>
  <c r="G45" i="1"/>
  <c r="H45" i="1"/>
  <c r="E45" i="1"/>
  <c r="E90" i="1"/>
  <c r="F90" i="1"/>
  <c r="G90" i="1"/>
  <c r="H90" i="1"/>
  <c r="D90" i="1"/>
  <c r="E132" i="1"/>
  <c r="F132" i="1"/>
  <c r="G132" i="1"/>
  <c r="H224" i="1" l="1"/>
  <c r="G97" i="1"/>
  <c r="G117" i="1"/>
  <c r="L259" i="1"/>
  <c r="L263" i="1"/>
  <c r="G112" i="1"/>
  <c r="G3" i="1"/>
  <c r="F258" i="1"/>
  <c r="F257" i="1"/>
  <c r="F255" i="1"/>
  <c r="F166" i="1"/>
  <c r="F254" i="1" s="1"/>
  <c r="F159" i="1"/>
  <c r="F149" i="1"/>
  <c r="F150" i="1"/>
  <c r="F154" i="1"/>
  <c r="F142" i="1"/>
  <c r="F126" i="1"/>
  <c r="F121" i="1"/>
  <c r="F117" i="1"/>
  <c r="F112" i="1"/>
  <c r="F108" i="1"/>
  <c r="F105" i="1"/>
  <c r="F103" i="1"/>
  <c r="F97" i="1"/>
  <c r="F87" i="1"/>
  <c r="F91" i="1" s="1"/>
  <c r="F35" i="1"/>
  <c r="F11" i="1"/>
  <c r="F3" i="1"/>
  <c r="L266" i="1" l="1"/>
  <c r="L269" i="1" s="1"/>
  <c r="F256" i="1"/>
  <c r="F259" i="1"/>
  <c r="F155" i="1"/>
  <c r="F160" i="1" s="1"/>
  <c r="F148" i="1"/>
  <c r="F83" i="1"/>
  <c r="F92" i="1" s="1"/>
  <c r="F251" i="1" s="1"/>
  <c r="F262" i="1" s="1"/>
  <c r="F265" i="1" l="1"/>
  <c r="F268" i="1" s="1"/>
  <c r="F161" i="1"/>
  <c r="F252" i="1" s="1"/>
  <c r="F253" i="1" s="1"/>
  <c r="F260" i="1" s="1"/>
  <c r="F263" i="1" l="1"/>
  <c r="J132" i="1"/>
  <c r="F266" i="1" l="1"/>
  <c r="F269" i="1"/>
  <c r="F270" i="1" s="1"/>
  <c r="J20" i="1"/>
  <c r="L20" i="1"/>
  <c r="L11" i="1" l="1"/>
  <c r="L83" i="1" s="1"/>
  <c r="L92" i="1" s="1"/>
  <c r="J11" i="1"/>
  <c r="J83" i="1" s="1"/>
  <c r="J92" i="1" s="1"/>
  <c r="H20" i="1"/>
  <c r="C224" i="1" l="1"/>
  <c r="E181" i="1"/>
  <c r="D166" i="1"/>
  <c r="E166" i="1"/>
  <c r="G166" i="1"/>
  <c r="H166" i="1"/>
  <c r="D45" i="1"/>
  <c r="D11" i="1"/>
  <c r="E11" i="1"/>
  <c r="D3" i="1"/>
  <c r="E3" i="1"/>
  <c r="H3" i="1"/>
  <c r="E149" i="1"/>
  <c r="J257" i="1" l="1"/>
  <c r="J258" i="1"/>
  <c r="J254" i="1"/>
  <c r="J255" i="1"/>
  <c r="J97" i="1"/>
  <c r="J103" i="1"/>
  <c r="J105" i="1"/>
  <c r="J108" i="1"/>
  <c r="J112" i="1"/>
  <c r="J117" i="1"/>
  <c r="J121" i="1"/>
  <c r="J126" i="1"/>
  <c r="J142" i="1"/>
  <c r="J150" i="1"/>
  <c r="J151" i="1"/>
  <c r="J154" i="1"/>
  <c r="J158" i="1"/>
  <c r="J159" i="1" s="1"/>
  <c r="H258" i="1"/>
  <c r="G258" i="1"/>
  <c r="E258" i="1"/>
  <c r="D241" i="1"/>
  <c r="D258" i="1" s="1"/>
  <c r="C241" i="1"/>
  <c r="C258" i="1" s="1"/>
  <c r="H257" i="1"/>
  <c r="G257" i="1"/>
  <c r="E257" i="1"/>
  <c r="C257" i="1"/>
  <c r="C205" i="1"/>
  <c r="D187" i="1"/>
  <c r="H255" i="1"/>
  <c r="E255" i="1"/>
  <c r="H254" i="1"/>
  <c r="G254" i="1"/>
  <c r="E254" i="1"/>
  <c r="D254" i="1"/>
  <c r="C166" i="1"/>
  <c r="C254" i="1" s="1"/>
  <c r="H158" i="1"/>
  <c r="G158" i="1"/>
  <c r="G159" i="1" s="1"/>
  <c r="E158" i="1"/>
  <c r="D158" i="1"/>
  <c r="C158" i="1"/>
  <c r="E156" i="1"/>
  <c r="D156" i="1"/>
  <c r="C156" i="1"/>
  <c r="H154" i="1"/>
  <c r="G154" i="1"/>
  <c r="E154" i="1"/>
  <c r="D154" i="1"/>
  <c r="C154" i="1"/>
  <c r="D153" i="1"/>
  <c r="H151" i="1"/>
  <c r="H150" i="1"/>
  <c r="G150" i="1"/>
  <c r="E150" i="1"/>
  <c r="D150" i="1"/>
  <c r="C150" i="1"/>
  <c r="H149" i="1"/>
  <c r="D149" i="1"/>
  <c r="C149" i="1"/>
  <c r="G142" i="1"/>
  <c r="E142" i="1"/>
  <c r="D142" i="1"/>
  <c r="C142" i="1"/>
  <c r="D132" i="1"/>
  <c r="C132" i="1"/>
  <c r="E126" i="1"/>
  <c r="D126" i="1"/>
  <c r="C126" i="1"/>
  <c r="E121" i="1"/>
  <c r="D121" i="1"/>
  <c r="C121" i="1"/>
  <c r="E117" i="1"/>
  <c r="D117" i="1"/>
  <c r="C117" i="1"/>
  <c r="E112" i="1"/>
  <c r="D112" i="1"/>
  <c r="C112" i="1"/>
  <c r="E108" i="1"/>
  <c r="D108" i="1"/>
  <c r="C108" i="1"/>
  <c r="E105" i="1"/>
  <c r="D105" i="1"/>
  <c r="C105" i="1"/>
  <c r="E103" i="1"/>
  <c r="D103" i="1"/>
  <c r="C103" i="1"/>
  <c r="E97" i="1"/>
  <c r="D97" i="1"/>
  <c r="C97" i="1"/>
  <c r="H87" i="1"/>
  <c r="H91" i="1" s="1"/>
  <c r="G87" i="1"/>
  <c r="G91" i="1" s="1"/>
  <c r="E87" i="1"/>
  <c r="E91" i="1" s="1"/>
  <c r="D87" i="1"/>
  <c r="D91" i="1" s="1"/>
  <c r="C87" i="1"/>
  <c r="C91" i="1" s="1"/>
  <c r="G149" i="1"/>
  <c r="C45" i="1"/>
  <c r="D43" i="1"/>
  <c r="D37" i="1" s="1"/>
  <c r="C43" i="1"/>
  <c r="C37" i="1" s="1"/>
  <c r="H35" i="1"/>
  <c r="G35" i="1"/>
  <c r="E35" i="1"/>
  <c r="D35" i="1"/>
  <c r="C35" i="1"/>
  <c r="C28" i="1"/>
  <c r="C11" i="1" s="1"/>
  <c r="C3" i="1"/>
  <c r="H156" i="1" l="1"/>
  <c r="D155" i="1"/>
  <c r="C159" i="1"/>
  <c r="H11" i="1"/>
  <c r="H83" i="1" s="1"/>
  <c r="D181" i="1"/>
  <c r="D255" i="1" s="1"/>
  <c r="D256" i="1" s="1"/>
  <c r="H259" i="1"/>
  <c r="C181" i="1"/>
  <c r="C255" i="1" s="1"/>
  <c r="C256" i="1" s="1"/>
  <c r="C155" i="1"/>
  <c r="E155" i="1"/>
  <c r="D148" i="1"/>
  <c r="D159" i="1"/>
  <c r="G11" i="1"/>
  <c r="G83" i="1" s="1"/>
  <c r="E259" i="1"/>
  <c r="J256" i="1"/>
  <c r="J148" i="1"/>
  <c r="J259" i="1"/>
  <c r="C83" i="1"/>
  <c r="C92" i="1" s="1"/>
  <c r="C251" i="1" s="1"/>
  <c r="E148" i="1"/>
  <c r="G126" i="1"/>
  <c r="E159" i="1"/>
  <c r="E256" i="1"/>
  <c r="J155" i="1"/>
  <c r="J160" i="1" s="1"/>
  <c r="D83" i="1"/>
  <c r="C148" i="1"/>
  <c r="H155" i="1"/>
  <c r="C259" i="1"/>
  <c r="G259" i="1"/>
  <c r="H256" i="1"/>
  <c r="G155" i="1"/>
  <c r="G160" i="1" s="1"/>
  <c r="E83" i="1"/>
  <c r="J161" i="1" l="1"/>
  <c r="J252" i="1" s="1"/>
  <c r="J263" i="1" s="1"/>
  <c r="H159" i="1"/>
  <c r="H160" i="1" s="1"/>
  <c r="H252" i="1" s="1"/>
  <c r="H263" i="1" s="1"/>
  <c r="E160" i="1"/>
  <c r="E161" i="1" s="1"/>
  <c r="E252" i="1" s="1"/>
  <c r="E263" i="1" s="1"/>
  <c r="C160" i="1"/>
  <c r="C161" i="1" s="1"/>
  <c r="C252" i="1" s="1"/>
  <c r="C263" i="1" s="1"/>
  <c r="C266" i="1" s="1"/>
  <c r="D160" i="1"/>
  <c r="D161" i="1" s="1"/>
  <c r="D252" i="1" s="1"/>
  <c r="D263" i="1" s="1"/>
  <c r="G255" i="1"/>
  <c r="G256" i="1" s="1"/>
  <c r="G148" i="1"/>
  <c r="G161" i="1" s="1"/>
  <c r="G252" i="1" s="1"/>
  <c r="G92" i="1"/>
  <c r="G251" i="1" s="1"/>
  <c r="G262" i="1" s="1"/>
  <c r="J251" i="1"/>
  <c r="E92" i="1"/>
  <c r="E251" i="1" s="1"/>
  <c r="E262" i="1" s="1"/>
  <c r="D92" i="1"/>
  <c r="D251" i="1" s="1"/>
  <c r="H92" i="1"/>
  <c r="H251" i="1" s="1"/>
  <c r="L251" i="1"/>
  <c r="C262" i="1"/>
  <c r="G265" i="1" l="1"/>
  <c r="G268" i="1" s="1"/>
  <c r="D266" i="1"/>
  <c r="D269" i="1"/>
  <c r="J266" i="1"/>
  <c r="J269" i="1" s="1"/>
  <c r="C265" i="1"/>
  <c r="C269" i="1"/>
  <c r="C270" i="1" s="1"/>
  <c r="E265" i="1"/>
  <c r="E268" i="1" s="1"/>
  <c r="E266" i="1"/>
  <c r="E269" i="1"/>
  <c r="H266" i="1"/>
  <c r="H269" i="1" s="1"/>
  <c r="L262" i="1"/>
  <c r="L253" i="1"/>
  <c r="L260" i="1" s="1"/>
  <c r="G263" i="1"/>
  <c r="C253" i="1"/>
  <c r="C260" i="1" s="1"/>
  <c r="H253" i="1"/>
  <c r="H260" i="1" s="1"/>
  <c r="H262" i="1"/>
  <c r="D253" i="1"/>
  <c r="J262" i="1"/>
  <c r="J253" i="1"/>
  <c r="J260" i="1" s="1"/>
  <c r="E253" i="1"/>
  <c r="E260" i="1" s="1"/>
  <c r="G253" i="1"/>
  <c r="G260" i="1" s="1"/>
  <c r="H265" i="1" l="1"/>
  <c r="H268" i="1" s="1"/>
  <c r="H270" i="1" s="1"/>
  <c r="E270" i="1"/>
  <c r="L265" i="1"/>
  <c r="L268" i="1" s="1"/>
  <c r="L270" i="1" s="1"/>
  <c r="J265" i="1"/>
  <c r="J268" i="1" s="1"/>
  <c r="J270" i="1" s="1"/>
  <c r="G266" i="1"/>
  <c r="G269" i="1" s="1"/>
  <c r="G270" i="1" s="1"/>
  <c r="D257" i="1"/>
  <c r="D262" i="1" s="1"/>
  <c r="D265" i="1" l="1"/>
  <c r="D268" i="1" s="1"/>
  <c r="D259" i="1"/>
  <c r="D260" i="1" s="1"/>
  <c r="D270" i="1" l="1"/>
</calcChain>
</file>

<file path=xl/sharedStrings.xml><?xml version="1.0" encoding="utf-8"?>
<sst xmlns="http://schemas.openxmlformats.org/spreadsheetml/2006/main" count="2936" uniqueCount="710">
  <si>
    <t>Bežný rozpočet - príjmy</t>
  </si>
  <si>
    <t>Názov položky</t>
  </si>
  <si>
    <t>skutočnosť 2017</t>
  </si>
  <si>
    <t>skutočnosť 2018</t>
  </si>
  <si>
    <t>daňové príjmy</t>
  </si>
  <si>
    <t>výnos dane pre územnú samosprávu</t>
  </si>
  <si>
    <t>daň z nehnuteľností - pozemky, stavby, byty</t>
  </si>
  <si>
    <t>daň za psa</t>
  </si>
  <si>
    <t>daň za nevýherné hracie prístroje</t>
  </si>
  <si>
    <t>daň z ubytovania</t>
  </si>
  <si>
    <t>daň za užívanie verejného priestranstva</t>
  </si>
  <si>
    <t>MP za zber a odvoz odpadu</t>
  </si>
  <si>
    <t>nedaňové príjmy</t>
  </si>
  <si>
    <t>prenájom pozemkov</t>
  </si>
  <si>
    <t>prenájom hrobového miesta</t>
  </si>
  <si>
    <t>prenájom bytov</t>
  </si>
  <si>
    <t xml:space="preserve">prenájom budov </t>
  </si>
  <si>
    <t xml:space="preserve">prenájom strojov,prístrojov,zariadení </t>
  </si>
  <si>
    <t xml:space="preserve">správne poplatky </t>
  </si>
  <si>
    <t>pokuty, sankcie</t>
  </si>
  <si>
    <t>ostatné príjmy /relácie,kopírovanie,fax,.../</t>
  </si>
  <si>
    <t>príjem za opatrovateľskú službu</t>
  </si>
  <si>
    <t>príjem za služby denného stacionára</t>
  </si>
  <si>
    <t>príjem zo vstupného, kult.činnosti, HDST, reklamné služby</t>
  </si>
  <si>
    <t>príjem za separovaný zber</t>
  </si>
  <si>
    <t>príjem za reklamné služby</t>
  </si>
  <si>
    <t>poplatok za služby v Dome smútku</t>
  </si>
  <si>
    <t>poplatok za stočné</t>
  </si>
  <si>
    <t>poplatky za služby pri užívaní obec.nebyt.priestorov</t>
  </si>
  <si>
    <t>príjem za réžiu v ŠKJ</t>
  </si>
  <si>
    <t>príjem za asistovanú službu Integrovaného obslužného miesta</t>
  </si>
  <si>
    <t>príspevok rodičov na náklady zariadenia ZUŠ</t>
  </si>
  <si>
    <t>príspevok rodičov na náklady zariadenia MŠ</t>
  </si>
  <si>
    <t>príjem zo stravného v ŠKJ</t>
  </si>
  <si>
    <t>príjem z predaja prebytočného majetku</t>
  </si>
  <si>
    <t>úroky</t>
  </si>
  <si>
    <t>úroky z bankových účtov</t>
  </si>
  <si>
    <t>ostatné príjmy</t>
  </si>
  <si>
    <t>príjem z náhrad poistného plnenia</t>
  </si>
  <si>
    <t>príjem z výťažkov lotérií a hazardných hier</t>
  </si>
  <si>
    <t xml:space="preserve">príjem z dobropisov </t>
  </si>
  <si>
    <t>príjem z vratiek</t>
  </si>
  <si>
    <t>príjem z refundácie za skladníka CO z MV SR</t>
  </si>
  <si>
    <t>granty, dotácie, transfery</t>
  </si>
  <si>
    <t>Granty na kultúrne podujatia</t>
  </si>
  <si>
    <t>Grant Nadácia pre deti Slovenska</t>
  </si>
  <si>
    <t>Dotácia MŠVVŠ SR - projekt Komunita III. na mládežnícke aktivity</t>
  </si>
  <si>
    <t>Dotácia MPSVR na asistenta učiteľa MŠ</t>
  </si>
  <si>
    <t>Dotácia ÚV SR na športovú výbavu</t>
  </si>
  <si>
    <t>Dotácia MPSVR na humanitárnu pomoc pri požiari</t>
  </si>
  <si>
    <t>Dotácia UPSVR na aktivačnú činnosť</t>
  </si>
  <si>
    <t xml:space="preserve">Dotácia MŽP - zníženie energetickej náročnosti budovy OÚ </t>
  </si>
  <si>
    <t>Dotácia MPRV - rekonštrukcia denného stacionára</t>
  </si>
  <si>
    <t>Dotácia MVSR na údržbu vojnových hrobov</t>
  </si>
  <si>
    <t>Transfer od obcí na SpU opatr.služby</t>
  </si>
  <si>
    <t>Transfer od ZŠ na SpU školstva</t>
  </si>
  <si>
    <t>Transfer od obcí na SpU stavebný</t>
  </si>
  <si>
    <t>Dotácia Lesy na opravu mosta a miestnej komunikácie</t>
  </si>
  <si>
    <t>Dotácia DPO SR na Dobr.hasič.zbor obce</t>
  </si>
  <si>
    <t>Dotácia z Fondu na podporu umenia - kultúrne projekty</t>
  </si>
  <si>
    <t>Dotácia MV SR na matričnú čin., register obyv., adries</t>
  </si>
  <si>
    <t>Dotácia MDVRR,MŽP na stavebný úrad</t>
  </si>
  <si>
    <t>Dotácia MPSVR na denný stacionár</t>
  </si>
  <si>
    <t>Transfer OkU pre ZŠ - právny subjekt</t>
  </si>
  <si>
    <t>BEŽNÉ PRÍJMY obce:</t>
  </si>
  <si>
    <t>RO</t>
  </si>
  <si>
    <t>Vlastný príjem ZŠ, preplatky</t>
  </si>
  <si>
    <t>Vlastný príjem ŠKD</t>
  </si>
  <si>
    <t>Projekt MŠVVŠ SR - Zvýšenie kvality vzdelávania na ZŠ</t>
  </si>
  <si>
    <t>Bežný príjem RO - Základnej školy Heľpa spolu:</t>
  </si>
  <si>
    <t>Vlastný príjem ZUŠ Heľpa</t>
  </si>
  <si>
    <t>Bežný príjem rozpočtových organizácií spolu:</t>
  </si>
  <si>
    <t>BEŽNÉ PRÍJMY CELKOM:</t>
  </si>
  <si>
    <t>Bežný rozpočet - výdavky</t>
  </si>
  <si>
    <t>01 Všeobecné verejné služby</t>
  </si>
  <si>
    <t>0111</t>
  </si>
  <si>
    <t>Výkonné a zákonodarné orgány (OÚ, OZ, komisie)</t>
  </si>
  <si>
    <t>0112</t>
  </si>
  <si>
    <t>Fin.a rozpoč.záležitosti (HKON,audit,popl,fin.správa, poistné)</t>
  </si>
  <si>
    <t>0131</t>
  </si>
  <si>
    <t>Propagácia, reklama, inzercia (propagač. Predmety, bankovka)</t>
  </si>
  <si>
    <t>0133</t>
  </si>
  <si>
    <t>Všeobec.služby (Matrika,REGOB,evidencie,služby, správa)</t>
  </si>
  <si>
    <t>0160</t>
  </si>
  <si>
    <t>02 Obrana</t>
  </si>
  <si>
    <t>0220</t>
  </si>
  <si>
    <t>03 Verejný poriadok a bezpečnosť</t>
  </si>
  <si>
    <t>0320</t>
  </si>
  <si>
    <t>Ochrana pred požiarmi (Prevádzka dobr.hasič.zboru)</t>
  </si>
  <si>
    <t>0360</t>
  </si>
  <si>
    <t>Bezpečnosť (Kamer.systém, bezpeč.projekt, GDPR)</t>
  </si>
  <si>
    <t>04 Ekonomická oblasť</t>
  </si>
  <si>
    <t>0412</t>
  </si>
  <si>
    <t>Prac.oblasť (Správa prac.záležitostí, BOZP, spolupr.VS)</t>
  </si>
  <si>
    <t>0443</t>
  </si>
  <si>
    <t>Výstavba (Spoločný stavebný úrad, ver.obstarávanie)</t>
  </si>
  <si>
    <t>0451</t>
  </si>
  <si>
    <t>Cestná doprava (Údržba miest.komunikácií,chodníkov,parkovísk)</t>
  </si>
  <si>
    <t>05 Ochrana životného prostredia</t>
  </si>
  <si>
    <t>0510</t>
  </si>
  <si>
    <t>Naklad.s odpadmi (zber,uloženie KO, prevádzka zber.dvora)</t>
  </si>
  <si>
    <t>0520</t>
  </si>
  <si>
    <t>Naklad.s odp.vodami (Prevádzka kanalizácie a ČOV)</t>
  </si>
  <si>
    <t>0540</t>
  </si>
  <si>
    <t>Ochrana prírody a krajiny a výrub drevín</t>
  </si>
  <si>
    <t>0560</t>
  </si>
  <si>
    <t>Ochrana živ.prostr. (Starostlivosť o ŽP, ver.zeleň, potoky, protipovodň.opatrenia,veterinárne služ.)</t>
  </si>
  <si>
    <t>06 Bývanie a občianska vybavenosť</t>
  </si>
  <si>
    <t>0620</t>
  </si>
  <si>
    <t>Rozvoj obcí (Správa verejnoprospeš.zariadení)</t>
  </si>
  <si>
    <t>0640</t>
  </si>
  <si>
    <t>Verejné osvetlenie</t>
  </si>
  <si>
    <t>0660</t>
  </si>
  <si>
    <t>Bývanie a obč.vybavenosť (Byty, zdr.str,klub,mater.centrum)</t>
  </si>
  <si>
    <t>07 Zdravotníctvo</t>
  </si>
  <si>
    <t>0711</t>
  </si>
  <si>
    <t>Lieky</t>
  </si>
  <si>
    <t>0712</t>
  </si>
  <si>
    <t>Zdravotnícky materiál</t>
  </si>
  <si>
    <t>0721</t>
  </si>
  <si>
    <t>Zdravotná starostlivosť (prevent.prehliadky, lek.posúdenie)</t>
  </si>
  <si>
    <t>0740</t>
  </si>
  <si>
    <t>08 Rekreácia, kultúra a náboženstvo</t>
  </si>
  <si>
    <t>0810</t>
  </si>
  <si>
    <t>Rekreač.,šport.služby (prevádzka šport.areálu, ŠK, NDS projekt)</t>
  </si>
  <si>
    <t>0820</t>
  </si>
  <si>
    <t>Správa kult.služieb a zariad. (KUL,MĽK,AMF,podujatia,projekty FPU, múzeum)</t>
  </si>
  <si>
    <t>0830</t>
  </si>
  <si>
    <t>Vysielacie a vydavateľské služby (Rozhlas,noviny)</t>
  </si>
  <si>
    <t>0840</t>
  </si>
  <si>
    <t>Nábož.a spoločen.služby (Domu smútku,cintorín, obrady)</t>
  </si>
  <si>
    <t>0860</t>
  </si>
  <si>
    <t>Spoločenské, kultúrne, športové aktivity obce, projekty mládeže</t>
  </si>
  <si>
    <t>09 Vzdelávanie</t>
  </si>
  <si>
    <t>09111</t>
  </si>
  <si>
    <t>Predprimárne vzdelávanie (Prevádzka MŠ)</t>
  </si>
  <si>
    <t>09121</t>
  </si>
  <si>
    <t>Primárne vzdelávanie (údržba objektov ZŠ)</t>
  </si>
  <si>
    <t>09211</t>
  </si>
  <si>
    <t>Nižšie sekundárne vzdelávanie (údržba objektov ZŠ)</t>
  </si>
  <si>
    <t>0950</t>
  </si>
  <si>
    <t>Záujmové vzdelávanie (semináre,kurzy,školenia)</t>
  </si>
  <si>
    <t>09601</t>
  </si>
  <si>
    <t>Vedľ.služby v rámci predprimár. vzdel. (ŠKJ pre MŠ)</t>
  </si>
  <si>
    <t>09602</t>
  </si>
  <si>
    <t>Vedľ.služby v rámci primár. vzdel. (ŠKJ pre 1.st.ZŠ)</t>
  </si>
  <si>
    <t>09603</t>
  </si>
  <si>
    <t>09608</t>
  </si>
  <si>
    <t>0980</t>
  </si>
  <si>
    <t>10 Sociálne zabezpečenie</t>
  </si>
  <si>
    <t>1020</t>
  </si>
  <si>
    <t>1040</t>
  </si>
  <si>
    <t>Rodina a deti (Príspevky na deti v HN, osob.príjemca PND)</t>
  </si>
  <si>
    <t>1050</t>
  </si>
  <si>
    <t>Nezamestnanosť (Aktivačná činnosť a programy pre uchádz.o zamestnanie)</t>
  </si>
  <si>
    <t>1070</t>
  </si>
  <si>
    <t>Sociálna pomoc občanom v soc. a hm. núdzi</t>
  </si>
  <si>
    <t>1090</t>
  </si>
  <si>
    <t>Sociálne zabezpečenie pri živel.pohromách, núdz.situáciách</t>
  </si>
  <si>
    <t>BEŽNÉ VÝDAVKY obce:</t>
  </si>
  <si>
    <t>09</t>
  </si>
  <si>
    <t>Transfer z OkU pre Základnú školu</t>
  </si>
  <si>
    <t>Transfer vlastného príjmu Základnej školy</t>
  </si>
  <si>
    <t>Transfer z projektu MŠVVŠ SR</t>
  </si>
  <si>
    <t>Transfer na rozvojový projekt ZŠ  - spolufinancovanie obce</t>
  </si>
  <si>
    <t>Transfer z rozpočtu obce pre Školský klub detí</t>
  </si>
  <si>
    <t>Transfer vlastného príjmu Školského klubu detí</t>
  </si>
  <si>
    <t>Bežné výdavky Základnej školy spolu:</t>
  </si>
  <si>
    <t>Transfer obce pre Základnú umeleckú školu</t>
  </si>
  <si>
    <t>Transfer vlastného príjmu ZUŠ</t>
  </si>
  <si>
    <t>Bežné výdavky Základnej umeleckej školy:</t>
  </si>
  <si>
    <t>Bežné výdavky rozpočtových organizácií spolu:</t>
  </si>
  <si>
    <t>BEŽNÉ VÝDAVKY SPOLU:</t>
  </si>
  <si>
    <t>Kapitálový rozpočet</t>
  </si>
  <si>
    <t>Kapitálové príjmy</t>
  </si>
  <si>
    <t>predaj pozemkov</t>
  </si>
  <si>
    <t>KT MV SR Rekonštrukcia hasičskej zbrojnice</t>
  </si>
  <si>
    <t>KT M SR Náučný chodník</t>
  </si>
  <si>
    <t>KT MZP Zníž.energ.náročnosti budovy OcÚ</t>
  </si>
  <si>
    <t xml:space="preserve">KT EF Dobudovanie kanalizácie </t>
  </si>
  <si>
    <t>Kapitálové výdavky</t>
  </si>
  <si>
    <t>Zníž.energet.náročnosti OcÚ</t>
  </si>
  <si>
    <t>Stavebné úpravy OÚ (kabeláž, interiérové úpravy)</t>
  </si>
  <si>
    <t>Rekonštrukcia hasičskej zbrojnice + strechy</t>
  </si>
  <si>
    <t>Zmena územno-plánovacej dokumentácie</t>
  </si>
  <si>
    <t>Oporný múr ul.Farská, pluh na zimnú údržbu, chodník ul. Hlavná</t>
  </si>
  <si>
    <t>Maringotka na zberný dvor</t>
  </si>
  <si>
    <t>Sadové úpravy ver.priestranstiev</t>
  </si>
  <si>
    <t>0610</t>
  </si>
  <si>
    <t>Nákup pozemkov,budov, objektov na ver. účely</t>
  </si>
  <si>
    <t>Náučný chodník chotárom obce</t>
  </si>
  <si>
    <t>Betón.plocha klziska, det.ihrisko, strecha štadióna</t>
  </si>
  <si>
    <t>KT pre ŠK Heľpa - rekonštrukcia ihriska</t>
  </si>
  <si>
    <t>Horehronskomuránska cyklotrasa</t>
  </si>
  <si>
    <t>Zvýšenie energ.efektív.budovy MŠ</t>
  </si>
  <si>
    <t>Finančné operácie</t>
  </si>
  <si>
    <t>príjmové</t>
  </si>
  <si>
    <t>návratné zdroje financovania</t>
  </si>
  <si>
    <t>výdavkové</t>
  </si>
  <si>
    <t>odvod správnych poplatkov za IOM</t>
  </si>
  <si>
    <t>splácanie úveru ŠFRB</t>
  </si>
  <si>
    <t>REKAPITULÁCIA ROZPOČTU</t>
  </si>
  <si>
    <t>príjmy bežného rozpočtu</t>
  </si>
  <si>
    <t>výdavky bežného rozpočtu</t>
  </si>
  <si>
    <t>stav bežného rozpočtu</t>
  </si>
  <si>
    <t>príjmy kapitálového rozpočtu</t>
  </si>
  <si>
    <t>výdavky kapitálového rozpočtu</t>
  </si>
  <si>
    <t>stav kapitálového rozpočtu</t>
  </si>
  <si>
    <t>finančné operácie príjmové</t>
  </si>
  <si>
    <t>finančné operácie výdavkové</t>
  </si>
  <si>
    <t>rozdiel finančných operácií</t>
  </si>
  <si>
    <t>CELKOVÝ  STAV  ROZPOČTU:</t>
  </si>
  <si>
    <t>Príjmy celkom:</t>
  </si>
  <si>
    <t>Výdavky celkom:</t>
  </si>
  <si>
    <t>plnenie rozpočtu</t>
  </si>
  <si>
    <t>čerpanie rozpočtu</t>
  </si>
  <si>
    <t>Vypracovala: Mgr. A. Tkáčiková</t>
  </si>
  <si>
    <t>Predkladá: Peter Hyriak - starosta obce</t>
  </si>
  <si>
    <t>skutočnosť 2019</t>
  </si>
  <si>
    <t>Rekonštrukcia budovy pošty, hasič.zbrojnice/strecha</t>
  </si>
  <si>
    <t>príjmy z refundácií, vyúčtovanie služieb prenajímaných objektov</t>
  </si>
  <si>
    <t>Dotácia EF SR na kompostovisko</t>
  </si>
  <si>
    <t>Dotácia ŠÚ SR na sčítanie obyvateľov, domov, bytov</t>
  </si>
  <si>
    <t>Rekonštrukcia strechy OÚ / zachytávače snehu</t>
  </si>
  <si>
    <t>Rekonštrukcia Domu smútku -schodisko / strecha</t>
  </si>
  <si>
    <t>ZŠ-knižnica,čitáreň / Vým.plyn.kotla v tel. / elektroinštalácia, bleskozvod</t>
  </si>
  <si>
    <t>návratná finančná výpomoc MFSR</t>
  </si>
  <si>
    <t>Verejne prístupná elektrická nabíjacia stanica pre elektromobily</t>
  </si>
  <si>
    <t>Dotácia UPSVR na deti v hm.núdzi (strava,šk.potreby)</t>
  </si>
  <si>
    <t>Dotácia UPSVR na osobitného príjemcu a rod.prídavkov</t>
  </si>
  <si>
    <t>Vedľ.služby v rámci niž.sekund. vzdel. (ŠKJ pre 2.st.ZŠ,dospelí)</t>
  </si>
  <si>
    <t>Vedľ.služby nedefinované (SpÚ školstva + Polomka)</t>
  </si>
  <si>
    <t>Všeob.verejné služby (Voľby, sčítanie obyvateľov,domov,bytov)</t>
  </si>
  <si>
    <t>Dotácia BBSK na DFF HDST, Kolovrátok</t>
  </si>
  <si>
    <t>Rekonštrukcia strechy amfiteáter</t>
  </si>
  <si>
    <t>Rekonštrukcia elektroinštalácie obecných objektov</t>
  </si>
  <si>
    <t>Dobudovanie kanalizačnej siete</t>
  </si>
  <si>
    <t>KT Rozšírenie kapacity MŠ</t>
  </si>
  <si>
    <t>KT MIRRI Rekonštrukcia denného stacionára</t>
  </si>
  <si>
    <t>KT MŽP Zvýšenie energ.efektívnosti budovy MŠ</t>
  </si>
  <si>
    <t>Dobudovanie chodníka na ul.Hlavná + st.dozor</t>
  </si>
  <si>
    <t xml:space="preserve">Predchádzanie vzniku odpadu kompostovaním </t>
  </si>
  <si>
    <t>Projektová dokumentácia pripavovaných inv.akcií</t>
  </si>
  <si>
    <t>KT Horehronsko muránska cyklotrasa</t>
  </si>
  <si>
    <t>skutočnosť 2020</t>
  </si>
  <si>
    <t>Dotácia MVSR na opatrenia Covid19</t>
  </si>
  <si>
    <t>Transfer OkU pre ZUŠ - právny subjekt</t>
  </si>
  <si>
    <t xml:space="preserve">KT MŽP Predchádzanie vzniku odpadu kompostovaním </t>
  </si>
  <si>
    <t>Nákup motorových vozidiel, komunál.techniky, príves.vozík</t>
  </si>
  <si>
    <t>Bleskozvod s uzemnením v telocvični ZŠ</t>
  </si>
  <si>
    <t>Stavebné úpravy telocvične - elektroinštalácia</t>
  </si>
  <si>
    <t>ŠKJ - vzduchotechnika, šporák, umývačka / el.panvica, var.kotol</t>
  </si>
  <si>
    <t>Ochrana, podpora a rozvoj zdravia (prísp. SČK, MOM, celoplošné testovanie)</t>
  </si>
  <si>
    <t>Správa a riadenie vzdelávania, Virtuálna univerzita</t>
  </si>
  <si>
    <t>grant - dobrovoľná zbierka obce na rek.strechy amfiteátra</t>
  </si>
  <si>
    <t>KT MH SR verej.prístup.elektr.nabíjacia stanica pre elektromobily</t>
  </si>
  <si>
    <t>ČOV kompenzátor, čerpadlá, frekvenčný menič</t>
  </si>
  <si>
    <t>Dobud.kanal.I.etapa L09, ČS3 -Prečerpávacia stanica, NN na ul. Furmanská</t>
  </si>
  <si>
    <t>Stav.úpravy prístrešku studničky na ul. Tichá</t>
  </si>
  <si>
    <t>Rekonštrukcia objektu-spoločenská miestnosť</t>
  </si>
  <si>
    <t>Vybudovanie det.ihriska</t>
  </si>
  <si>
    <t>Rozšírenie kapacity MŠ</t>
  </si>
  <si>
    <t>Denný stacionár - rekonštrukcia</t>
  </si>
  <si>
    <t>príjem za školné Virtuálna univerzita tretieho veku</t>
  </si>
  <si>
    <t>Dotácia MVSR na terénneho asistenta Covid</t>
  </si>
  <si>
    <t>Projekt UPSVR podpora zamestnanosti ZUŠ za min.r.</t>
  </si>
  <si>
    <t>Bežný príjem RO - Základnej umeleckej školy Heľpa spolu:</t>
  </si>
  <si>
    <t>Doplnenie napojenia predizolovaného potrubia v kotolni st.škola</t>
  </si>
  <si>
    <t>splácanie istiny bankového úveru, NFV</t>
  </si>
  <si>
    <t>Civilná ochrana (Skladník CO, evidencie, TAC)</t>
  </si>
  <si>
    <t>Staroba (Opatrovateľská služba, SpÚ OSL, projekt,denný stacionár,DC)</t>
  </si>
  <si>
    <t>FNK</t>
  </si>
  <si>
    <t>Názov investície</t>
  </si>
  <si>
    <t>Suma v rozpočte</t>
  </si>
  <si>
    <t>Peň.fond 46</t>
  </si>
  <si>
    <t>Úver 52</t>
  </si>
  <si>
    <t>kontrola</t>
  </si>
  <si>
    <t>Rozpis rozpočtovej položky KR 0610 - projektová dokumentácia</t>
  </si>
  <si>
    <t>Názov PD</t>
  </si>
  <si>
    <t>Suma v EUR</t>
  </si>
  <si>
    <t>Poznámka</t>
  </si>
  <si>
    <t>PD športový areál</t>
  </si>
  <si>
    <t>Projektová dokumentácia pre pripravované inv.akcie</t>
  </si>
  <si>
    <t xml:space="preserve">PD Burkovaná, Hlavná </t>
  </si>
  <si>
    <t>PD rekonštrukcia strechy na amfiteátri</t>
  </si>
  <si>
    <t xml:space="preserve">Stavebné úpravy športového areálu </t>
  </si>
  <si>
    <t>Rezerva na prípadnú dokumentáciu</t>
  </si>
  <si>
    <t>PPD z peňažného fondu:</t>
  </si>
  <si>
    <t xml:space="preserve">Rekonštrukcia objektu č.589 (spoločenská miestnosť) </t>
  </si>
  <si>
    <t>Spolu kapitálové výdavky:</t>
  </si>
  <si>
    <t>Spolu bežné výdavky:</t>
  </si>
  <si>
    <t>PD rekonštr.el.zariadení pre revízie</t>
  </si>
  <si>
    <t>Vytýčenie stavieb</t>
  </si>
  <si>
    <t>Rezer. fond 46</t>
  </si>
  <si>
    <t xml:space="preserve">Dotácia SFZ projekt MŠ </t>
  </si>
  <si>
    <t>Dotácia OkU na výchovu,vzdelávanie v MŠ, rozvoj.projekt</t>
  </si>
  <si>
    <t>EÚ a ŠR, EF</t>
  </si>
  <si>
    <t>schválený 2022</t>
  </si>
  <si>
    <t>upravený  2022</t>
  </si>
  <si>
    <t>skutočnosť 2021</t>
  </si>
  <si>
    <t>2023 návrh</t>
  </si>
  <si>
    <t>2024 návrh</t>
  </si>
  <si>
    <t>2025 návrh</t>
  </si>
  <si>
    <t>KT rekonštrukcia objektu č. 589</t>
  </si>
  <si>
    <t>Stavebné úpravy športového areálu</t>
  </si>
  <si>
    <t>Dotácia MVSR humanit.pomoc Ukrajina</t>
  </si>
  <si>
    <t>predaj kapitálových aktív - sneh.pluh</t>
  </si>
  <si>
    <t>zapojenie zost. Dobrovoľ,zbierky na rekonštrukciu amfiteátra</t>
  </si>
  <si>
    <t>finančné zábezpeky ver.obstarávania, stavby</t>
  </si>
  <si>
    <t>iné príjm.operácie -kurzové rozdiely VU3V</t>
  </si>
  <si>
    <t>iné fin.operácie-kurzové rozdiely VU3V</t>
  </si>
  <si>
    <t>finančné operácie - vrátenie zábezpeky</t>
  </si>
  <si>
    <t>rozdiel školy príjmy</t>
  </si>
  <si>
    <t>rozdiel školy výdavky</t>
  </si>
  <si>
    <t>Dotácia UPSVR na Podporu zamestnanosti ( MŠ)</t>
  </si>
  <si>
    <t>Rozpočet obce Heľpa na rok 2023 bol schválený OZ uz.č.</t>
  </si>
  <si>
    <t xml:space="preserve">Rozpočet obce Heľpa na roky 2024-2025 OZ  vzalo na vedomie uz.č.  dňa </t>
  </si>
  <si>
    <t xml:space="preserve">Viacročný rozpočet obce Heľpa na roky 2023 - 2025 bol vyvesený na úradnej tabuli obce dňa </t>
  </si>
  <si>
    <t>Zdroje financovania investičných akcií obce v roku 2023</t>
  </si>
  <si>
    <t>Maj. zdroje obce 43/72c</t>
  </si>
  <si>
    <t>PD admin.budova (prípojky)</t>
  </si>
  <si>
    <t>PD chodník cez Krivuľu ul. Hlavná autobus.zastávka</t>
  </si>
  <si>
    <t>Dobudovanie kanalizácie I.etapa - LO1-8</t>
  </si>
  <si>
    <t>PD rozšírenie ČOV - zmena technológie (vpust)/kanalizácia</t>
  </si>
  <si>
    <t>Nákup komunálnej techniky</t>
  </si>
  <si>
    <t>Cyklotrasa</t>
  </si>
  <si>
    <t>PD réžia na amfiteátri</t>
  </si>
  <si>
    <t>PD - Zvýšenie kapacity MŠ, elektroinštalácia</t>
  </si>
  <si>
    <t>Zvýšenie kapacity MŠ, interiérové vybavenie</t>
  </si>
  <si>
    <t>Dotácia MPSVR na soc.služby mim.odmeny, jednorázové odmeny</t>
  </si>
  <si>
    <t>Dotácia IA MPSVR SR na opatrovateľskú službu I., II.</t>
  </si>
  <si>
    <t>Dotácia MVSR na MOM celoplošné testovanie, testovanie firiem, ŠKJ</t>
  </si>
  <si>
    <t>Transfer na projekt Podpora zamestnanosti ZUŠ, testovanie</t>
  </si>
  <si>
    <t>Celkom:</t>
  </si>
  <si>
    <t>Návrh viacročného rozpočtu obce Heľpa na roky 2023-2025 bol vyvesený na úradnej tabuli na pripomienkovanie dňa 9.12.2022</t>
  </si>
  <si>
    <t>Dotácia MV SR - voľby (Referendum, komunálne, NRSR, prezident,EP)</t>
  </si>
  <si>
    <t>zapojenie zost. fondu prev.údržby,opráv bytov</t>
  </si>
  <si>
    <t>zapojenie nevyčerp.prostr.mr. ŠKJ stravné + dotácia</t>
  </si>
  <si>
    <t>zapojenie nevyčerp.prostr.mr. OSL projekt</t>
  </si>
  <si>
    <t>zapojenie nevyčerp.prostr.mr. MVSR Referendum</t>
  </si>
  <si>
    <t>zapojenie nevyčerp.prostr.mr. FPU projekt</t>
  </si>
  <si>
    <t>zapojenie fondu na rozvoj obce - investičné akcie</t>
  </si>
  <si>
    <t>zapojenie rezervného fondu na údržbu objektov</t>
  </si>
  <si>
    <t>zapojenie fondu na údržbu ČOV</t>
  </si>
  <si>
    <t>fin.operácie - správne poplatky ŠR za IOM</t>
  </si>
  <si>
    <t>príjmy z refundácie - iné náhrady, cent.vyrovnanie</t>
  </si>
  <si>
    <t>zapojenie nevyčerp.prostr.mr. MPSVR soc.služby DST energie</t>
  </si>
  <si>
    <t>Rezačka asfaltu na opravu miestnych komunikácií</t>
  </si>
  <si>
    <t>Pripomienky finančnej komisie k návrhu predloženého viacročného rozpočtu na roky 2023-2025 boli zapracované dňa 29.11. a 16.12.2022</t>
  </si>
  <si>
    <t>Eko rozpočet za obec rok 2023</t>
  </si>
  <si>
    <t>Hl.kategória</t>
  </si>
  <si>
    <t>obec</t>
  </si>
  <si>
    <t>ZŠ</t>
  </si>
  <si>
    <t>ZUŠ</t>
  </si>
  <si>
    <t>Celkom v Eur</t>
  </si>
  <si>
    <t>Spolu príjmy:</t>
  </si>
  <si>
    <t>Spolu výdavky:</t>
  </si>
  <si>
    <t>ZŠ  - zapojenie zostatkov prostriedkov nezúčt.projektu ZKV</t>
  </si>
  <si>
    <t>Pripomienky OZ k návrhu predloženého viacročného rozpočtu na roky 2023 - 2025 boli zapracované dňa 28.12.2022</t>
  </si>
  <si>
    <t>Príjmy 2023</t>
  </si>
  <si>
    <t>Výdavky 2023</t>
  </si>
  <si>
    <t>zdroje</t>
  </si>
  <si>
    <t>zš</t>
  </si>
  <si>
    <t>zuš</t>
  </si>
  <si>
    <t>spolu</t>
  </si>
  <si>
    <t>rozdiel</t>
  </si>
  <si>
    <t>11UA</t>
  </si>
  <si>
    <t>1P01</t>
  </si>
  <si>
    <t>1P02</t>
  </si>
  <si>
    <t>Príjmy 2024</t>
  </si>
  <si>
    <t>Výdavky 2024</t>
  </si>
  <si>
    <t>Príjmy 2025</t>
  </si>
  <si>
    <t>Výdavky 2025</t>
  </si>
  <si>
    <t>Eko rozpočet za obec rok 2024</t>
  </si>
  <si>
    <t>Eko rozpočet za obec rok 2025</t>
  </si>
  <si>
    <t>Heľpa dňa 30.12.2022</t>
  </si>
  <si>
    <t>Rozpočet za obec podľa kategórií rok 2023</t>
  </si>
  <si>
    <t>Kategória</t>
  </si>
  <si>
    <t>11 - Dane z príjmov</t>
  </si>
  <si>
    <t>12 - Dane z majetku</t>
  </si>
  <si>
    <t>13 - Dane miestne za služby</t>
  </si>
  <si>
    <t>Príjmy</t>
  </si>
  <si>
    <t>21 - Príjmy z vlastníctva majetku</t>
  </si>
  <si>
    <t>22 - Administratívne poplatky</t>
  </si>
  <si>
    <t>Spolu 200</t>
  </si>
  <si>
    <t>Spolu 100</t>
  </si>
  <si>
    <t>31 - Bežné granty a transfery</t>
  </si>
  <si>
    <t>Spolu 300</t>
  </si>
  <si>
    <t>23 - Kapitálové príjmy</t>
  </si>
  <si>
    <t>32 - Kapitálové granty a transfery</t>
  </si>
  <si>
    <t>45 - Ostatné finančné operácie</t>
  </si>
  <si>
    <t>Spolu 400</t>
  </si>
  <si>
    <t>Spolu 500</t>
  </si>
  <si>
    <t>Výdavky</t>
  </si>
  <si>
    <t>61 - mzdy,platy,odmeny</t>
  </si>
  <si>
    <t>62 - poistné do poisťovní</t>
  </si>
  <si>
    <t>63 - Tovary a služby</t>
  </si>
  <si>
    <t>64 - Bežné transfery</t>
  </si>
  <si>
    <t>Spolu 600</t>
  </si>
  <si>
    <t>71 - obstarávanie kapitálových aktív</t>
  </si>
  <si>
    <t>Spolu 700</t>
  </si>
  <si>
    <t>81 - úvery, návratné fin. výpomoci</t>
  </si>
  <si>
    <t>82 - splácanie istín</t>
  </si>
  <si>
    <t>65 - Splácanie úrokov</t>
  </si>
  <si>
    <t>24 - Úroky z vkladov</t>
  </si>
  <si>
    <t>29 - Iné nedaňové príjmy</t>
  </si>
  <si>
    <t>51 - Úvery, návratné fin.výpomoci</t>
  </si>
  <si>
    <t>Spolu 800</t>
  </si>
  <si>
    <t>Heľpa dňa 31.12.2022</t>
  </si>
  <si>
    <t>P-V</t>
  </si>
  <si>
    <t>uskutočnené úpravy v rozpočtových položkách:</t>
  </si>
  <si>
    <t>(zvýšenie/zníženie predchádzajúcej výšky rozpočtu  o uvedenú sumu)</t>
  </si>
  <si>
    <t>PRÍJMY</t>
  </si>
  <si>
    <t xml:space="preserve">Položka </t>
  </si>
  <si>
    <t>Názov</t>
  </si>
  <si>
    <t>Suma v Eur</t>
  </si>
  <si>
    <t>Bežný rozpočet</t>
  </si>
  <si>
    <t>Obec bez rozp.organizácie:</t>
  </si>
  <si>
    <t xml:space="preserve">Vlastný príjem ZUŠ </t>
  </si>
  <si>
    <t xml:space="preserve">Vlastný príjem ZŠ </t>
  </si>
  <si>
    <t>Obec spolu:</t>
  </si>
  <si>
    <t>VÝDAVKY</t>
  </si>
  <si>
    <t>Názov prvku/projektu</t>
  </si>
  <si>
    <t>Suma</t>
  </si>
  <si>
    <t xml:space="preserve">presun BT pre ZUŠ </t>
  </si>
  <si>
    <t xml:space="preserve">presun BT na Základnú školu </t>
  </si>
  <si>
    <t>+ chýba, - minúť</t>
  </si>
  <si>
    <t>Vypracovala: Mgr. A.Tkáčiková</t>
  </si>
  <si>
    <t>Vlastný príjem ZŠ - projekt</t>
  </si>
  <si>
    <t>presun BT na Základnú školu</t>
  </si>
  <si>
    <t>Obec Heľpa, Farská 588/2, 976 68 Heľpa</t>
  </si>
  <si>
    <t>Operatívna evidencia</t>
  </si>
  <si>
    <t>Por.č.</t>
  </si>
  <si>
    <t>Uz.č.</t>
  </si>
  <si>
    <t>RO č.</t>
  </si>
  <si>
    <t>zo dňa</t>
  </si>
  <si>
    <t>Rozpočtové opatrenie</t>
  </si>
  <si>
    <t>Zmena v príjmoch      v Eur</t>
  </si>
  <si>
    <t>Zmena vo výdavkoch v Eur</t>
  </si>
  <si>
    <t>1.</t>
  </si>
  <si>
    <t>RO ST č.1</t>
  </si>
  <si>
    <t>2.</t>
  </si>
  <si>
    <t>RO OZ č.1</t>
  </si>
  <si>
    <t xml:space="preserve">Poznámka: </t>
  </si>
  <si>
    <t>§ 14 ods. 2  písm.:</t>
  </si>
  <si>
    <t>a) presun rozpočtovaných prostriedkov v rámci schváleného rozpočtu, pričom sa nemenia celkové príjmy a celkové výdavky,</t>
  </si>
  <si>
    <t>b) povolené prekročenie a viazanie príjmov,</t>
  </si>
  <si>
    <t>c) povolené prekročenie a viazanie výdavkov,</t>
  </si>
  <si>
    <t>d) povolené prekročenie a viazanie finančných operácií.</t>
  </si>
  <si>
    <t>Rozpočtové opatrenie OZ č.1/2023</t>
  </si>
  <si>
    <t>Schválil: Miroslav Lilko - starosta obce</t>
  </si>
  <si>
    <t>Vyprcovala: Mgr. A. Tkáčiková</t>
  </si>
  <si>
    <t>Heľpa 29.12.2022</t>
  </si>
  <si>
    <t>obj.</t>
  </si>
  <si>
    <t>schválený</t>
  </si>
  <si>
    <t>Predkladá: Miroslav Lilko  - starosta obce</t>
  </si>
  <si>
    <t>Rozpočet obce Heľpa na rok 2023 bol schválený OZ uz.č. 69/2022 dňa 29.12.2022.</t>
  </si>
  <si>
    <t>Príjmy obce celkom:</t>
  </si>
  <si>
    <t>Výdavky obce celkom:</t>
  </si>
  <si>
    <t>plnenie rozpočtu OU</t>
  </si>
  <si>
    <t>čerpanie rozpočtu OU</t>
  </si>
  <si>
    <t>RO -  školy príjmy</t>
  </si>
  <si>
    <t>RO - školy výdavky</t>
  </si>
  <si>
    <t>Dotácia UPSVR na Podporu zamestnanosti znevýh.uchádzačov</t>
  </si>
  <si>
    <t>Dotácia EF SR na environmen.politiku</t>
  </si>
  <si>
    <t>zapojenie zost. fondu prev.údržby,opráv bytov v NBD</t>
  </si>
  <si>
    <t>zapojenie nevyčerp.prostr.mr. ŠKJ stravné + dotácia na strav.návyky</t>
  </si>
  <si>
    <t>Prenájom pozemkov</t>
  </si>
  <si>
    <t>Prenájom bytov</t>
  </si>
  <si>
    <t>BT MVSR Referendum</t>
  </si>
  <si>
    <t>BT OkU BB starostl.o voj.hroby</t>
  </si>
  <si>
    <t>BT MDVRRSR - stavebný úrad</t>
  </si>
  <si>
    <t>BT MVSR matrika,regob, regadr</t>
  </si>
  <si>
    <t>BT UPSVR škol.potreby</t>
  </si>
  <si>
    <t>BT RÚŠS - ZŠ normatív</t>
  </si>
  <si>
    <t>BT RÚŠS - ZŠ nenormat. Vzdel.poukazy</t>
  </si>
  <si>
    <t>BT RÚŠS - ZŠ nenormat.asistent učiteľa</t>
  </si>
  <si>
    <t>BT RÚŠS - ZŠ nenormat.lyž.kurz</t>
  </si>
  <si>
    <t>BT RÚŠS - ZŠ nenormat.soc.znevýh.prostr.</t>
  </si>
  <si>
    <t>Dot.UPSVR stabiliz.príspevok na soc.služby</t>
  </si>
  <si>
    <t>zapoj.prostr.ŠKJ stravné + dot.HN strava</t>
  </si>
  <si>
    <t xml:space="preserve">Referendum </t>
  </si>
  <si>
    <t>Škol.potreby HN</t>
  </si>
  <si>
    <t>BT RÚŠS - MŠ vých. a vzdelanie</t>
  </si>
  <si>
    <t>MŠ - učeb.pomôcky z dot., materiál, odmeny</t>
  </si>
  <si>
    <t>CIN - údržba voj.hrobov</t>
  </si>
  <si>
    <t>KUL - materiál, spolufin.projektov</t>
  </si>
  <si>
    <t>RO - školy spolu:</t>
  </si>
  <si>
    <t>Rozpočtové opatrenie starostu obce č. 1/2023</t>
  </si>
  <si>
    <t>zmena rozpočtu</t>
  </si>
  <si>
    <t>PD - Zvýšenie energ. náročnosti budov(ZŠ,  ŠKJ)</t>
  </si>
  <si>
    <t>PD -Rekonštr.zdroja tepla, st.úpravy kotolne, plynovod - zdr.str</t>
  </si>
  <si>
    <t>Zmena palivovej základne zdr. Stredisko</t>
  </si>
  <si>
    <t>OU - údržba sotvéru, výp.technika</t>
  </si>
  <si>
    <t>PO - frekvencie, telekom.služby</t>
  </si>
  <si>
    <t>bankomat</t>
  </si>
  <si>
    <t>RO ST 1</t>
  </si>
  <si>
    <t>zmena 1 OZ</t>
  </si>
  <si>
    <t>Všeob.verejné služby (Voľby, referendum)</t>
  </si>
  <si>
    <t>Staroba (Opatrovateľská služba, SpÚ OSL,SSprojekt,denný stacionár,DC)</t>
  </si>
  <si>
    <t>0960</t>
  </si>
  <si>
    <t>zapoj.prostr.FP Den.stacionár</t>
  </si>
  <si>
    <t>zapojenie nevyčerp.prostr.mr. MPSVR soc.služby DST</t>
  </si>
  <si>
    <t>§14 ods.2 písm. b), c), d)</t>
  </si>
  <si>
    <t>OU - energie</t>
  </si>
  <si>
    <t>PO - energie</t>
  </si>
  <si>
    <t>ČOV - energie</t>
  </si>
  <si>
    <t>VEO - energie</t>
  </si>
  <si>
    <t>ZS  -energie</t>
  </si>
  <si>
    <t>Byty - energie</t>
  </si>
  <si>
    <t>ŠA - energie</t>
  </si>
  <si>
    <t>AMF- energie</t>
  </si>
  <si>
    <t>KNI - energie</t>
  </si>
  <si>
    <t>DS - energie</t>
  </si>
  <si>
    <t>MŠ - energie</t>
  </si>
  <si>
    <t>DST - energie</t>
  </si>
  <si>
    <t>DC - energie</t>
  </si>
  <si>
    <t>REPRE - digit.interaktívna mapa obce</t>
  </si>
  <si>
    <t>ŠKJ -  plat,energie</t>
  </si>
  <si>
    <t>Fašiangy</t>
  </si>
  <si>
    <t>zapojenie realizačnej fin. zábezpeky</t>
  </si>
  <si>
    <t>vrátenie realizačnej zábezpeky</t>
  </si>
  <si>
    <t>Rekonštrukcia pódia na námestí</t>
  </si>
  <si>
    <t>Rekonštrukcia amfiteátra</t>
  </si>
  <si>
    <t>Obnova športovej infraštruktúry v obci Heľpa</t>
  </si>
  <si>
    <t>RO - energie, služby</t>
  </si>
  <si>
    <t xml:space="preserve">FIN - auditorské služby, </t>
  </si>
  <si>
    <t>HKON - plat</t>
  </si>
  <si>
    <t>Redizajn webového sídla</t>
  </si>
  <si>
    <t>Rekonštrukcia amfiteátra (strecha, pódium, elektrinštalácie, réžia)</t>
  </si>
  <si>
    <t>Projektová dokumentácia</t>
  </si>
  <si>
    <t>Zmena palivovovej základne zdrav.strediska</t>
  </si>
  <si>
    <t>Obnova šport.infraštruktúry v obci</t>
  </si>
  <si>
    <t>Dobudovanie kanalizácie</t>
  </si>
  <si>
    <t>Rezačka asfaltu</t>
  </si>
  <si>
    <t>Rekonštrukcia elektroinštalácie objektov</t>
  </si>
  <si>
    <t>zapoj.prostr.NFP Podpora OSL</t>
  </si>
  <si>
    <t xml:space="preserve">BT MPSVR - Podpora OSL </t>
  </si>
  <si>
    <t>Den.stacionár - soc.služby - plat,poistné</t>
  </si>
  <si>
    <t>KT FPŠ - Obnova športovej infraštruktúry</t>
  </si>
  <si>
    <t>Zmena palivovej základne zdravotného strediska</t>
  </si>
  <si>
    <t>Obnova športovej infraštruktúry v obci</t>
  </si>
  <si>
    <t>rozpočtových opatrení za rok 2023</t>
  </si>
  <si>
    <t>Matrika, registre - plat, poistné,materiál, údržba</t>
  </si>
  <si>
    <t>Den.stacionár - energie</t>
  </si>
  <si>
    <t>V Heľpe 31.1.2023</t>
  </si>
  <si>
    <t>Rozpočtové opatrenie starostu obce č. 2/2023</t>
  </si>
  <si>
    <t>RO ST 2</t>
  </si>
  <si>
    <t>Dotácia MPSVR na soc.služby-stabilizačný príspevok</t>
  </si>
  <si>
    <t xml:space="preserve">Nákup motorových vozidiel, komunál.techniky, </t>
  </si>
  <si>
    <t>Ochrana, podpora a rozvoj zdravia</t>
  </si>
  <si>
    <t xml:space="preserve">Transfer na projekt </t>
  </si>
  <si>
    <t>Príjem z kul.čin.- Fašiangy</t>
  </si>
  <si>
    <t>KT Fond na podporu športu- na šport infraštruktúru</t>
  </si>
  <si>
    <t>Stavebný úrad</t>
  </si>
  <si>
    <t>V Heľpe 24.2.2023</t>
  </si>
  <si>
    <t>ŠKJ - vratky dot. stravné min.r., štiepka</t>
  </si>
  <si>
    <t>Heľpa 23.2.2023</t>
  </si>
  <si>
    <t>V Heľpe 23.2.2023</t>
  </si>
  <si>
    <t>§14 ods.2 písm. b), c)</t>
  </si>
  <si>
    <t>RO ST č.2</t>
  </si>
  <si>
    <t>3.</t>
  </si>
  <si>
    <t>Referendum - poistné, materiál, služby</t>
  </si>
  <si>
    <t>OU - materiál, služby</t>
  </si>
  <si>
    <t>HKON - poistné, nemoc</t>
  </si>
  <si>
    <t>CD - plat.poistné,materiál,značky,poistenie</t>
  </si>
  <si>
    <t>SS - odmeny stabilizačný príspevok</t>
  </si>
  <si>
    <t>Zmena Rozpočtu obce Heľpa na rok 2023 rozpočtovým opatrením 1/2023 bola schválená OZ uz.č. 112/2023 dňa 23.2.2023</t>
  </si>
  <si>
    <t>RO ST 3</t>
  </si>
  <si>
    <t>zmena 2 OZ</t>
  </si>
  <si>
    <t>skutočnosť 3</t>
  </si>
  <si>
    <t>Dotácia MHV SR - kompenzácie energie</t>
  </si>
  <si>
    <t>Dotácia OkU na výchovu,vzdelávanie v MŠ, profes.prozvoj</t>
  </si>
  <si>
    <t>Dotácia MPSVR SR na opatrovateľskú službu II.</t>
  </si>
  <si>
    <t>Rozpočtové opatrenie starostu obce č. 3/2023</t>
  </si>
  <si>
    <t>V Heľpe 31.3.2023</t>
  </si>
  <si>
    <t>BT MHSR kompenzácia energií</t>
  </si>
  <si>
    <t>SpU školstvo</t>
  </si>
  <si>
    <t>BT RUŠS MŠ profesij.rozvoj</t>
  </si>
  <si>
    <t>Grant SFZ pre MŠ</t>
  </si>
  <si>
    <t>SpU stavebný živ.prostredie</t>
  </si>
  <si>
    <t>zapoj.prostr.finančné zábezpeky</t>
  </si>
  <si>
    <t>STA - kompenz.energie</t>
  </si>
  <si>
    <t>DS -kompenz.energie</t>
  </si>
  <si>
    <t>RO - kompenz.energie</t>
  </si>
  <si>
    <t>SpU školstvo - plat, služby</t>
  </si>
  <si>
    <t>PO - kompenz.energie</t>
  </si>
  <si>
    <t>ČOV - kompenz.energie</t>
  </si>
  <si>
    <t>MŠ - učeb.pomôcky z dot., kompenz.energie, školenia</t>
  </si>
  <si>
    <t>ŠA - kompenz.energie</t>
  </si>
  <si>
    <t>AMF - kompenz.energie, materiál, prenájom, služby</t>
  </si>
  <si>
    <t>VEO - kompenz.energie</t>
  </si>
  <si>
    <t>ZS a byty - kompenz.energie</t>
  </si>
  <si>
    <t>4.</t>
  </si>
  <si>
    <t>5.</t>
  </si>
  <si>
    <t>RO ST č.3</t>
  </si>
  <si>
    <t>RO OZ č.2</t>
  </si>
  <si>
    <t>Rozpočtové opatrenie OZ č.2/2023</t>
  </si>
  <si>
    <t xml:space="preserve">Vyúčt.služieb byt NBD </t>
  </si>
  <si>
    <t>Výnos dane územ.samospráve</t>
  </si>
  <si>
    <t>Dot.UPSVR aktiv.znevýh.uchádz.o zamestn.</t>
  </si>
  <si>
    <t>Znevýh.uchádz.o zamest.-plat, poistné, materiál</t>
  </si>
  <si>
    <t>Deň detí</t>
  </si>
  <si>
    <t>OU - komunikačná inštruktúra</t>
  </si>
  <si>
    <t>Kybernetická bezpečnosť služby</t>
  </si>
  <si>
    <t>Externý projektový manažment</t>
  </si>
  <si>
    <t>Rodina a deti (Príspevky na deti v HN, osob.príjemca PND, Deň detí)</t>
  </si>
  <si>
    <t>Dotácia UPSVR na Aktivácia znevýh.uchádzačov o zamestnanie</t>
  </si>
  <si>
    <t>Návrh zmeny rozpočtu obce Heľpa na rok 2023 bol vyvesený na úradnej tabuli na pripomienkovanie dňa 13.4.2023.</t>
  </si>
  <si>
    <t>Vydávanie novín</t>
  </si>
  <si>
    <t>Dot.MIRRI Riešenie migračných výziev</t>
  </si>
  <si>
    <t>CO - servis, PHM, poistenie</t>
  </si>
  <si>
    <t>Nájom poľnoh. pozemkov</t>
  </si>
  <si>
    <t xml:space="preserve">ŠA - admin.poplatok </t>
  </si>
  <si>
    <t>AMF - materiál, údržba</t>
  </si>
  <si>
    <t>ŠKJ - plat</t>
  </si>
  <si>
    <t>DST, DC - kompenz.energie</t>
  </si>
  <si>
    <t>V Heľpe 20.4.2023</t>
  </si>
  <si>
    <t>Dotácia MIRRI - riešenie migračných výziev</t>
  </si>
  <si>
    <t>Pripomienky finančnej komisie k návrhu zmeny rozpočtu na rok 2023 boli zapracované dňa 19.4.2023</t>
  </si>
  <si>
    <t>Pripomienky OZ k návrhu zmeny rozpočtu na rok 2023 boli zapracované dňa 14.4.2023</t>
  </si>
  <si>
    <t>%</t>
  </si>
  <si>
    <t>Náhrady z poistného plnenia</t>
  </si>
  <si>
    <t>OU -kompenz.energie, materiál, licencie</t>
  </si>
  <si>
    <t>ZD - kompenz.energie, servis voz.</t>
  </si>
  <si>
    <t>ŠKJ - kompenz.energie, technika, materiál</t>
  </si>
  <si>
    <t>Zmena Rozpočtu obce Heľpa na rok 2023 rozpočtovým opatrením 2/2023 bola schválená OZ uz.č. /2023 dňa 20.4.2023</t>
  </si>
  <si>
    <t>Rozpočtové opatrenie starostu obce č. 4/2023</t>
  </si>
  <si>
    <t>Schválil: Miroslav Lilko</t>
  </si>
  <si>
    <t>Rozpočtové opatrenie OZ č.3/2023</t>
  </si>
  <si>
    <t>Rozpočtové opatrenie starostu obce č. 5/2023</t>
  </si>
  <si>
    <t>BT UPSVR os.príjemca rod.prídavkov</t>
  </si>
  <si>
    <t>Rod.prídavky osobitný príjemca</t>
  </si>
  <si>
    <t>BT RÚŠS ZŠ integrácia žiakov z Ukrajiny</t>
  </si>
  <si>
    <t>V Heľpe 27.4.2023</t>
  </si>
  <si>
    <t>BT RÚŠS MŠ profesijný rozvoj zdroje</t>
  </si>
  <si>
    <t>pokuty záškoláctvo</t>
  </si>
  <si>
    <t>MŠ - DVP profesijný rozvoj zdroje</t>
  </si>
  <si>
    <t>členské príspevky do združení</t>
  </si>
  <si>
    <t>REPRE - digitálna mapa, stravovanie</t>
  </si>
  <si>
    <t>AMF - energie, materiál,služby</t>
  </si>
  <si>
    <t>RO ST 4</t>
  </si>
  <si>
    <t>skutočnosť 4</t>
  </si>
  <si>
    <t>MŠ Preventívne zdravotné prehliadky</t>
  </si>
  <si>
    <t>6.</t>
  </si>
  <si>
    <t>RO ST č.4</t>
  </si>
  <si>
    <t>skutočnosť1</t>
  </si>
  <si>
    <t>Projekt MŠVVŠ SR</t>
  </si>
  <si>
    <t xml:space="preserve">Projekt </t>
  </si>
  <si>
    <t>skutočnosť</t>
  </si>
  <si>
    <t>Návrh zmeny rozpočtu obce Heľpa na rok 2023 bol vyvesený na úradnej tabuli na pripomienkovanie dňa 15.2.2023.</t>
  </si>
  <si>
    <t>Pripomienky finančnej komisie k návrhu zmeny rozpočtu na rok 2023 boli zapracované dňa 21.2.2023</t>
  </si>
  <si>
    <t>Pripomienky OZ k návrhu zmeny rozpočtu na rok 2023 boli zapracované dňa 16.2.2023</t>
  </si>
  <si>
    <t>Zmena Rozpočtu obce Heľpa na rok 2023 rozpočtovým opatrením 2/2023 bola schválená OZ uz.č. 130/2023 dňa 20.4.2023</t>
  </si>
  <si>
    <t>RO OZ č.3</t>
  </si>
  <si>
    <t>BT SpU stavebný - na cest.dopravu</t>
  </si>
  <si>
    <t>SpU STA - plat</t>
  </si>
  <si>
    <t>RO ST 5</t>
  </si>
  <si>
    <t>zmena 3 OZ</t>
  </si>
  <si>
    <t>BT osobitný príjemca prídavkov na deti</t>
  </si>
  <si>
    <t>Materiál na osob.príjemcu PnD</t>
  </si>
  <si>
    <t xml:space="preserve">Aktivačná činnosť presun na znevýh.uchádzačov </t>
  </si>
  <si>
    <t>Vstupné Kolovrátok</t>
  </si>
  <si>
    <t>AMF - materiál</t>
  </si>
  <si>
    <t>mapový softvér na vizual.katastra,územ.plánu, inž.sietí</t>
  </si>
  <si>
    <t>členský príspevok do DPO SR</t>
  </si>
  <si>
    <t>dotácia z rozpočtu pre SZPB na oslavy SNP</t>
  </si>
  <si>
    <t>DF</t>
  </si>
  <si>
    <t xml:space="preserve">PD ul.Burkovaná, Hlavná </t>
  </si>
  <si>
    <t>DF posudok</t>
  </si>
  <si>
    <t>PD - Zvýšenie energ.efekt.budovy zdrav.strediska</t>
  </si>
  <si>
    <t>PD rekonštrukcia objektov na amfiteátri</t>
  </si>
  <si>
    <t>Obnova športovej infraštruktúry v obci Heľpa (stravba,technika)</t>
  </si>
  <si>
    <t>Zvýšenie energ.efekt. budovy zdr.strediska</t>
  </si>
  <si>
    <t>Rekonštrukcia amfiteátra (strecha, pódium, elektroinštalácie, réžia)</t>
  </si>
  <si>
    <t>Zvýš. energ.efekt.budovy zdrav.strediska</t>
  </si>
  <si>
    <t>Výnos dane</t>
  </si>
  <si>
    <t>NBD - náhrada za služby za čistenie kanalizácie</t>
  </si>
  <si>
    <t>Heľpa 25.5.2023</t>
  </si>
  <si>
    <t>Autorský dohľad pre stavbu Obnova budovy ZUŠ Heľpa v r.2024</t>
  </si>
  <si>
    <t>Autorský dohľad pre stavbu Obnova budovy ZŠ Heľpa v r.2024</t>
  </si>
  <si>
    <t>V Heľpe 25.5.2023</t>
  </si>
  <si>
    <t>7.</t>
  </si>
  <si>
    <t>112/2023</t>
  </si>
  <si>
    <t>130/2023</t>
  </si>
  <si>
    <t xml:space="preserve">Pripomienky finančnej komisie k návrhu zmeny rozpočtu na rok 2023 boli zapracované dňa </t>
  </si>
  <si>
    <t>Návrh zmeny rozpočtu obce Heľpa na rok 2023 bol vyvesený na úradnej tabuli na pripomienkovanie dňa 8.6.2023</t>
  </si>
  <si>
    <t xml:space="preserve">Pripomienky OZ k návrhu zmeny rozpočtu na rok 2023 boli zapracované dňa </t>
  </si>
  <si>
    <t>Zmena Rozpočtu obce Heľpa na rok 2023 rozpočtovým opatrením 3/2023 bola schválená OZ uz.č. 153/2023 dňa 25.5.2023</t>
  </si>
  <si>
    <t>RO ST 6</t>
  </si>
  <si>
    <t>zmena 4 OZ</t>
  </si>
  <si>
    <t>Rozpočtové opatrenie OZ č.4/2023</t>
  </si>
  <si>
    <t>Grant na HDST</t>
  </si>
  <si>
    <t>HDST - škola tanca a remesiel</t>
  </si>
  <si>
    <t>BT RÚŠS - nenorm. FP pre ZŠ na eduk.publikácie</t>
  </si>
  <si>
    <t>BT RÚŠS - nenorm. FP pre ZŠ na Integr. detí z Ukrajiny</t>
  </si>
  <si>
    <t>MD za ver.priestranstvo</t>
  </si>
  <si>
    <t>V Heľpe 8.6.2023</t>
  </si>
  <si>
    <t>Kolovrátok</t>
  </si>
  <si>
    <t>vyúčtovanie služieb z prenájmu</t>
  </si>
  <si>
    <t>Deň matiek</t>
  </si>
  <si>
    <t>Spolufinancovanie projektov, služby</t>
  </si>
  <si>
    <t>Rozpočtové opatrenie starostu obce č. 6/2023</t>
  </si>
  <si>
    <t xml:space="preserve">V Heľpe </t>
  </si>
  <si>
    <t>8.</t>
  </si>
  <si>
    <t>153/2023</t>
  </si>
  <si>
    <t>RO ST č.5</t>
  </si>
  <si>
    <t>9.</t>
  </si>
  <si>
    <t>Projekty školy spolufinancovanie obce</t>
  </si>
  <si>
    <t xml:space="preserve">Zmena Rozpočtu obce Heľpa na rok 2023 rozpočtovým opatrením 4/2023 bola schválená OZ uz.č. 153/2023 dňa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</si>
</sst>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E_U_R_-;\-* #,##0.00\ _E_U_R_-;_-* &quot;-&quot;??\ _E_U_R_-;_-@_-"/>
    <numFmt numFmtId="164" formatCode="_-* #,##0\ _E_U_R_-;\-* #,##0\ _E_U_R_-;_-* &quot;-&quot;??\ _E_U_R_-;_-@_-"/>
  </numFmts>
  <fonts count="56" x14ac:knownFonts="1"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sz val="11"/>
      <name val="Calibri"/>
      <family val="2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name val="Arial CE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color theme="1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14"/>
      <name val="Bookman Old Style"/>
      <family val="1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i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0" tint="-0.499984740745262"/>
      <name val="Arial"/>
      <family val="2"/>
      <charset val="238"/>
    </font>
    <font>
      <i/>
      <sz val="11"/>
      <color theme="3" tint="0.59999389629810485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i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8" tint="0.7999816888943144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8" tint="0.59999389629810485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name val="Arial CE"/>
    </font>
    <font>
      <b/>
      <sz val="10"/>
      <name val="Arial CE"/>
    </font>
    <font>
      <b/>
      <sz val="9"/>
      <name val="Arial CE"/>
    </font>
    <font>
      <b/>
      <sz val="12"/>
      <name val="Arial CE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name val="Arial Narrow"/>
      <family val="2"/>
      <charset val="238"/>
    </font>
    <font>
      <i/>
      <sz val="11"/>
      <name val="Arial Narrow"/>
      <family val="2"/>
      <charset val="238"/>
    </font>
    <font>
      <b/>
      <sz val="10"/>
      <color theme="1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5" fillId="0" borderId="0"/>
    <xf numFmtId="9" fontId="23" fillId="0" borderId="0" applyFont="0" applyFill="0" applyBorder="0" applyAlignment="0" applyProtection="0"/>
  </cellStyleXfs>
  <cellXfs count="924">
    <xf numFmtId="0" fontId="0" fillId="0" borderId="0" xfId="0"/>
    <xf numFmtId="0" fontId="2" fillId="0" borderId="0" xfId="0" applyFont="1"/>
    <xf numFmtId="3" fontId="3" fillId="2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3" fontId="5" fillId="0" borderId="12" xfId="0" applyNumberFormat="1" applyFont="1" applyFill="1" applyBorder="1"/>
    <xf numFmtId="3" fontId="6" fillId="0" borderId="13" xfId="0" applyNumberFormat="1" applyFont="1" applyFill="1" applyBorder="1"/>
    <xf numFmtId="3" fontId="4" fillId="0" borderId="13" xfId="0" applyNumberFormat="1" applyFont="1" applyFill="1" applyBorder="1"/>
    <xf numFmtId="0" fontId="2" fillId="0" borderId="14" xfId="0" applyFont="1" applyFill="1" applyBorder="1"/>
    <xf numFmtId="0" fontId="2" fillId="0" borderId="15" xfId="0" applyFont="1" applyBorder="1"/>
    <xf numFmtId="3" fontId="5" fillId="0" borderId="16" xfId="0" applyNumberFormat="1" applyFont="1" applyBorder="1"/>
    <xf numFmtId="3" fontId="2" fillId="0" borderId="9" xfId="0" applyNumberFormat="1" applyFont="1" applyBorder="1"/>
    <xf numFmtId="3" fontId="2" fillId="0" borderId="9" xfId="0" applyNumberFormat="1" applyFont="1" applyFill="1" applyBorder="1"/>
    <xf numFmtId="0" fontId="2" fillId="0" borderId="17" xfId="0" applyFont="1" applyFill="1" applyBorder="1"/>
    <xf numFmtId="0" fontId="2" fillId="0" borderId="18" xfId="0" applyFont="1" applyBorder="1"/>
    <xf numFmtId="3" fontId="5" fillId="0" borderId="19" xfId="0" applyNumberFormat="1" applyFont="1" applyBorder="1"/>
    <xf numFmtId="3" fontId="2" fillId="0" borderId="20" xfId="0" applyNumberFormat="1" applyFont="1" applyBorder="1"/>
    <xf numFmtId="3" fontId="2" fillId="0" borderId="20" xfId="0" applyNumberFormat="1" applyFont="1" applyFill="1" applyBorder="1"/>
    <xf numFmtId="0" fontId="2" fillId="0" borderId="21" xfId="0" applyFont="1" applyFill="1" applyBorder="1"/>
    <xf numFmtId="0" fontId="2" fillId="0" borderId="22" xfId="0" applyFont="1" applyBorder="1"/>
    <xf numFmtId="3" fontId="5" fillId="0" borderId="23" xfId="0" applyNumberFormat="1" applyFont="1" applyBorder="1"/>
    <xf numFmtId="3" fontId="2" fillId="0" borderId="24" xfId="0" applyNumberFormat="1" applyFont="1" applyBorder="1"/>
    <xf numFmtId="3" fontId="2" fillId="0" borderId="24" xfId="0" applyNumberFormat="1" applyFont="1" applyFill="1" applyBorder="1"/>
    <xf numFmtId="0" fontId="2" fillId="0" borderId="25" xfId="0" applyFont="1" applyFill="1" applyBorder="1"/>
    <xf numFmtId="0" fontId="2" fillId="0" borderId="26" xfId="0" applyFont="1" applyBorder="1"/>
    <xf numFmtId="3" fontId="5" fillId="0" borderId="27" xfId="0" applyNumberFormat="1" applyFont="1" applyBorder="1"/>
    <xf numFmtId="3" fontId="6" fillId="0" borderId="6" xfId="0" applyNumberFormat="1" applyFont="1" applyBorder="1"/>
    <xf numFmtId="3" fontId="6" fillId="0" borderId="6" xfId="0" applyNumberFormat="1" applyFont="1" applyFill="1" applyBorder="1"/>
    <xf numFmtId="3" fontId="2" fillId="0" borderId="0" xfId="0" applyNumberFormat="1" applyFont="1"/>
    <xf numFmtId="0" fontId="2" fillId="0" borderId="28" xfId="0" applyFont="1" applyFill="1" applyBorder="1"/>
    <xf numFmtId="0" fontId="2" fillId="0" borderId="29" xfId="0" applyFont="1" applyBorder="1"/>
    <xf numFmtId="3" fontId="5" fillId="0" borderId="30" xfId="0" applyNumberFormat="1" applyFont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7" fillId="0" borderId="24" xfId="0" applyNumberFormat="1" applyFont="1" applyFill="1" applyBorder="1"/>
    <xf numFmtId="3" fontId="5" fillId="0" borderId="23" xfId="0" applyNumberFormat="1" applyFont="1" applyFill="1" applyBorder="1"/>
    <xf numFmtId="0" fontId="2" fillId="0" borderId="10" xfId="0" applyFont="1" applyFill="1" applyBorder="1"/>
    <xf numFmtId="0" fontId="2" fillId="0" borderId="11" xfId="0" applyFont="1" applyBorder="1"/>
    <xf numFmtId="3" fontId="5" fillId="0" borderId="12" xfId="0" applyNumberFormat="1" applyFont="1" applyBorder="1"/>
    <xf numFmtId="3" fontId="2" fillId="0" borderId="13" xfId="0" applyNumberFormat="1" applyFont="1" applyBorder="1"/>
    <xf numFmtId="3" fontId="2" fillId="0" borderId="13" xfId="0" applyNumberFormat="1" applyFont="1" applyFill="1" applyBorder="1"/>
    <xf numFmtId="3" fontId="6" fillId="0" borderId="9" xfId="0" applyNumberFormat="1" applyFont="1" applyBorder="1"/>
    <xf numFmtId="3" fontId="6" fillId="0" borderId="9" xfId="0" applyNumberFormat="1" applyFont="1" applyFill="1" applyBorder="1"/>
    <xf numFmtId="3" fontId="2" fillId="0" borderId="31" xfId="0" applyNumberFormat="1" applyFont="1" applyBorder="1"/>
    <xf numFmtId="0" fontId="2" fillId="0" borderId="32" xfId="0" applyFont="1" applyFill="1" applyBorder="1"/>
    <xf numFmtId="0" fontId="2" fillId="0" borderId="33" xfId="0" applyFont="1" applyBorder="1"/>
    <xf numFmtId="3" fontId="2" fillId="0" borderId="23" xfId="0" applyNumberFormat="1" applyFont="1" applyBorder="1"/>
    <xf numFmtId="3" fontId="2" fillId="0" borderId="31" xfId="0" applyNumberFormat="1" applyFont="1" applyFill="1" applyBorder="1"/>
    <xf numFmtId="0" fontId="2" fillId="0" borderId="34" xfId="0" applyFont="1" applyBorder="1"/>
    <xf numFmtId="3" fontId="2" fillId="0" borderId="6" xfId="0" applyNumberFormat="1" applyFont="1" applyBorder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0" borderId="10" xfId="0" applyFont="1" applyBorder="1"/>
    <xf numFmtId="0" fontId="4" fillId="0" borderId="35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5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0" fontId="3" fillId="2" borderId="14" xfId="0" applyFont="1" applyFill="1" applyBorder="1"/>
    <xf numFmtId="0" fontId="4" fillId="2" borderId="15" xfId="0" applyFont="1" applyFill="1" applyBorder="1"/>
    <xf numFmtId="0" fontId="8" fillId="0" borderId="21" xfId="0" applyFont="1" applyFill="1" applyBorder="1"/>
    <xf numFmtId="3" fontId="8" fillId="0" borderId="24" xfId="0" applyNumberFormat="1" applyFont="1" applyFill="1" applyBorder="1"/>
    <xf numFmtId="0" fontId="8" fillId="0" borderId="17" xfId="0" applyFont="1" applyFill="1" applyBorder="1"/>
    <xf numFmtId="3" fontId="8" fillId="0" borderId="20" xfId="0" applyNumberFormat="1" applyFont="1" applyFill="1" applyBorder="1"/>
    <xf numFmtId="0" fontId="4" fillId="0" borderId="17" xfId="0" applyFont="1" applyFill="1" applyBorder="1"/>
    <xf numFmtId="0" fontId="4" fillId="0" borderId="22" xfId="0" applyFont="1" applyBorder="1"/>
    <xf numFmtId="3" fontId="5" fillId="0" borderId="20" xfId="0" applyNumberFormat="1" applyFont="1" applyFill="1" applyBorder="1"/>
    <xf numFmtId="0" fontId="8" fillId="0" borderId="25" xfId="0" applyFont="1" applyFill="1" applyBorder="1"/>
    <xf numFmtId="3" fontId="8" fillId="0" borderId="6" xfId="0" applyNumberFormat="1" applyFont="1" applyFill="1" applyBorder="1"/>
    <xf numFmtId="0" fontId="4" fillId="0" borderId="18" xfId="0" applyFont="1" applyBorder="1"/>
    <xf numFmtId="0" fontId="4" fillId="0" borderId="25" xfId="0" applyFont="1" applyFill="1" applyBorder="1"/>
    <xf numFmtId="0" fontId="4" fillId="0" borderId="26" xfId="0" applyFont="1" applyBorder="1"/>
    <xf numFmtId="3" fontId="2" fillId="0" borderId="6" xfId="0" applyNumberFormat="1" applyFont="1" applyFill="1" applyBorder="1"/>
    <xf numFmtId="0" fontId="4" fillId="0" borderId="33" xfId="0" applyFont="1" applyBorder="1"/>
    <xf numFmtId="3" fontId="2" fillId="0" borderId="42" xfId="0" applyNumberFormat="1" applyFont="1" applyFill="1" applyBorder="1"/>
    <xf numFmtId="0" fontId="8" fillId="0" borderId="39" xfId="0" applyFont="1" applyFill="1" applyBorder="1"/>
    <xf numFmtId="3" fontId="7" fillId="0" borderId="20" xfId="0" applyNumberFormat="1" applyFont="1" applyFill="1" applyBorder="1"/>
    <xf numFmtId="0" fontId="4" fillId="0" borderId="21" xfId="0" applyFont="1" applyFill="1" applyBorder="1"/>
    <xf numFmtId="0" fontId="4" fillId="0" borderId="38" xfId="0" applyFont="1" applyBorder="1"/>
    <xf numFmtId="0" fontId="9" fillId="4" borderId="21" xfId="0" applyFont="1" applyFill="1" applyBorder="1"/>
    <xf numFmtId="0" fontId="9" fillId="4" borderId="37" xfId="0" applyFont="1" applyFill="1" applyBorder="1"/>
    <xf numFmtId="3" fontId="9" fillId="4" borderId="24" xfId="0" applyNumberFormat="1" applyFont="1" applyFill="1" applyBorder="1"/>
    <xf numFmtId="0" fontId="10" fillId="2" borderId="14" xfId="0" applyFont="1" applyFill="1" applyBorder="1"/>
    <xf numFmtId="3" fontId="10" fillId="2" borderId="9" xfId="0" applyNumberFormat="1" applyFont="1" applyFill="1" applyBorder="1" applyAlignment="1">
      <alignment horizontal="right"/>
    </xf>
    <xf numFmtId="0" fontId="6" fillId="4" borderId="17" xfId="0" applyFont="1" applyFill="1" applyBorder="1"/>
    <xf numFmtId="0" fontId="6" fillId="4" borderId="18" xfId="0" applyFont="1" applyFill="1" applyBorder="1"/>
    <xf numFmtId="3" fontId="6" fillId="4" borderId="20" xfId="0" applyNumberFormat="1" applyFont="1" applyFill="1" applyBorder="1" applyAlignment="1">
      <alignment horizontal="right"/>
    </xf>
    <xf numFmtId="0" fontId="6" fillId="4" borderId="21" xfId="0" applyFont="1" applyFill="1" applyBorder="1"/>
    <xf numFmtId="3" fontId="6" fillId="4" borderId="24" xfId="0" applyNumberFormat="1" applyFont="1" applyFill="1" applyBorder="1" applyAlignment="1">
      <alignment horizontal="right"/>
    </xf>
    <xf numFmtId="0" fontId="6" fillId="4" borderId="32" xfId="0" applyFont="1" applyFill="1" applyBorder="1"/>
    <xf numFmtId="0" fontId="6" fillId="4" borderId="33" xfId="0" applyFont="1" applyFill="1" applyBorder="1"/>
    <xf numFmtId="3" fontId="6" fillId="4" borderId="31" xfId="0" applyNumberFormat="1" applyFont="1" applyFill="1" applyBorder="1" applyAlignment="1">
      <alignment horizontal="right"/>
    </xf>
    <xf numFmtId="3" fontId="11" fillId="4" borderId="9" xfId="0" applyNumberFormat="1" applyFont="1" applyFill="1" applyBorder="1" applyAlignment="1">
      <alignment horizontal="right"/>
    </xf>
    <xf numFmtId="0" fontId="6" fillId="4" borderId="40" xfId="0" applyFont="1" applyFill="1" applyBorder="1"/>
    <xf numFmtId="0" fontId="6" fillId="4" borderId="44" xfId="0" applyFont="1" applyFill="1" applyBorder="1"/>
    <xf numFmtId="3" fontId="6" fillId="4" borderId="42" xfId="0" applyNumberFormat="1" applyFont="1" applyFill="1" applyBorder="1" applyAlignment="1">
      <alignment horizontal="right"/>
    </xf>
    <xf numFmtId="3" fontId="10" fillId="4" borderId="9" xfId="0" applyNumberFormat="1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 applyFill="1" applyBorder="1"/>
    <xf numFmtId="0" fontId="4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0" fontId="3" fillId="5" borderId="14" xfId="0" applyFont="1" applyFill="1" applyBorder="1"/>
    <xf numFmtId="0" fontId="3" fillId="5" borderId="47" xfId="0" applyFont="1" applyFill="1" applyBorder="1"/>
    <xf numFmtId="3" fontId="3" fillId="5" borderId="16" xfId="0" applyNumberFormat="1" applyFont="1" applyFill="1" applyBorder="1" applyAlignment="1">
      <alignment horizontal="right"/>
    </xf>
    <xf numFmtId="3" fontId="3" fillId="5" borderId="8" xfId="0" applyNumberFormat="1" applyFont="1" applyFill="1" applyBorder="1" applyAlignment="1">
      <alignment horizontal="right"/>
    </xf>
    <xf numFmtId="3" fontId="3" fillId="5" borderId="9" xfId="0" applyNumberFormat="1" applyFont="1" applyFill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6" fillId="0" borderId="48" xfId="0" applyNumberFormat="1" applyFont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4" fillId="0" borderId="37" xfId="0" applyFont="1" applyBorder="1"/>
    <xf numFmtId="3" fontId="6" fillId="0" borderId="49" xfId="0" applyNumberFormat="1" applyFont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right"/>
    </xf>
    <xf numFmtId="3" fontId="6" fillId="0" borderId="49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4" fillId="0" borderId="34" xfId="0" applyFont="1" applyFill="1" applyBorder="1"/>
    <xf numFmtId="3" fontId="5" fillId="0" borderId="1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49" fontId="2" fillId="0" borderId="40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left"/>
    </xf>
    <xf numFmtId="3" fontId="4" fillId="0" borderId="30" xfId="0" applyNumberFormat="1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49" fontId="4" fillId="0" borderId="4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2" fillId="5" borderId="47" xfId="0" applyFont="1" applyFill="1" applyBorder="1"/>
    <xf numFmtId="49" fontId="4" fillId="0" borderId="1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left"/>
    </xf>
    <xf numFmtId="3" fontId="4" fillId="0" borderId="4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49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49" fontId="2" fillId="0" borderId="28" xfId="0" applyNumberFormat="1" applyFont="1" applyFill="1" applyBorder="1" applyAlignment="1">
      <alignment horizontal="right"/>
    </xf>
    <xf numFmtId="0" fontId="4" fillId="0" borderId="52" xfId="0" applyFont="1" applyBorder="1"/>
    <xf numFmtId="3" fontId="12" fillId="0" borderId="30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4" fillId="0" borderId="41" xfId="0" applyFont="1" applyBorder="1"/>
    <xf numFmtId="3" fontId="12" fillId="0" borderId="5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53" xfId="0" applyNumberFormat="1" applyFont="1" applyBorder="1" applyAlignment="1">
      <alignment horizontal="right"/>
    </xf>
    <xf numFmtId="3" fontId="4" fillId="0" borderId="53" xfId="0" applyNumberFormat="1" applyFont="1" applyFill="1" applyBorder="1" applyAlignment="1">
      <alignment horizontal="right"/>
    </xf>
    <xf numFmtId="49" fontId="2" fillId="0" borderId="25" xfId="0" applyNumberFormat="1" applyFont="1" applyFill="1" applyBorder="1" applyAlignment="1">
      <alignment horizontal="right"/>
    </xf>
    <xf numFmtId="0" fontId="4" fillId="0" borderId="39" xfId="0" applyFont="1" applyBorder="1"/>
    <xf numFmtId="3" fontId="12" fillId="0" borderId="27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49" fontId="4" fillId="0" borderId="21" xfId="0" applyNumberFormat="1" applyFont="1" applyFill="1" applyBorder="1" applyAlignment="1">
      <alignment horizontal="right"/>
    </xf>
    <xf numFmtId="49" fontId="4" fillId="0" borderId="25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0" fontId="3" fillId="5" borderId="54" xfId="0" applyFont="1" applyFill="1" applyBorder="1"/>
    <xf numFmtId="0" fontId="2" fillId="5" borderId="55" xfId="0" applyFont="1" applyFill="1" applyBorder="1"/>
    <xf numFmtId="3" fontId="3" fillId="5" borderId="50" xfId="0" applyNumberFormat="1" applyFont="1" applyFill="1" applyBorder="1" applyAlignment="1">
      <alignment horizontal="right"/>
    </xf>
    <xf numFmtId="3" fontId="3" fillId="5" borderId="4" xfId="0" applyNumberFormat="1" applyFont="1" applyFill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0" fontId="4" fillId="0" borderId="45" xfId="0" applyFont="1" applyBorder="1"/>
    <xf numFmtId="3" fontId="4" fillId="0" borderId="5" xfId="0" applyNumberFormat="1" applyFont="1" applyBorder="1" applyAlignment="1">
      <alignment horizontal="right"/>
    </xf>
    <xf numFmtId="0" fontId="4" fillId="0" borderId="49" xfId="0" applyFont="1" applyBorder="1"/>
    <xf numFmtId="3" fontId="6" fillId="0" borderId="2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4" fillId="0" borderId="34" xfId="0" applyFont="1" applyBorder="1"/>
    <xf numFmtId="0" fontId="4" fillId="0" borderId="12" xfId="0" applyFont="1" applyBorder="1"/>
    <xf numFmtId="0" fontId="4" fillId="0" borderId="2" xfId="0" applyFont="1" applyBorder="1"/>
    <xf numFmtId="3" fontId="4" fillId="0" borderId="13" xfId="0" applyNumberFormat="1" applyFont="1" applyBorder="1" applyAlignment="1">
      <alignment horizontal="right"/>
    </xf>
    <xf numFmtId="49" fontId="3" fillId="5" borderId="10" xfId="0" applyNumberFormat="1" applyFont="1" applyFill="1" applyBorder="1" applyAlignment="1">
      <alignment horizontal="left"/>
    </xf>
    <xf numFmtId="0" fontId="3" fillId="5" borderId="34" xfId="0" applyFont="1" applyFill="1" applyBorder="1"/>
    <xf numFmtId="3" fontId="3" fillId="5" borderId="12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right"/>
    </xf>
    <xf numFmtId="0" fontId="4" fillId="0" borderId="38" xfId="0" applyFont="1" applyFill="1" applyBorder="1"/>
    <xf numFmtId="3" fontId="6" fillId="0" borderId="48" xfId="0" applyNumberFormat="1" applyFont="1" applyFill="1" applyBorder="1" applyAlignment="1">
      <alignment horizontal="right"/>
    </xf>
    <xf numFmtId="3" fontId="4" fillId="0" borderId="48" xfId="0" applyNumberFormat="1" applyFont="1" applyBorder="1" applyAlignment="1">
      <alignment horizontal="right"/>
    </xf>
    <xf numFmtId="49" fontId="4" fillId="0" borderId="56" xfId="0" applyNumberFormat="1" applyFont="1" applyFill="1" applyBorder="1" applyAlignment="1">
      <alignment horizontal="right"/>
    </xf>
    <xf numFmtId="0" fontId="4" fillId="0" borderId="52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49" fontId="4" fillId="0" borderId="35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left"/>
    </xf>
    <xf numFmtId="49" fontId="4" fillId="0" borderId="57" xfId="0" applyNumberFormat="1" applyFont="1" applyFill="1" applyBorder="1" applyAlignment="1">
      <alignment horizontal="right"/>
    </xf>
    <xf numFmtId="3" fontId="5" fillId="0" borderId="58" xfId="0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 horizontal="right"/>
    </xf>
    <xf numFmtId="3" fontId="4" fillId="0" borderId="58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0" fontId="10" fillId="5" borderId="54" xfId="0" applyFont="1" applyFill="1" applyBorder="1"/>
    <xf numFmtId="3" fontId="10" fillId="5" borderId="50" xfId="0" applyNumberFormat="1" applyFont="1" applyFill="1" applyBorder="1" applyAlignment="1">
      <alignment horizontal="right"/>
    </xf>
    <xf numFmtId="3" fontId="10" fillId="5" borderId="4" xfId="0" applyNumberFormat="1" applyFont="1" applyFill="1" applyBorder="1" applyAlignment="1">
      <alignment horizontal="right"/>
    </xf>
    <xf numFmtId="3" fontId="10" fillId="5" borderId="51" xfId="0" applyNumberFormat="1" applyFont="1" applyFill="1" applyBorder="1" applyAlignment="1">
      <alignment horizontal="right"/>
    </xf>
    <xf numFmtId="49" fontId="6" fillId="6" borderId="56" xfId="0" applyNumberFormat="1" applyFont="1" applyFill="1" applyBorder="1" applyAlignment="1">
      <alignment horizontal="right"/>
    </xf>
    <xf numFmtId="0" fontId="6" fillId="6" borderId="52" xfId="0" applyFont="1" applyFill="1" applyBorder="1"/>
    <xf numFmtId="3" fontId="6" fillId="6" borderId="30" xfId="0" applyNumberFormat="1" applyFont="1" applyFill="1" applyBorder="1" applyAlignment="1">
      <alignment horizontal="right"/>
    </xf>
    <xf numFmtId="3" fontId="6" fillId="6" borderId="45" xfId="0" applyNumberFormat="1" applyFont="1" applyFill="1" applyBorder="1" applyAlignment="1">
      <alignment horizontal="right"/>
    </xf>
    <xf numFmtId="3" fontId="6" fillId="6" borderId="5" xfId="0" applyNumberFormat="1" applyFont="1" applyFill="1" applyBorder="1" applyAlignment="1">
      <alignment horizontal="right"/>
    </xf>
    <xf numFmtId="49" fontId="6" fillId="6" borderId="36" xfId="0" applyNumberFormat="1" applyFont="1" applyFill="1" applyBorder="1" applyAlignment="1">
      <alignment horizontal="right"/>
    </xf>
    <xf numFmtId="0" fontId="6" fillId="6" borderId="37" xfId="0" applyFont="1" applyFill="1" applyBorder="1"/>
    <xf numFmtId="3" fontId="6" fillId="6" borderId="23" xfId="0" applyNumberFormat="1" applyFont="1" applyFill="1" applyBorder="1" applyAlignment="1">
      <alignment horizontal="right"/>
    </xf>
    <xf numFmtId="3" fontId="6" fillId="6" borderId="49" xfId="0" applyNumberFormat="1" applyFont="1" applyFill="1" applyBorder="1" applyAlignment="1">
      <alignment horizontal="right"/>
    </xf>
    <xf numFmtId="3" fontId="6" fillId="6" borderId="24" xfId="0" applyNumberFormat="1" applyFont="1" applyFill="1" applyBorder="1" applyAlignment="1">
      <alignment horizontal="right"/>
    </xf>
    <xf numFmtId="49" fontId="6" fillId="6" borderId="60" xfId="0" applyNumberFormat="1" applyFont="1" applyFill="1" applyBorder="1" applyAlignment="1">
      <alignment horizontal="right"/>
    </xf>
    <xf numFmtId="0" fontId="6" fillId="6" borderId="39" xfId="0" applyFont="1" applyFill="1" applyBorder="1"/>
    <xf numFmtId="3" fontId="6" fillId="6" borderId="27" xfId="0" applyNumberFormat="1" applyFont="1" applyFill="1" applyBorder="1" applyAlignment="1">
      <alignment horizontal="right"/>
    </xf>
    <xf numFmtId="3" fontId="6" fillId="6" borderId="46" xfId="0" applyNumberFormat="1" applyFont="1" applyFill="1" applyBorder="1" applyAlignment="1">
      <alignment horizontal="right"/>
    </xf>
    <xf numFmtId="3" fontId="6" fillId="6" borderId="6" xfId="0" applyNumberFormat="1" applyFont="1" applyFill="1" applyBorder="1" applyAlignment="1">
      <alignment horizontal="right"/>
    </xf>
    <xf numFmtId="49" fontId="6" fillId="6" borderId="35" xfId="0" applyNumberFormat="1" applyFont="1" applyFill="1" applyBorder="1" applyAlignment="1">
      <alignment horizontal="right"/>
    </xf>
    <xf numFmtId="0" fontId="6" fillId="6" borderId="38" xfId="0" applyFont="1" applyFill="1" applyBorder="1"/>
    <xf numFmtId="3" fontId="6" fillId="6" borderId="19" xfId="0" applyNumberFormat="1" applyFont="1" applyFill="1" applyBorder="1" applyAlignment="1">
      <alignment horizontal="right"/>
    </xf>
    <xf numFmtId="3" fontId="6" fillId="6" borderId="48" xfId="0" applyNumberFormat="1" applyFont="1" applyFill="1" applyBorder="1" applyAlignment="1">
      <alignment horizontal="right"/>
    </xf>
    <xf numFmtId="3" fontId="6" fillId="6" borderId="20" xfId="0" applyNumberFormat="1" applyFont="1" applyFill="1" applyBorder="1" applyAlignment="1">
      <alignment horizontal="right"/>
    </xf>
    <xf numFmtId="3" fontId="3" fillId="7" borderId="16" xfId="0" applyNumberFormat="1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 horizontal="right"/>
    </xf>
    <xf numFmtId="3" fontId="3" fillId="7" borderId="9" xfId="0" applyNumberFormat="1" applyFont="1" applyFill="1" applyBorder="1" applyAlignment="1">
      <alignment horizontal="right"/>
    </xf>
    <xf numFmtId="49" fontId="4" fillId="4" borderId="56" xfId="0" applyNumberFormat="1" applyFont="1" applyFill="1" applyBorder="1" applyAlignment="1">
      <alignment horizontal="right"/>
    </xf>
    <xf numFmtId="0" fontId="6" fillId="4" borderId="52" xfId="0" applyFont="1" applyFill="1" applyBorder="1"/>
    <xf numFmtId="3" fontId="6" fillId="4" borderId="30" xfId="0" applyNumberFormat="1" applyFont="1" applyFill="1" applyBorder="1" applyAlignment="1">
      <alignment horizontal="right"/>
    </xf>
    <xf numFmtId="3" fontId="6" fillId="4" borderId="45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/>
    </xf>
    <xf numFmtId="49" fontId="4" fillId="4" borderId="35" xfId="0" applyNumberFormat="1" applyFont="1" applyFill="1" applyBorder="1" applyAlignment="1">
      <alignment horizontal="right"/>
    </xf>
    <xf numFmtId="0" fontId="6" fillId="4" borderId="38" xfId="0" applyFont="1" applyFill="1" applyBorder="1"/>
    <xf numFmtId="3" fontId="6" fillId="4" borderId="19" xfId="0" applyNumberFormat="1" applyFont="1" applyFill="1" applyBorder="1" applyAlignment="1">
      <alignment horizontal="right"/>
    </xf>
    <xf numFmtId="3" fontId="6" fillId="4" borderId="48" xfId="0" applyNumberFormat="1" applyFont="1" applyFill="1" applyBorder="1" applyAlignment="1">
      <alignment horizontal="right"/>
    </xf>
    <xf numFmtId="3" fontId="11" fillId="4" borderId="50" xfId="0" applyNumberFormat="1" applyFont="1" applyFill="1" applyBorder="1" applyAlignment="1">
      <alignment horizontal="right"/>
    </xf>
    <xf numFmtId="3" fontId="11" fillId="4" borderId="4" xfId="0" applyNumberFormat="1" applyFont="1" applyFill="1" applyBorder="1" applyAlignment="1">
      <alignment horizontal="right"/>
    </xf>
    <xf numFmtId="3" fontId="11" fillId="4" borderId="51" xfId="0" applyNumberFormat="1" applyFont="1" applyFill="1" applyBorder="1" applyAlignment="1">
      <alignment horizontal="right"/>
    </xf>
    <xf numFmtId="3" fontId="3" fillId="8" borderId="16" xfId="0" applyNumberFormat="1" applyFont="1" applyFill="1" applyBorder="1" applyAlignment="1">
      <alignment horizontal="right"/>
    </xf>
    <xf numFmtId="3" fontId="3" fillId="8" borderId="8" xfId="0" applyNumberFormat="1" applyFont="1" applyFill="1" applyBorder="1" applyAlignment="1">
      <alignment horizontal="right"/>
    </xf>
    <xf numFmtId="3" fontId="3" fillId="8" borderId="9" xfId="0" applyNumberFormat="1" applyFont="1" applyFill="1" applyBorder="1" applyAlignment="1">
      <alignment horizontal="right"/>
    </xf>
    <xf numFmtId="0" fontId="10" fillId="5" borderId="14" xfId="0" applyFont="1" applyFill="1" applyBorder="1"/>
    <xf numFmtId="3" fontId="10" fillId="5" borderId="16" xfId="0" applyNumberFormat="1" applyFont="1" applyFill="1" applyBorder="1" applyAlignment="1">
      <alignment horizontal="right"/>
    </xf>
    <xf numFmtId="3" fontId="10" fillId="5" borderId="8" xfId="0" applyNumberFormat="1" applyFont="1" applyFill="1" applyBorder="1" applyAlignment="1">
      <alignment horizontal="right"/>
    </xf>
    <xf numFmtId="3" fontId="10" fillId="5" borderId="9" xfId="0" applyNumberFormat="1" applyFont="1" applyFill="1" applyBorder="1" applyAlignment="1">
      <alignment horizontal="right"/>
    </xf>
    <xf numFmtId="3" fontId="10" fillId="9" borderId="16" xfId="0" applyNumberFormat="1" applyFont="1" applyFill="1" applyBorder="1" applyAlignment="1"/>
    <xf numFmtId="3" fontId="4" fillId="0" borderId="27" xfId="0" applyNumberFormat="1" applyFont="1" applyBorder="1" applyAlignment="1"/>
    <xf numFmtId="3" fontId="4" fillId="0" borderId="27" xfId="0" applyNumberFormat="1" applyFont="1" applyFill="1" applyBorder="1" applyAlignment="1"/>
    <xf numFmtId="0" fontId="4" fillId="0" borderId="57" xfId="0" applyFont="1" applyFill="1" applyBorder="1"/>
    <xf numFmtId="3" fontId="4" fillId="0" borderId="58" xfId="0" applyNumberFormat="1" applyFont="1" applyBorder="1" applyAlignment="1"/>
    <xf numFmtId="3" fontId="4" fillId="0" borderId="58" xfId="0" applyNumberFormat="1" applyFont="1" applyFill="1" applyBorder="1" applyAlignment="1"/>
    <xf numFmtId="0" fontId="4" fillId="0" borderId="36" xfId="0" applyFont="1" applyFill="1" applyBorder="1"/>
    <xf numFmtId="3" fontId="4" fillId="0" borderId="23" xfId="0" applyNumberFormat="1" applyFont="1" applyBorder="1" applyAlignment="1"/>
    <xf numFmtId="3" fontId="4" fillId="0" borderId="23" xfId="0" applyNumberFormat="1" applyFont="1" applyFill="1" applyBorder="1" applyAlignment="1"/>
    <xf numFmtId="0" fontId="4" fillId="0" borderId="35" xfId="0" applyFont="1" applyFill="1" applyBorder="1"/>
    <xf numFmtId="3" fontId="4" fillId="0" borderId="19" xfId="0" applyNumberFormat="1" applyFont="1" applyBorder="1" applyAlignment="1"/>
    <xf numFmtId="3" fontId="4" fillId="0" borderId="19" xfId="0" applyNumberFormat="1" applyFont="1" applyFill="1" applyBorder="1" applyAlignment="1"/>
    <xf numFmtId="0" fontId="4" fillId="0" borderId="24" xfId="0" applyFont="1" applyBorder="1"/>
    <xf numFmtId="0" fontId="5" fillId="0" borderId="18" xfId="0" applyFont="1" applyBorder="1"/>
    <xf numFmtId="49" fontId="5" fillId="0" borderId="56" xfId="0" applyNumberFormat="1" applyFont="1" applyFill="1" applyBorder="1" applyAlignment="1">
      <alignment horizontal="right"/>
    </xf>
    <xf numFmtId="0" fontId="5" fillId="0" borderId="29" xfId="0" applyFont="1" applyBorder="1"/>
    <xf numFmtId="3" fontId="5" fillId="0" borderId="30" xfId="0" applyNumberFormat="1" applyFont="1" applyFill="1" applyBorder="1" applyAlignment="1"/>
    <xf numFmtId="49" fontId="5" fillId="0" borderId="21" xfId="0" applyNumberFormat="1" applyFont="1" applyFill="1" applyBorder="1" applyAlignment="1">
      <alignment horizontal="right"/>
    </xf>
    <xf numFmtId="0" fontId="5" fillId="0" borderId="22" xfId="0" applyFont="1" applyBorder="1"/>
    <xf numFmtId="3" fontId="5" fillId="0" borderId="23" xfId="0" applyNumberFormat="1" applyFont="1" applyFill="1" applyBorder="1" applyAlignment="1"/>
    <xf numFmtId="49" fontId="5" fillId="0" borderId="25" xfId="0" applyNumberFormat="1" applyFont="1" applyFill="1" applyBorder="1" applyAlignment="1">
      <alignment horizontal="right"/>
    </xf>
    <xf numFmtId="0" fontId="5" fillId="0" borderId="26" xfId="0" applyFont="1" applyBorder="1"/>
    <xf numFmtId="3" fontId="5" fillId="0" borderId="27" xfId="0" applyNumberFormat="1" applyFont="1" applyFill="1" applyBorder="1" applyAlignment="1"/>
    <xf numFmtId="3" fontId="5" fillId="0" borderId="12" xfId="0" applyNumberFormat="1" applyFont="1" applyFill="1" applyBorder="1" applyAlignment="1"/>
    <xf numFmtId="49" fontId="5" fillId="0" borderId="35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/>
    <xf numFmtId="49" fontId="5" fillId="0" borderId="61" xfId="0" applyNumberFormat="1" applyFont="1" applyFill="1" applyBorder="1" applyAlignment="1">
      <alignment horizontal="right"/>
    </xf>
    <xf numFmtId="0" fontId="5" fillId="0" borderId="44" xfId="0" applyFont="1" applyBorder="1"/>
    <xf numFmtId="3" fontId="5" fillId="0" borderId="53" xfId="0" applyNumberFormat="1" applyFont="1" applyFill="1" applyBorder="1" applyAlignment="1"/>
    <xf numFmtId="49" fontId="5" fillId="0" borderId="32" xfId="0" applyNumberFormat="1" applyFont="1" applyFill="1" applyBorder="1" applyAlignment="1">
      <alignment horizontal="right"/>
    </xf>
    <xf numFmtId="0" fontId="5" fillId="0" borderId="33" xfId="0" applyFont="1" applyBorder="1"/>
    <xf numFmtId="3" fontId="5" fillId="0" borderId="58" xfId="0" applyNumberFormat="1" applyFont="1" applyFill="1" applyBorder="1" applyAlignment="1"/>
    <xf numFmtId="49" fontId="5" fillId="0" borderId="22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5" fillId="0" borderId="36" xfId="0" applyNumberFormat="1" applyFont="1" applyBorder="1" applyAlignment="1">
      <alignment horizontal="right"/>
    </xf>
    <xf numFmtId="49" fontId="5" fillId="0" borderId="18" xfId="0" applyNumberFormat="1" applyFont="1" applyFill="1" applyBorder="1" applyAlignment="1">
      <alignment horizontal="left"/>
    </xf>
    <xf numFmtId="49" fontId="5" fillId="0" borderId="60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49" fontId="5" fillId="0" borderId="44" xfId="0" applyNumberFormat="1" applyFont="1" applyFill="1" applyBorder="1" applyAlignment="1">
      <alignment horizontal="left"/>
    </xf>
    <xf numFmtId="49" fontId="5" fillId="0" borderId="57" xfId="0" applyNumberFormat="1" applyFont="1" applyBorder="1" applyAlignment="1">
      <alignment horizontal="right"/>
    </xf>
    <xf numFmtId="49" fontId="5" fillId="0" borderId="33" xfId="0" applyNumberFormat="1" applyFont="1" applyFill="1" applyBorder="1" applyAlignment="1">
      <alignment horizontal="left"/>
    </xf>
    <xf numFmtId="49" fontId="5" fillId="0" borderId="21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5" fillId="0" borderId="28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0" fontId="14" fillId="0" borderId="11" xfId="0" applyFont="1" applyBorder="1"/>
    <xf numFmtId="49" fontId="5" fillId="0" borderId="25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3" fontId="5" fillId="0" borderId="0" xfId="0" applyNumberFormat="1" applyFont="1" applyBorder="1" applyAlignment="1"/>
    <xf numFmtId="0" fontId="2" fillId="0" borderId="0" xfId="0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57" xfId="0" applyFont="1" applyBorder="1"/>
    <xf numFmtId="0" fontId="2" fillId="0" borderId="33" xfId="0" applyFont="1" applyFill="1" applyBorder="1"/>
    <xf numFmtId="3" fontId="7" fillId="0" borderId="31" xfId="0" applyNumberFormat="1" applyFont="1" applyFill="1" applyBorder="1" applyAlignment="1">
      <alignment horizontal="right"/>
    </xf>
    <xf numFmtId="0" fontId="2" fillId="0" borderId="60" xfId="0" applyFont="1" applyBorder="1"/>
    <xf numFmtId="0" fontId="2" fillId="0" borderId="26" xfId="0" applyFont="1" applyFill="1" applyBorder="1"/>
    <xf numFmtId="3" fontId="7" fillId="0" borderId="6" xfId="0" applyNumberFormat="1" applyFont="1" applyFill="1" applyBorder="1" applyAlignment="1">
      <alignment horizontal="right"/>
    </xf>
    <xf numFmtId="0" fontId="15" fillId="0" borderId="56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left"/>
    </xf>
    <xf numFmtId="0" fontId="15" fillId="0" borderId="35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16" fillId="0" borderId="10" xfId="0" applyFont="1" applyBorder="1"/>
    <xf numFmtId="0" fontId="4" fillId="0" borderId="11" xfId="0" applyFont="1" applyBorder="1"/>
    <xf numFmtId="0" fontId="4" fillId="0" borderId="0" xfId="0" applyFont="1" applyBorder="1"/>
    <xf numFmtId="0" fontId="18" fillId="0" borderId="28" xfId="0" applyFont="1" applyBorder="1"/>
    <xf numFmtId="3" fontId="4" fillId="0" borderId="5" xfId="0" applyNumberFormat="1" applyFont="1" applyBorder="1"/>
    <xf numFmtId="0" fontId="18" fillId="0" borderId="21" xfId="0" applyFont="1" applyBorder="1"/>
    <xf numFmtId="0" fontId="2" fillId="0" borderId="22" xfId="0" applyFont="1" applyBorder="1" applyAlignment="1">
      <alignment horizontal="center"/>
    </xf>
    <xf numFmtId="3" fontId="4" fillId="0" borderId="24" xfId="0" applyNumberFormat="1" applyFont="1" applyBorder="1"/>
    <xf numFmtId="3" fontId="10" fillId="10" borderId="24" xfId="0" applyNumberFormat="1" applyFont="1" applyFill="1" applyBorder="1"/>
    <xf numFmtId="0" fontId="18" fillId="0" borderId="36" xfId="0" applyFont="1" applyBorder="1" applyAlignment="1">
      <alignment horizontal="left"/>
    </xf>
    <xf numFmtId="0" fontId="18" fillId="0" borderId="49" xfId="0" applyFont="1" applyBorder="1" applyAlignment="1">
      <alignment horizontal="left"/>
    </xf>
    <xf numFmtId="3" fontId="4" fillId="0" borderId="24" xfId="0" applyNumberFormat="1" applyFont="1" applyFill="1" applyBorder="1"/>
    <xf numFmtId="3" fontId="10" fillId="10" borderId="31" xfId="0" applyNumberFormat="1" applyFont="1" applyFill="1" applyBorder="1"/>
    <xf numFmtId="0" fontId="20" fillId="2" borderId="7" xfId="0" applyFont="1" applyFill="1" applyBorder="1" applyAlignment="1"/>
    <xf numFmtId="0" fontId="21" fillId="2" borderId="8" xfId="0" applyFont="1" applyFill="1" applyBorder="1" applyAlignment="1"/>
    <xf numFmtId="3" fontId="10" fillId="2" borderId="9" xfId="0" applyNumberFormat="1" applyFont="1" applyFill="1" applyBorder="1"/>
    <xf numFmtId="0" fontId="2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10" xfId="0" applyFont="1" applyFill="1" applyBorder="1"/>
    <xf numFmtId="3" fontId="8" fillId="0" borderId="13" xfId="0" applyNumberFormat="1" applyFont="1" applyFill="1" applyBorder="1"/>
    <xf numFmtId="0" fontId="2" fillId="0" borderId="47" xfId="0" applyFont="1" applyBorder="1"/>
    <xf numFmtId="0" fontId="2" fillId="0" borderId="38" xfId="0" applyFont="1" applyBorder="1"/>
    <xf numFmtId="0" fontId="2" fillId="0" borderId="37" xfId="0" applyFont="1" applyBorder="1"/>
    <xf numFmtId="0" fontId="2" fillId="0" borderId="39" xfId="0" applyFont="1" applyBorder="1"/>
    <xf numFmtId="3" fontId="3" fillId="2" borderId="16" xfId="0" applyNumberFormat="1" applyFont="1" applyFill="1" applyBorder="1" applyAlignment="1">
      <alignment horizontal="right"/>
    </xf>
    <xf numFmtId="3" fontId="3" fillId="2" borderId="64" xfId="0" applyNumberFormat="1" applyFont="1" applyFill="1" applyBorder="1" applyAlignment="1">
      <alignment horizontal="right"/>
    </xf>
    <xf numFmtId="0" fontId="2" fillId="0" borderId="2" xfId="0" applyFont="1" applyBorder="1"/>
    <xf numFmtId="0" fontId="2" fillId="0" borderId="12" xfId="0" applyFont="1" applyBorder="1"/>
    <xf numFmtId="0" fontId="4" fillId="2" borderId="47" xfId="0" applyFont="1" applyFill="1" applyBorder="1"/>
    <xf numFmtId="0" fontId="8" fillId="0" borderId="37" xfId="0" applyFont="1" applyFill="1" applyBorder="1"/>
    <xf numFmtId="0" fontId="8" fillId="0" borderId="34" xfId="0" applyFont="1" applyFill="1" applyBorder="1"/>
    <xf numFmtId="0" fontId="2" fillId="0" borderId="37" xfId="0" applyFont="1" applyFill="1" applyBorder="1"/>
    <xf numFmtId="0" fontId="6" fillId="0" borderId="37" xfId="0" applyFont="1" applyFill="1" applyBorder="1"/>
    <xf numFmtId="0" fontId="2" fillId="2" borderId="47" xfId="0" applyFont="1" applyFill="1" applyBorder="1"/>
    <xf numFmtId="0" fontId="8" fillId="0" borderId="46" xfId="0" applyFont="1" applyFill="1" applyBorder="1"/>
    <xf numFmtId="3" fontId="2" fillId="0" borderId="48" xfId="0" applyNumberFormat="1" applyFont="1" applyBorder="1"/>
    <xf numFmtId="0" fontId="4" fillId="0" borderId="48" xfId="0" applyFont="1" applyBorder="1"/>
    <xf numFmtId="0" fontId="9" fillId="4" borderId="49" xfId="0" applyFont="1" applyFill="1" applyBorder="1"/>
    <xf numFmtId="3" fontId="8" fillId="0" borderId="23" xfId="0" applyNumberFormat="1" applyFont="1" applyFill="1" applyBorder="1"/>
    <xf numFmtId="3" fontId="8" fillId="0" borderId="19" xfId="0" applyNumberFormat="1" applyFont="1" applyFill="1" applyBorder="1"/>
    <xf numFmtId="3" fontId="2" fillId="0" borderId="19" xfId="0" applyNumberFormat="1" applyFont="1" applyBorder="1"/>
    <xf numFmtId="3" fontId="4" fillId="0" borderId="19" xfId="0" applyNumberFormat="1" applyFont="1" applyBorder="1"/>
    <xf numFmtId="3" fontId="8" fillId="0" borderId="12" xfId="0" applyNumberFormat="1" applyFont="1" applyFill="1" applyBorder="1"/>
    <xf numFmtId="3" fontId="4" fillId="0" borderId="27" xfId="0" applyNumberFormat="1" applyFont="1" applyBorder="1"/>
    <xf numFmtId="3" fontId="8" fillId="0" borderId="27" xfId="0" applyNumberFormat="1" applyFont="1" applyFill="1" applyBorder="1"/>
    <xf numFmtId="3" fontId="2" fillId="0" borderId="23" xfId="0" applyNumberFormat="1" applyFont="1" applyFill="1" applyBorder="1"/>
    <xf numFmtId="3" fontId="6" fillId="0" borderId="23" xfId="0" applyNumberFormat="1" applyFont="1" applyFill="1" applyBorder="1"/>
    <xf numFmtId="3" fontId="9" fillId="4" borderId="23" xfId="0" applyNumberFormat="1" applyFont="1" applyFill="1" applyBorder="1"/>
    <xf numFmtId="3" fontId="10" fillId="2" borderId="16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6" fillId="0" borderId="49" xfId="0" applyNumberFormat="1" applyFont="1" applyFill="1" applyBorder="1"/>
    <xf numFmtId="3" fontId="8" fillId="0" borderId="49" xfId="0" applyNumberFormat="1" applyFont="1" applyFill="1" applyBorder="1"/>
    <xf numFmtId="3" fontId="8" fillId="0" borderId="48" xfId="0" applyNumberFormat="1" applyFont="1" applyFill="1" applyBorder="1"/>
    <xf numFmtId="3" fontId="5" fillId="0" borderId="48" xfId="0" applyNumberFormat="1" applyFont="1" applyBorder="1"/>
    <xf numFmtId="3" fontId="7" fillId="0" borderId="49" xfId="0" applyNumberFormat="1" applyFont="1" applyBorder="1"/>
    <xf numFmtId="3" fontId="7" fillId="0" borderId="2" xfId="0" applyNumberFormat="1" applyFont="1" applyBorder="1"/>
    <xf numFmtId="3" fontId="2" fillId="0" borderId="46" xfId="0" applyNumberFormat="1" applyFont="1" applyBorder="1"/>
    <xf numFmtId="3" fontId="7" fillId="0" borderId="48" xfId="0" applyNumberFormat="1" applyFont="1" applyBorder="1"/>
    <xf numFmtId="3" fontId="2" fillId="0" borderId="49" xfId="0" applyNumberFormat="1" applyFont="1" applyFill="1" applyBorder="1"/>
    <xf numFmtId="3" fontId="7" fillId="0" borderId="49" xfId="0" applyNumberFormat="1" applyFont="1" applyFill="1" applyBorder="1"/>
    <xf numFmtId="3" fontId="10" fillId="2" borderId="8" xfId="0" applyNumberFormat="1" applyFont="1" applyFill="1" applyBorder="1" applyAlignment="1">
      <alignment horizontal="right"/>
    </xf>
    <xf numFmtId="3" fontId="2" fillId="0" borderId="27" xfId="0" applyNumberFormat="1" applyFont="1" applyBorder="1"/>
    <xf numFmtId="3" fontId="7" fillId="0" borderId="19" xfId="0" applyNumberFormat="1" applyFont="1" applyFill="1" applyBorder="1"/>
    <xf numFmtId="3" fontId="7" fillId="0" borderId="23" xfId="0" applyNumberFormat="1" applyFont="1" applyFill="1" applyBorder="1"/>
    <xf numFmtId="3" fontId="2" fillId="0" borderId="19" xfId="0" applyNumberFormat="1" applyFont="1" applyFill="1" applyBorder="1"/>
    <xf numFmtId="3" fontId="6" fillId="6" borderId="52" xfId="0" applyNumberFormat="1" applyFont="1" applyFill="1" applyBorder="1" applyAlignment="1">
      <alignment horizontal="right"/>
    </xf>
    <xf numFmtId="3" fontId="6" fillId="6" borderId="36" xfId="0" applyNumberFormat="1" applyFont="1" applyFill="1" applyBorder="1" applyAlignment="1">
      <alignment horizontal="right"/>
    </xf>
    <xf numFmtId="3" fontId="6" fillId="6" borderId="60" xfId="0" applyNumberFormat="1" applyFont="1" applyFill="1" applyBorder="1" applyAlignment="1">
      <alignment horizontal="right"/>
    </xf>
    <xf numFmtId="3" fontId="6" fillId="6" borderId="35" xfId="0" applyNumberFormat="1" applyFont="1" applyFill="1" applyBorder="1" applyAlignment="1">
      <alignment horizontal="right"/>
    </xf>
    <xf numFmtId="3" fontId="3" fillId="7" borderId="7" xfId="0" applyNumberFormat="1" applyFont="1" applyFill="1" applyBorder="1" applyAlignment="1">
      <alignment horizontal="right"/>
    </xf>
    <xf numFmtId="0" fontId="2" fillId="0" borderId="18" xfId="0" applyFont="1" applyFill="1" applyBorder="1"/>
    <xf numFmtId="0" fontId="2" fillId="0" borderId="56" xfId="0" applyFont="1" applyBorder="1"/>
    <xf numFmtId="0" fontId="2" fillId="0" borderId="29" xfId="0" applyFont="1" applyFill="1" applyBorder="1"/>
    <xf numFmtId="3" fontId="7" fillId="0" borderId="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6" xfId="0" applyFill="1" applyBorder="1"/>
    <xf numFmtId="49" fontId="5" fillId="0" borderId="7" xfId="0" applyNumberFormat="1" applyFont="1" applyFill="1" applyBorder="1" applyAlignment="1">
      <alignment horizontal="right"/>
    </xf>
    <xf numFmtId="0" fontId="5" fillId="0" borderId="15" xfId="0" applyFont="1" applyBorder="1"/>
    <xf numFmtId="3" fontId="5" fillId="0" borderId="16" xfId="0" applyNumberFormat="1" applyFont="1" applyFill="1" applyBorder="1" applyAlignment="1"/>
    <xf numFmtId="3" fontId="4" fillId="0" borderId="53" xfId="0" applyNumberFormat="1" applyFont="1" applyFill="1" applyBorder="1" applyAlignment="1"/>
    <xf numFmtId="0" fontId="7" fillId="0" borderId="0" xfId="0" applyFont="1" applyFill="1"/>
    <xf numFmtId="0" fontId="3" fillId="3" borderId="3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3" fontId="8" fillId="0" borderId="65" xfId="0" applyNumberFormat="1" applyFont="1" applyFill="1" applyBorder="1"/>
    <xf numFmtId="3" fontId="8" fillId="0" borderId="66" xfId="0" applyNumberFormat="1" applyFont="1" applyFill="1" applyBorder="1"/>
    <xf numFmtId="3" fontId="2" fillId="0" borderId="66" xfId="0" applyNumberFormat="1" applyFont="1" applyBorder="1"/>
    <xf numFmtId="3" fontId="5" fillId="0" borderId="66" xfId="0" applyNumberFormat="1" applyFont="1" applyBorder="1"/>
    <xf numFmtId="3" fontId="8" fillId="0" borderId="67" xfId="0" applyNumberFormat="1" applyFont="1" applyFill="1" applyBorder="1"/>
    <xf numFmtId="3" fontId="8" fillId="0" borderId="68" xfId="0" applyNumberFormat="1" applyFont="1" applyFill="1" applyBorder="1"/>
    <xf numFmtId="3" fontId="2" fillId="0" borderId="66" xfId="0" applyNumberFormat="1" applyFont="1" applyFill="1" applyBorder="1"/>
    <xf numFmtId="3" fontId="9" fillId="4" borderId="65" xfId="0" applyNumberFormat="1" applyFont="1" applyFill="1" applyBorder="1"/>
    <xf numFmtId="3" fontId="4" fillId="0" borderId="67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66" xfId="0" applyNumberFormat="1" applyFont="1" applyFill="1" applyBorder="1" applyAlignment="1">
      <alignment horizontal="right"/>
    </xf>
    <xf numFmtId="3" fontId="7" fillId="0" borderId="46" xfId="0" applyNumberFormat="1" applyFont="1" applyBorder="1"/>
    <xf numFmtId="49" fontId="5" fillId="0" borderId="24" xfId="0" applyNumberFormat="1" applyFont="1" applyFill="1" applyBorder="1" applyAlignment="1">
      <alignment horizontal="left"/>
    </xf>
    <xf numFmtId="0" fontId="5" fillId="0" borderId="24" xfId="0" applyFont="1" applyFill="1" applyBorder="1"/>
    <xf numFmtId="49" fontId="5" fillId="0" borderId="32" xfId="0" applyNumberFormat="1" applyFont="1" applyBorder="1" applyAlignment="1">
      <alignment horizontal="right"/>
    </xf>
    <xf numFmtId="0" fontId="5" fillId="0" borderId="24" xfId="0" applyFont="1" applyBorder="1"/>
    <xf numFmtId="0" fontId="2" fillId="0" borderId="36" xfId="0" applyFont="1" applyBorder="1"/>
    <xf numFmtId="0" fontId="2" fillId="0" borderId="22" xfId="0" applyFont="1" applyFill="1" applyBorder="1"/>
    <xf numFmtId="3" fontId="3" fillId="5" borderId="51" xfId="0" applyNumberFormat="1" applyFont="1" applyFill="1" applyBorder="1" applyAlignment="1">
      <alignment horizontal="right"/>
    </xf>
    <xf numFmtId="3" fontId="3" fillId="5" borderId="7" xfId="0" applyNumberFormat="1" applyFont="1" applyFill="1" applyBorder="1" applyAlignment="1">
      <alignment horizontal="right"/>
    </xf>
    <xf numFmtId="0" fontId="4" fillId="0" borderId="7" xfId="0" applyFont="1" applyFill="1" applyBorder="1"/>
    <xf numFmtId="0" fontId="4" fillId="0" borderId="15" xfId="0" applyFont="1" applyBorder="1"/>
    <xf numFmtId="49" fontId="5" fillId="0" borderId="36" xfId="0" applyNumberFormat="1" applyFont="1" applyFill="1" applyBorder="1" applyAlignment="1">
      <alignment horizontal="right"/>
    </xf>
    <xf numFmtId="49" fontId="5" fillId="0" borderId="39" xfId="0" applyNumberFormat="1" applyFont="1" applyFill="1" applyBorder="1" applyAlignment="1">
      <alignment horizontal="left"/>
    </xf>
    <xf numFmtId="0" fontId="5" fillId="0" borderId="11" xfId="0" applyFont="1" applyBorder="1"/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3" fontId="10" fillId="12" borderId="9" xfId="0" applyNumberFormat="1" applyFont="1" applyFill="1" applyBorder="1" applyAlignment="1">
      <alignment horizontal="right"/>
    </xf>
    <xf numFmtId="0" fontId="8" fillId="0" borderId="38" xfId="0" applyFont="1" applyFill="1" applyBorder="1"/>
    <xf numFmtId="3" fontId="11" fillId="4" borderId="42" xfId="0" applyNumberFormat="1" applyFont="1" applyFill="1" applyBorder="1" applyAlignment="1">
      <alignment horizontal="right"/>
    </xf>
    <xf numFmtId="0" fontId="6" fillId="4" borderId="56" xfId="0" applyFont="1" applyFill="1" applyBorder="1" applyAlignment="1">
      <alignment horizontal="left"/>
    </xf>
    <xf numFmtId="3" fontId="11" fillId="4" borderId="5" xfId="0" applyNumberFormat="1" applyFont="1" applyFill="1" applyBorder="1" applyAlignment="1">
      <alignment horizontal="right"/>
    </xf>
    <xf numFmtId="3" fontId="6" fillId="4" borderId="27" xfId="0" applyNumberFormat="1" applyFont="1" applyFill="1" applyBorder="1" applyAlignment="1">
      <alignment horizontal="right"/>
    </xf>
    <xf numFmtId="3" fontId="6" fillId="4" borderId="6" xfId="0" applyNumberFormat="1" applyFont="1" applyFill="1" applyBorder="1" applyAlignment="1">
      <alignment horizontal="right"/>
    </xf>
    <xf numFmtId="3" fontId="4" fillId="0" borderId="53" xfId="0" applyNumberFormat="1" applyFont="1" applyBorder="1" applyAlignment="1"/>
    <xf numFmtId="3" fontId="4" fillId="0" borderId="16" xfId="0" applyNumberFormat="1" applyFont="1" applyBorder="1" applyAlignment="1"/>
    <xf numFmtId="3" fontId="4" fillId="0" borderId="16" xfId="0" applyNumberFormat="1" applyFont="1" applyFill="1" applyBorder="1" applyAlignment="1"/>
    <xf numFmtId="0" fontId="14" fillId="0" borderId="24" xfId="0" applyFont="1" applyFill="1" applyBorder="1"/>
    <xf numFmtId="0" fontId="2" fillId="13" borderId="1" xfId="0" applyFont="1" applyFill="1" applyBorder="1"/>
    <xf numFmtId="0" fontId="2" fillId="13" borderId="11" xfId="0" applyFont="1" applyFill="1" applyBorder="1"/>
    <xf numFmtId="3" fontId="7" fillId="13" borderId="13" xfId="0" applyNumberFormat="1" applyFont="1" applyFill="1" applyBorder="1" applyAlignment="1">
      <alignment horizontal="right"/>
    </xf>
    <xf numFmtId="0" fontId="2" fillId="0" borderId="46" xfId="0" applyFont="1" applyFill="1" applyBorder="1"/>
    <xf numFmtId="3" fontId="0" fillId="0" borderId="0" xfId="0" applyNumberFormat="1"/>
    <xf numFmtId="0" fontId="0" fillId="0" borderId="16" xfId="0" applyBorder="1"/>
    <xf numFmtId="3" fontId="5" fillId="14" borderId="23" xfId="0" applyNumberFormat="1" applyFont="1" applyFill="1" applyBorder="1" applyAlignment="1"/>
    <xf numFmtId="0" fontId="25" fillId="0" borderId="0" xfId="0" applyFont="1"/>
    <xf numFmtId="0" fontId="26" fillId="15" borderId="16" xfId="0" applyFont="1" applyFill="1" applyBorder="1" applyAlignment="1">
      <alignment horizontal="center" vertical="center"/>
    </xf>
    <xf numFmtId="3" fontId="26" fillId="15" borderId="16" xfId="0" applyNumberFormat="1" applyFont="1" applyFill="1" applyBorder="1" applyAlignment="1">
      <alignment horizontal="center" vertical="center" wrapText="1"/>
    </xf>
    <xf numFmtId="3" fontId="26" fillId="15" borderId="16" xfId="0" applyNumberFormat="1" applyFont="1" applyFill="1" applyBorder="1" applyAlignment="1">
      <alignment horizontal="center" vertical="center"/>
    </xf>
    <xf numFmtId="3" fontId="27" fillId="16" borderId="1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right"/>
    </xf>
    <xf numFmtId="0" fontId="5" fillId="0" borderId="19" xfId="0" applyFont="1" applyBorder="1"/>
    <xf numFmtId="3" fontId="29" fillId="16" borderId="19" xfId="0" applyNumberFormat="1" applyFont="1" applyFill="1" applyBorder="1"/>
    <xf numFmtId="3" fontId="30" fillId="0" borderId="0" xfId="0" applyNumberFormat="1" applyFont="1"/>
    <xf numFmtId="0" fontId="28" fillId="0" borderId="14" xfId="0" applyFont="1" applyBorder="1"/>
    <xf numFmtId="0" fontId="28" fillId="0" borderId="15" xfId="0" applyFont="1" applyBorder="1"/>
    <xf numFmtId="0" fontId="28" fillId="0" borderId="9" xfId="0" applyFont="1" applyBorder="1"/>
    <xf numFmtId="49" fontId="5" fillId="0" borderId="23" xfId="0" applyNumberFormat="1" applyFont="1" applyFill="1" applyBorder="1" applyAlignment="1">
      <alignment horizontal="right"/>
    </xf>
    <xf numFmtId="0" fontId="31" fillId="0" borderId="21" xfId="0" applyFont="1" applyBorder="1"/>
    <xf numFmtId="3" fontId="32" fillId="0" borderId="22" xfId="0" applyNumberFormat="1" applyFont="1" applyFill="1" applyBorder="1" applyAlignment="1">
      <alignment horizontal="right"/>
    </xf>
    <xf numFmtId="49" fontId="5" fillId="0" borderId="30" xfId="0" applyNumberFormat="1" applyFont="1" applyFill="1" applyBorder="1" applyAlignment="1">
      <alignment horizontal="right"/>
    </xf>
    <xf numFmtId="0" fontId="5" fillId="0" borderId="5" xfId="0" applyFont="1" applyBorder="1"/>
    <xf numFmtId="3" fontId="0" fillId="0" borderId="30" xfId="0" applyNumberFormat="1" applyFill="1" applyBorder="1"/>
    <xf numFmtId="3" fontId="29" fillId="16" borderId="30" xfId="0" applyNumberFormat="1" applyFont="1" applyFill="1" applyBorder="1"/>
    <xf numFmtId="0" fontId="31" fillId="0" borderId="21" xfId="0" applyFont="1" applyFill="1" applyBorder="1"/>
    <xf numFmtId="3" fontId="29" fillId="16" borderId="23" xfId="0" applyNumberFormat="1" applyFont="1" applyFill="1" applyBorder="1"/>
    <xf numFmtId="49" fontId="5" fillId="0" borderId="53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right"/>
    </xf>
    <xf numFmtId="3" fontId="5" fillId="17" borderId="27" xfId="0" applyNumberFormat="1" applyFont="1" applyFill="1" applyBorder="1" applyAlignment="1"/>
    <xf numFmtId="3" fontId="29" fillId="16" borderId="27" xfId="0" applyNumberFormat="1" applyFont="1" applyFill="1" applyBorder="1"/>
    <xf numFmtId="3" fontId="31" fillId="0" borderId="22" xfId="0" applyNumberFormat="1" applyFont="1" applyFill="1" applyBorder="1" applyAlignment="1">
      <alignment horizontal="right"/>
    </xf>
    <xf numFmtId="49" fontId="5" fillId="14" borderId="23" xfId="0" applyNumberFormat="1" applyFont="1" applyFill="1" applyBorder="1" applyAlignment="1">
      <alignment horizontal="right"/>
    </xf>
    <xf numFmtId="49" fontId="5" fillId="14" borderId="23" xfId="0" applyNumberFormat="1" applyFont="1" applyFill="1" applyBorder="1" applyAlignment="1">
      <alignment horizontal="left"/>
    </xf>
    <xf numFmtId="49" fontId="5" fillId="0" borderId="58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left"/>
    </xf>
    <xf numFmtId="3" fontId="29" fillId="16" borderId="12" xfId="0" applyNumberFormat="1" applyFont="1" applyFill="1" applyBorder="1"/>
    <xf numFmtId="49" fontId="5" fillId="0" borderId="58" xfId="0" applyNumberFormat="1" applyFont="1" applyFill="1" applyBorder="1" applyAlignment="1">
      <alignment horizontal="left"/>
    </xf>
    <xf numFmtId="0" fontId="5" fillId="0" borderId="53" xfId="0" applyFont="1" applyFill="1" applyBorder="1"/>
    <xf numFmtId="0" fontId="5" fillId="0" borderId="11" xfId="0" applyFont="1" applyFill="1" applyBorder="1"/>
    <xf numFmtId="3" fontId="36" fillId="15" borderId="64" xfId="0" applyNumberFormat="1" applyFont="1" applyFill="1" applyBorder="1"/>
    <xf numFmtId="3" fontId="35" fillId="0" borderId="19" xfId="0" applyNumberFormat="1" applyFont="1" applyFill="1" applyBorder="1" applyAlignment="1"/>
    <xf numFmtId="0" fontId="5" fillId="0" borderId="20" xfId="0" applyFont="1" applyBorder="1"/>
    <xf numFmtId="3" fontId="0" fillId="0" borderId="19" xfId="0" applyNumberFormat="1" applyFill="1" applyBorder="1"/>
    <xf numFmtId="49" fontId="35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/>
    <xf numFmtId="3" fontId="36" fillId="0" borderId="0" xfId="0" applyNumberFormat="1" applyFont="1" applyFill="1" applyBorder="1"/>
    <xf numFmtId="3" fontId="38" fillId="0" borderId="0" xfId="0" applyNumberFormat="1" applyFont="1"/>
    <xf numFmtId="3" fontId="12" fillId="0" borderId="0" xfId="0" applyNumberFormat="1" applyFont="1" applyFill="1" applyBorder="1"/>
    <xf numFmtId="3" fontId="30" fillId="0" borderId="0" xfId="0" applyNumberFormat="1" applyFont="1" applyFill="1"/>
    <xf numFmtId="0" fontId="0" fillId="0" borderId="0" xfId="0" applyFill="1"/>
    <xf numFmtId="3" fontId="25" fillId="0" borderId="0" xfId="0" applyNumberFormat="1" applyFont="1"/>
    <xf numFmtId="3" fontId="40" fillId="0" borderId="0" xfId="0" applyNumberFormat="1" applyFont="1"/>
    <xf numFmtId="3" fontId="35" fillId="0" borderId="0" xfId="0" applyNumberFormat="1" applyFont="1"/>
    <xf numFmtId="0" fontId="25" fillId="0" borderId="0" xfId="0" applyFont="1" applyFill="1"/>
    <xf numFmtId="0" fontId="33" fillId="0" borderId="32" xfId="0" applyFont="1" applyFill="1" applyBorder="1"/>
    <xf numFmtId="3" fontId="33" fillId="0" borderId="33" xfId="0" applyNumberFormat="1" applyFont="1" applyFill="1" applyBorder="1" applyAlignment="1">
      <alignment horizontal="right"/>
    </xf>
    <xf numFmtId="0" fontId="28" fillId="14" borderId="14" xfId="0" applyFont="1" applyFill="1" applyBorder="1"/>
    <xf numFmtId="3" fontId="34" fillId="14" borderId="15" xfId="0" applyNumberFormat="1" applyFont="1" applyFill="1" applyBorder="1" applyAlignment="1">
      <alignment horizontal="right"/>
    </xf>
    <xf numFmtId="43" fontId="28" fillId="14" borderId="9" xfId="1" applyNumberFormat="1" applyFont="1" applyFill="1" applyBorder="1"/>
    <xf numFmtId="3" fontId="39" fillId="0" borderId="0" xfId="0" applyNumberFormat="1" applyFont="1" applyBorder="1"/>
    <xf numFmtId="49" fontId="5" fillId="0" borderId="16" xfId="0" applyNumberFormat="1" applyFont="1" applyFill="1" applyBorder="1" applyAlignment="1">
      <alignment horizontal="right"/>
    </xf>
    <xf numFmtId="0" fontId="5" fillId="0" borderId="16" xfId="0" applyFont="1" applyFill="1" applyBorder="1"/>
    <xf numFmtId="3" fontId="29" fillId="16" borderId="16" xfId="0" applyNumberFormat="1" applyFont="1" applyFill="1" applyBorder="1"/>
    <xf numFmtId="49" fontId="5" fillId="17" borderId="26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4" fillId="0" borderId="29" xfId="0" applyFont="1" applyBorder="1"/>
    <xf numFmtId="0" fontId="6" fillId="0" borderId="22" xfId="0" applyFont="1" applyFill="1" applyBorder="1" applyAlignment="1">
      <alignment horizontal="left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/>
    <xf numFmtId="0" fontId="41" fillId="0" borderId="0" xfId="0" applyFont="1" applyAlignment="1">
      <alignment horizontal="right" vertical="center"/>
    </xf>
    <xf numFmtId="3" fontId="41" fillId="0" borderId="0" xfId="0" applyNumberFormat="1" applyFont="1"/>
    <xf numFmtId="3" fontId="6" fillId="0" borderId="48" xfId="0" applyNumberFormat="1" applyFont="1" applyFill="1" applyBorder="1"/>
    <xf numFmtId="3" fontId="6" fillId="0" borderId="46" xfId="0" applyNumberFormat="1" applyFont="1" applyFill="1" applyBorder="1"/>
    <xf numFmtId="0" fontId="4" fillId="0" borderId="46" xfId="0" applyFont="1" applyBorder="1"/>
    <xf numFmtId="3" fontId="2" fillId="0" borderId="27" xfId="0" applyNumberFormat="1" applyFont="1" applyFill="1" applyBorder="1"/>
    <xf numFmtId="0" fontId="9" fillId="4" borderId="17" xfId="0" applyFont="1" applyFill="1" applyBorder="1"/>
    <xf numFmtId="0" fontId="9" fillId="4" borderId="18" xfId="0" applyFont="1" applyFill="1" applyBorder="1"/>
    <xf numFmtId="0" fontId="9" fillId="4" borderId="48" xfId="0" applyFont="1" applyFill="1" applyBorder="1"/>
    <xf numFmtId="3" fontId="9" fillId="4" borderId="19" xfId="0" applyNumberFormat="1" applyFont="1" applyFill="1" applyBorder="1"/>
    <xf numFmtId="3" fontId="9" fillId="4" borderId="66" xfId="0" applyNumberFormat="1" applyFont="1" applyFill="1" applyBorder="1"/>
    <xf numFmtId="3" fontId="9" fillId="4" borderId="20" xfId="0" applyNumberFormat="1" applyFont="1" applyFill="1" applyBorder="1"/>
    <xf numFmtId="3" fontId="2" fillId="0" borderId="68" xfId="0" applyNumberFormat="1" applyFont="1" applyFill="1" applyBorder="1"/>
    <xf numFmtId="43" fontId="31" fillId="0" borderId="24" xfId="1" applyNumberFormat="1" applyFont="1" applyBorder="1"/>
    <xf numFmtId="164" fontId="31" fillId="0" borderId="24" xfId="1" applyNumberFormat="1" applyFont="1" applyBorder="1"/>
    <xf numFmtId="49" fontId="5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left"/>
    </xf>
    <xf numFmtId="3" fontId="30" fillId="0" borderId="0" xfId="0" applyNumberFormat="1" applyFont="1" applyBorder="1"/>
    <xf numFmtId="164" fontId="31" fillId="0" borderId="24" xfId="1" applyNumberFormat="1" applyFont="1" applyFill="1" applyBorder="1" applyAlignment="1">
      <alignment horizontal="left"/>
    </xf>
    <xf numFmtId="164" fontId="31" fillId="0" borderId="24" xfId="1" applyNumberFormat="1" applyFont="1" applyFill="1" applyBorder="1"/>
    <xf numFmtId="0" fontId="31" fillId="0" borderId="32" xfId="0" applyFont="1" applyFill="1" applyBorder="1"/>
    <xf numFmtId="3" fontId="31" fillId="0" borderId="33" xfId="0" applyNumberFormat="1" applyFont="1" applyFill="1" applyBorder="1" applyAlignment="1">
      <alignment horizontal="right"/>
    </xf>
    <xf numFmtId="164" fontId="31" fillId="0" borderId="31" xfId="1" applyNumberFormat="1" applyFont="1" applyFill="1" applyBorder="1"/>
    <xf numFmtId="43" fontId="31" fillId="0" borderId="31" xfId="1" applyNumberFormat="1" applyFont="1" applyFill="1" applyBorder="1"/>
    <xf numFmtId="3" fontId="7" fillId="0" borderId="0" xfId="0" applyNumberFormat="1" applyFont="1"/>
    <xf numFmtId="0" fontId="3" fillId="18" borderId="5" xfId="0" applyFont="1" applyFill="1" applyBorder="1" applyAlignment="1">
      <alignment horizontal="center" vertical="center" wrapText="1"/>
    </xf>
    <xf numFmtId="0" fontId="2" fillId="0" borderId="61" xfId="0" applyFont="1" applyBorder="1"/>
    <xf numFmtId="3" fontId="7" fillId="0" borderId="42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11" xfId="0" applyFont="1" applyFill="1" applyBorder="1"/>
    <xf numFmtId="3" fontId="7" fillId="0" borderId="13" xfId="0" applyNumberFormat="1" applyFont="1" applyFill="1" applyBorder="1" applyAlignment="1">
      <alignment horizontal="right"/>
    </xf>
    <xf numFmtId="0" fontId="5" fillId="0" borderId="41" xfId="0" applyFont="1" applyBorder="1"/>
    <xf numFmtId="0" fontId="0" fillId="0" borderId="66" xfId="0" applyFont="1" applyFill="1" applyBorder="1"/>
    <xf numFmtId="0" fontId="5" fillId="0" borderId="65" xfId="0" applyFont="1" applyBorder="1"/>
    <xf numFmtId="0" fontId="0" fillId="19" borderId="14" xfId="0" applyFill="1" applyBorder="1"/>
    <xf numFmtId="0" fontId="0" fillId="19" borderId="15" xfId="0" applyFill="1" applyBorder="1" applyAlignment="1">
      <alignment horizontal="center"/>
    </xf>
    <xf numFmtId="0" fontId="0" fillId="19" borderId="47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0" borderId="17" xfId="0" applyBorder="1"/>
    <xf numFmtId="3" fontId="0" fillId="0" borderId="18" xfId="0" applyNumberFormat="1" applyBorder="1"/>
    <xf numFmtId="3" fontId="0" fillId="0" borderId="38" xfId="0" applyNumberFormat="1" applyBorder="1"/>
    <xf numFmtId="3" fontId="0" fillId="20" borderId="19" xfId="0" applyNumberFormat="1" applyFill="1" applyBorder="1"/>
    <xf numFmtId="0" fontId="0" fillId="0" borderId="21" xfId="0" applyBorder="1"/>
    <xf numFmtId="3" fontId="0" fillId="0" borderId="22" xfId="0" applyNumberFormat="1" applyBorder="1"/>
    <xf numFmtId="3" fontId="0" fillId="0" borderId="37" xfId="0" applyNumberFormat="1" applyBorder="1"/>
    <xf numFmtId="0" fontId="0" fillId="0" borderId="32" xfId="0" applyBorder="1"/>
    <xf numFmtId="3" fontId="0" fillId="0" borderId="33" xfId="0" applyNumberFormat="1" applyBorder="1"/>
    <xf numFmtId="3" fontId="0" fillId="0" borderId="71" xfId="0" applyNumberFormat="1" applyBorder="1"/>
    <xf numFmtId="3" fontId="43" fillId="0" borderId="0" xfId="0" applyNumberFormat="1" applyFont="1"/>
    <xf numFmtId="3" fontId="0" fillId="19" borderId="15" xfId="0" applyNumberFormat="1" applyFill="1" applyBorder="1"/>
    <xf numFmtId="3" fontId="0" fillId="19" borderId="47" xfId="0" applyNumberFormat="1" applyFill="1" applyBorder="1"/>
    <xf numFmtId="3" fontId="0" fillId="20" borderId="16" xfId="0" applyNumberFormat="1" applyFill="1" applyBorder="1"/>
    <xf numFmtId="3" fontId="0" fillId="0" borderId="18" xfId="0" applyNumberFormat="1" applyFill="1" applyBorder="1"/>
    <xf numFmtId="0" fontId="44" fillId="0" borderId="0" xfId="0" applyFon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4" xfId="0" applyBorder="1"/>
    <xf numFmtId="0" fontId="0" fillId="0" borderId="32" xfId="0" applyBorder="1" applyAlignment="1">
      <alignment horizontal="right"/>
    </xf>
    <xf numFmtId="0" fontId="0" fillId="0" borderId="33" xfId="0" applyBorder="1"/>
    <xf numFmtId="0" fontId="0" fillId="0" borderId="31" xfId="0" applyBorder="1"/>
    <xf numFmtId="0" fontId="0" fillId="0" borderId="25" xfId="0" applyBorder="1"/>
    <xf numFmtId="0" fontId="0" fillId="0" borderId="26" xfId="0" applyFill="1" applyBorder="1"/>
    <xf numFmtId="0" fontId="0" fillId="0" borderId="26" xfId="0" applyBorder="1"/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0" fillId="0" borderId="40" xfId="0" applyBorder="1"/>
    <xf numFmtId="3" fontId="0" fillId="0" borderId="44" xfId="0" applyNumberFormat="1" applyBorder="1"/>
    <xf numFmtId="3" fontId="0" fillId="0" borderId="41" xfId="0" applyNumberFormat="1" applyBorder="1"/>
    <xf numFmtId="3" fontId="0" fillId="20" borderId="53" xfId="0" applyNumberFormat="1" applyFill="1" applyBorder="1"/>
    <xf numFmtId="0" fontId="0" fillId="0" borderId="18" xfId="0" applyBorder="1"/>
    <xf numFmtId="0" fontId="0" fillId="0" borderId="44" xfId="0" applyBorder="1"/>
    <xf numFmtId="0" fontId="0" fillId="11" borderId="14" xfId="0" applyFill="1" applyBorder="1"/>
    <xf numFmtId="3" fontId="0" fillId="11" borderId="15" xfId="0" applyNumberFormat="1" applyFill="1" applyBorder="1"/>
    <xf numFmtId="3" fontId="0" fillId="11" borderId="47" xfId="0" applyNumberFormat="1" applyFill="1" applyBorder="1"/>
    <xf numFmtId="3" fontId="0" fillId="11" borderId="16" xfId="0" applyNumberFormat="1" applyFill="1" applyBorder="1"/>
    <xf numFmtId="0" fontId="42" fillId="19" borderId="14" xfId="0" applyFont="1" applyFill="1" applyBorder="1" applyAlignment="1">
      <alignment horizontal="center"/>
    </xf>
    <xf numFmtId="3" fontId="42" fillId="19" borderId="15" xfId="0" applyNumberFormat="1" applyFont="1" applyFill="1" applyBorder="1"/>
    <xf numFmtId="3" fontId="42" fillId="19" borderId="16" xfId="0" applyNumberFormat="1" applyFont="1" applyFill="1" applyBorder="1"/>
    <xf numFmtId="3" fontId="44" fillId="0" borderId="0" xfId="0" applyNumberFormat="1" applyFont="1"/>
    <xf numFmtId="3" fontId="0" fillId="11" borderId="19" xfId="0" applyNumberFormat="1" applyFill="1" applyBorder="1"/>
    <xf numFmtId="0" fontId="0" fillId="11" borderId="54" xfId="0" applyFill="1" applyBorder="1"/>
    <xf numFmtId="3" fontId="0" fillId="11" borderId="72" xfId="0" applyNumberFormat="1" applyFill="1" applyBorder="1"/>
    <xf numFmtId="3" fontId="0" fillId="11" borderId="53" xfId="0" applyNumberFormat="1" applyFill="1" applyBorder="1"/>
    <xf numFmtId="0" fontId="0" fillId="0" borderId="0" xfId="0" applyAlignment="1">
      <alignment horizontal="right"/>
    </xf>
    <xf numFmtId="0" fontId="46" fillId="0" borderId="0" xfId="0" applyFont="1" applyAlignment="1">
      <alignment horizontal="center"/>
    </xf>
    <xf numFmtId="0" fontId="46" fillId="5" borderId="54" xfId="0" applyFont="1" applyFill="1" applyBorder="1" applyAlignment="1">
      <alignment horizontal="center"/>
    </xf>
    <xf numFmtId="0" fontId="46" fillId="5" borderId="72" xfId="0" applyFont="1" applyFill="1" applyBorder="1" applyAlignment="1">
      <alignment horizontal="center"/>
    </xf>
    <xf numFmtId="0" fontId="46" fillId="5" borderId="51" xfId="0" applyFont="1" applyFill="1" applyBorder="1" applyAlignment="1">
      <alignment horizontal="center"/>
    </xf>
    <xf numFmtId="3" fontId="46" fillId="16" borderId="9" xfId="0" applyNumberFormat="1" applyFont="1" applyFill="1" applyBorder="1" applyAlignment="1">
      <alignment horizontal="right"/>
    </xf>
    <xf numFmtId="0" fontId="6" fillId="16" borderId="17" xfId="0" applyFont="1" applyFill="1" applyBorder="1" applyAlignment="1">
      <alignment horizontal="center"/>
    </xf>
    <xf numFmtId="0" fontId="6" fillId="16" borderId="18" xfId="0" applyFont="1" applyFill="1" applyBorder="1" applyAlignment="1">
      <alignment horizontal="left"/>
    </xf>
    <xf numFmtId="3" fontId="6" fillId="16" borderId="20" xfId="0" applyNumberFormat="1" applyFont="1" applyFill="1" applyBorder="1" applyAlignment="1">
      <alignment horizontal="right"/>
    </xf>
    <xf numFmtId="3" fontId="46" fillId="10" borderId="9" xfId="0" applyNumberFormat="1" applyFont="1" applyFill="1" applyBorder="1" applyAlignment="1"/>
    <xf numFmtId="0" fontId="8" fillId="21" borderId="35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left"/>
    </xf>
    <xf numFmtId="3" fontId="8" fillId="21" borderId="20" xfId="0" applyNumberFormat="1" applyFont="1" applyFill="1" applyBorder="1" applyAlignment="1">
      <alignment horizontal="right"/>
    </xf>
    <xf numFmtId="3" fontId="46" fillId="7" borderId="9" xfId="0" applyNumberFormat="1" applyFont="1" applyFill="1" applyBorder="1" applyAlignment="1"/>
    <xf numFmtId="0" fontId="0" fillId="7" borderId="56" xfId="0" applyFill="1" applyBorder="1" applyAlignment="1">
      <alignment horizontal="center"/>
    </xf>
    <xf numFmtId="0" fontId="0" fillId="7" borderId="29" xfId="0" applyFill="1" applyBorder="1"/>
    <xf numFmtId="3" fontId="0" fillId="7" borderId="5" xfId="0" applyNumberFormat="1" applyFill="1" applyBorder="1"/>
    <xf numFmtId="0" fontId="0" fillId="7" borderId="60" xfId="0" applyFill="1" applyBorder="1" applyAlignment="1">
      <alignment horizontal="center"/>
    </xf>
    <xf numFmtId="0" fontId="0" fillId="7" borderId="26" xfId="0" applyFill="1" applyBorder="1"/>
    <xf numFmtId="3" fontId="0" fillId="7" borderId="6" xfId="0" applyNumberFormat="1" applyFill="1" applyBorder="1"/>
    <xf numFmtId="3" fontId="11" fillId="5" borderId="9" xfId="0" applyNumberFormat="1" applyFont="1" applyFill="1" applyBorder="1"/>
    <xf numFmtId="0" fontId="0" fillId="0" borderId="28" xfId="0" applyBorder="1"/>
    <xf numFmtId="0" fontId="0" fillId="0" borderId="29" xfId="0" applyFill="1" applyBorder="1"/>
    <xf numFmtId="3" fontId="0" fillId="0" borderId="5" xfId="0" applyNumberFormat="1" applyBorder="1"/>
    <xf numFmtId="0" fontId="0" fillId="0" borderId="44" xfId="0" applyFill="1" applyBorder="1"/>
    <xf numFmtId="3" fontId="0" fillId="0" borderId="42" xfId="0" applyNumberFormat="1" applyBorder="1"/>
    <xf numFmtId="3" fontId="35" fillId="5" borderId="9" xfId="0" applyNumberFormat="1" applyFont="1" applyFill="1" applyBorder="1"/>
    <xf numFmtId="0" fontId="46" fillId="5" borderId="28" xfId="0" applyFont="1" applyFill="1" applyBorder="1" applyAlignment="1">
      <alignment horizontal="center" wrapText="1"/>
    </xf>
    <xf numFmtId="0" fontId="46" fillId="5" borderId="29" xfId="0" applyFont="1" applyFill="1" applyBorder="1" applyAlignment="1">
      <alignment horizontal="center"/>
    </xf>
    <xf numFmtId="3" fontId="46" fillId="5" borderId="5" xfId="0" applyNumberFormat="1" applyFont="1" applyFill="1" applyBorder="1" applyAlignment="1">
      <alignment horizontal="center"/>
    </xf>
    <xf numFmtId="3" fontId="11" fillId="16" borderId="9" xfId="0" applyNumberFormat="1" applyFont="1" applyFill="1" applyBorder="1" applyAlignment="1">
      <alignment horizontal="right"/>
    </xf>
    <xf numFmtId="49" fontId="6" fillId="16" borderId="35" xfId="0" applyNumberFormat="1" applyFont="1" applyFill="1" applyBorder="1" applyAlignment="1">
      <alignment horizontal="center"/>
    </xf>
    <xf numFmtId="49" fontId="6" fillId="16" borderId="18" xfId="0" applyNumberFormat="1" applyFont="1" applyFill="1" applyBorder="1" applyAlignment="1">
      <alignment horizontal="left" vertical="center"/>
    </xf>
    <xf numFmtId="49" fontId="8" fillId="16" borderId="1" xfId="0" applyNumberFormat="1" applyFont="1" applyFill="1" applyBorder="1" applyAlignment="1">
      <alignment horizontal="center"/>
    </xf>
    <xf numFmtId="49" fontId="8" fillId="16" borderId="2" xfId="0" applyNumberFormat="1" applyFont="1" applyFill="1" applyBorder="1" applyAlignment="1">
      <alignment horizontal="center"/>
    </xf>
    <xf numFmtId="49" fontId="8" fillId="16" borderId="67" xfId="0" applyNumberFormat="1" applyFont="1" applyFill="1" applyBorder="1" applyAlignment="1">
      <alignment horizontal="center"/>
    </xf>
    <xf numFmtId="3" fontId="46" fillId="10" borderId="64" xfId="0" applyNumberFormat="1" applyFont="1" applyFill="1" applyBorder="1" applyAlignment="1"/>
    <xf numFmtId="49" fontId="8" fillId="21" borderId="1" xfId="0" applyNumberFormat="1" applyFont="1" applyFill="1" applyBorder="1" applyAlignment="1">
      <alignment horizontal="center"/>
    </xf>
    <xf numFmtId="0" fontId="8" fillId="10" borderId="11" xfId="0" applyFont="1" applyFill="1" applyBorder="1" applyAlignment="1">
      <alignment horizontal="left"/>
    </xf>
    <xf numFmtId="3" fontId="8" fillId="21" borderId="13" xfId="0" applyNumberFormat="1" applyFont="1" applyFill="1" applyBorder="1" applyAlignment="1">
      <alignment horizontal="right"/>
    </xf>
    <xf numFmtId="49" fontId="5" fillId="7" borderId="35" xfId="0" applyNumberFormat="1" applyFont="1" applyFill="1" applyBorder="1" applyAlignment="1">
      <alignment horizontal="center"/>
    </xf>
    <xf numFmtId="0" fontId="5" fillId="7" borderId="18" xfId="0" applyFont="1" applyFill="1" applyBorder="1"/>
    <xf numFmtId="3" fontId="0" fillId="13" borderId="20" xfId="0" applyNumberFormat="1" applyFill="1" applyBorder="1"/>
    <xf numFmtId="49" fontId="0" fillId="0" borderId="17" xfId="0" applyNumberFormat="1" applyFill="1" applyBorder="1"/>
    <xf numFmtId="0" fontId="5" fillId="0" borderId="18" xfId="0" applyFont="1" applyFill="1" applyBorder="1"/>
    <xf numFmtId="3" fontId="0" fillId="0" borderId="20" xfId="0" applyNumberFormat="1" applyFill="1" applyBorder="1"/>
    <xf numFmtId="49" fontId="0" fillId="0" borderId="10" xfId="0" applyNumberFormat="1" applyFill="1" applyBorder="1"/>
    <xf numFmtId="3" fontId="0" fillId="0" borderId="13" xfId="0" applyNumberFormat="1" applyFill="1" applyBorder="1"/>
    <xf numFmtId="49" fontId="0" fillId="0" borderId="0" xfId="0" applyNumberFormat="1" applyAlignment="1">
      <alignment horizontal="right"/>
    </xf>
    <xf numFmtId="0" fontId="5" fillId="0" borderId="0" xfId="0" applyFont="1"/>
    <xf numFmtId="49" fontId="8" fillId="21" borderId="22" xfId="0" applyNumberFormat="1" applyFont="1" applyFill="1" applyBorder="1" applyAlignment="1">
      <alignment horizontal="center"/>
    </xf>
    <xf numFmtId="0" fontId="8" fillId="10" borderId="22" xfId="0" applyFont="1" applyFill="1" applyBorder="1" applyAlignment="1">
      <alignment horizontal="left"/>
    </xf>
    <xf numFmtId="3" fontId="8" fillId="21" borderId="22" xfId="0" applyNumberFormat="1" applyFont="1" applyFill="1" applyBorder="1" applyAlignment="1">
      <alignment horizontal="right"/>
    </xf>
    <xf numFmtId="49" fontId="8" fillId="21" borderId="33" xfId="0" applyNumberFormat="1" applyFont="1" applyFill="1" applyBorder="1" applyAlignment="1">
      <alignment horizontal="center"/>
    </xf>
    <xf numFmtId="0" fontId="8" fillId="10" borderId="33" xfId="0" applyFont="1" applyFill="1" applyBorder="1" applyAlignment="1">
      <alignment horizontal="left"/>
    </xf>
    <xf numFmtId="3" fontId="8" fillId="21" borderId="33" xfId="0" applyNumberFormat="1" applyFont="1" applyFill="1" applyBorder="1" applyAlignment="1">
      <alignment horizontal="right"/>
    </xf>
    <xf numFmtId="0" fontId="49" fillId="5" borderId="14" xfId="0" applyFont="1" applyFill="1" applyBorder="1" applyAlignment="1">
      <alignment horizontal="center" vertical="center"/>
    </xf>
    <xf numFmtId="0" fontId="49" fillId="5" borderId="15" xfId="0" applyFont="1" applyFill="1" applyBorder="1" applyAlignment="1">
      <alignment horizontal="center" vertical="center"/>
    </xf>
    <xf numFmtId="0" fontId="49" fillId="5" borderId="47" xfId="0" applyFont="1" applyFill="1" applyBorder="1" applyAlignment="1">
      <alignment horizontal="center" vertical="center"/>
    </xf>
    <xf numFmtId="49" fontId="49" fillId="5" borderId="15" xfId="0" applyNumberFormat="1" applyFont="1" applyFill="1" applyBorder="1" applyAlignment="1">
      <alignment horizontal="center" vertical="center" wrapText="1"/>
    </xf>
    <xf numFmtId="0" fontId="49" fillId="5" borderId="9" xfId="0" applyFont="1" applyFill="1" applyBorder="1" applyAlignment="1">
      <alignment horizontal="center" vertical="center" wrapText="1"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14" fontId="50" fillId="0" borderId="29" xfId="0" applyNumberFormat="1" applyFont="1" applyBorder="1" applyAlignment="1">
      <alignment horizontal="center"/>
    </xf>
    <xf numFmtId="3" fontId="50" fillId="0" borderId="29" xfId="0" applyNumberFormat="1" applyFont="1" applyBorder="1"/>
    <xf numFmtId="3" fontId="50" fillId="0" borderId="5" xfId="0" applyNumberFormat="1" applyFont="1" applyBorder="1"/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14" fontId="50" fillId="0" borderId="22" xfId="0" applyNumberFormat="1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3" fontId="50" fillId="0" borderId="22" xfId="0" applyNumberFormat="1" applyFont="1" applyBorder="1"/>
    <xf numFmtId="3" fontId="50" fillId="0" borderId="24" xfId="0" applyNumberFormat="1" applyFont="1" applyBorder="1"/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14" fontId="50" fillId="0" borderId="11" xfId="0" applyNumberFormat="1" applyFont="1" applyBorder="1" applyAlignment="1">
      <alignment horizontal="center"/>
    </xf>
    <xf numFmtId="3" fontId="50" fillId="0" borderId="11" xfId="0" applyNumberFormat="1" applyFont="1" applyBorder="1"/>
    <xf numFmtId="3" fontId="50" fillId="0" borderId="13" xfId="0" applyNumberFormat="1" applyFont="1" applyBorder="1"/>
    <xf numFmtId="0" fontId="49" fillId="0" borderId="0" xfId="0" applyFont="1"/>
    <xf numFmtId="0" fontId="50" fillId="0" borderId="0" xfId="0" applyFont="1"/>
    <xf numFmtId="0" fontId="31" fillId="22" borderId="21" xfId="0" applyFont="1" applyFill="1" applyBorder="1"/>
    <xf numFmtId="3" fontId="32" fillId="22" borderId="22" xfId="0" applyNumberFormat="1" applyFont="1" applyFill="1" applyBorder="1" applyAlignment="1">
      <alignment horizontal="right"/>
    </xf>
    <xf numFmtId="0" fontId="53" fillId="0" borderId="0" xfId="0" applyFont="1" applyAlignment="1">
      <alignment horizontal="right"/>
    </xf>
    <xf numFmtId="3" fontId="53" fillId="0" borderId="0" xfId="0" applyNumberFormat="1" applyFont="1"/>
    <xf numFmtId="0" fontId="54" fillId="0" borderId="0" xfId="0" applyFont="1" applyAlignment="1">
      <alignment horizontal="right" vertical="center"/>
    </xf>
    <xf numFmtId="3" fontId="54" fillId="0" borderId="0" xfId="0" applyNumberFormat="1" applyFont="1"/>
    <xf numFmtId="3" fontId="8" fillId="22" borderId="24" xfId="0" applyNumberFormat="1" applyFont="1" applyFill="1" applyBorder="1"/>
    <xf numFmtId="3" fontId="2" fillId="22" borderId="20" xfId="0" applyNumberFormat="1" applyFont="1" applyFill="1" applyBorder="1"/>
    <xf numFmtId="3" fontId="4" fillId="0" borderId="12" xfId="0" applyNumberFormat="1" applyFont="1" applyFill="1" applyBorder="1" applyAlignment="1"/>
    <xf numFmtId="0" fontId="4" fillId="0" borderId="28" xfId="0" applyFont="1" applyFill="1" applyBorder="1"/>
    <xf numFmtId="3" fontId="4" fillId="0" borderId="30" xfId="0" applyNumberFormat="1" applyFont="1" applyFill="1" applyBorder="1" applyAlignment="1"/>
    <xf numFmtId="0" fontId="2" fillId="0" borderId="35" xfId="0" applyFont="1" applyBorder="1"/>
    <xf numFmtId="3" fontId="7" fillId="0" borderId="20" xfId="0" applyNumberFormat="1" applyFont="1" applyFill="1" applyBorder="1" applyAlignment="1">
      <alignment horizontal="right"/>
    </xf>
    <xf numFmtId="3" fontId="7" fillId="22" borderId="24" xfId="0" applyNumberFormat="1" applyFont="1" applyFill="1" applyBorder="1"/>
    <xf numFmtId="3" fontId="9" fillId="22" borderId="24" xfId="0" applyNumberFormat="1" applyFont="1" applyFill="1" applyBorder="1"/>
    <xf numFmtId="3" fontId="7" fillId="22" borderId="24" xfId="0" applyNumberFormat="1" applyFont="1" applyFill="1" applyBorder="1" applyAlignment="1">
      <alignment horizontal="right"/>
    </xf>
    <xf numFmtId="3" fontId="7" fillId="22" borderId="6" xfId="0" applyNumberFormat="1" applyFont="1" applyFill="1" applyBorder="1" applyAlignment="1">
      <alignment horizontal="right"/>
    </xf>
    <xf numFmtId="0" fontId="31" fillId="22" borderId="32" xfId="0" applyFont="1" applyFill="1" applyBorder="1"/>
    <xf numFmtId="3" fontId="31" fillId="22" borderId="33" xfId="0" applyNumberFormat="1" applyFont="1" applyFill="1" applyBorder="1" applyAlignment="1">
      <alignment horizontal="right"/>
    </xf>
    <xf numFmtId="0" fontId="0" fillId="7" borderId="35" xfId="0" applyFill="1" applyBorder="1" applyAlignment="1">
      <alignment horizontal="center"/>
    </xf>
    <xf numFmtId="0" fontId="0" fillId="7" borderId="18" xfId="0" applyFill="1" applyBorder="1"/>
    <xf numFmtId="3" fontId="0" fillId="7" borderId="20" xfId="0" applyNumberFormat="1" applyFill="1" applyBorder="1"/>
    <xf numFmtId="0" fontId="6" fillId="7" borderId="56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left"/>
    </xf>
    <xf numFmtId="3" fontId="6" fillId="7" borderId="5" xfId="0" applyNumberFormat="1" applyFont="1" applyFill="1" applyBorder="1" applyAlignment="1">
      <alignment horizontal="right"/>
    </xf>
    <xf numFmtId="3" fontId="0" fillId="19" borderId="9" xfId="0" applyNumberFormat="1" applyFill="1" applyBorder="1"/>
    <xf numFmtId="49" fontId="5" fillId="22" borderId="58" xfId="0" applyNumberFormat="1" applyFont="1" applyFill="1" applyBorder="1" applyAlignment="1">
      <alignment horizontal="right"/>
    </xf>
    <xf numFmtId="49" fontId="5" fillId="22" borderId="59" xfId="0" applyNumberFormat="1" applyFont="1" applyFill="1" applyBorder="1" applyAlignment="1">
      <alignment horizontal="left"/>
    </xf>
    <xf numFmtId="3" fontId="5" fillId="22" borderId="58" xfId="0" applyNumberFormat="1" applyFont="1" applyFill="1" applyBorder="1" applyAlignment="1"/>
    <xf numFmtId="3" fontId="5" fillId="22" borderId="23" xfId="0" applyNumberFormat="1" applyFont="1" applyFill="1" applyBorder="1" applyAlignment="1"/>
    <xf numFmtId="0" fontId="25" fillId="22" borderId="0" xfId="0" applyFont="1" applyFill="1"/>
    <xf numFmtId="49" fontId="5" fillId="22" borderId="58" xfId="0" applyNumberFormat="1" applyFont="1" applyFill="1" applyBorder="1" applyAlignment="1">
      <alignment horizontal="left"/>
    </xf>
    <xf numFmtId="3" fontId="29" fillId="16" borderId="53" xfId="0" applyNumberFormat="1" applyFont="1" applyFill="1" applyBorder="1"/>
    <xf numFmtId="49" fontId="5" fillId="22" borderId="53" xfId="0" applyNumberFormat="1" applyFont="1" applyFill="1" applyBorder="1" applyAlignment="1">
      <alignment horizontal="right"/>
    </xf>
    <xf numFmtId="49" fontId="5" fillId="22" borderId="53" xfId="0" applyNumberFormat="1" applyFont="1" applyFill="1" applyBorder="1" applyAlignment="1">
      <alignment horizontal="left"/>
    </xf>
    <xf numFmtId="3" fontId="5" fillId="22" borderId="53" xfId="0" applyNumberFormat="1" applyFont="1" applyFill="1" applyBorder="1" applyAlignment="1"/>
    <xf numFmtId="49" fontId="5" fillId="22" borderId="23" xfId="0" applyNumberFormat="1" applyFont="1" applyFill="1" applyBorder="1" applyAlignment="1">
      <alignment horizontal="right"/>
    </xf>
    <xf numFmtId="49" fontId="5" fillId="22" borderId="23" xfId="0" applyNumberFormat="1" applyFont="1" applyFill="1" applyBorder="1" applyAlignment="1">
      <alignment horizontal="left"/>
    </xf>
    <xf numFmtId="3" fontId="2" fillId="22" borderId="5" xfId="0" applyNumberFormat="1" applyFont="1" applyFill="1" applyBorder="1"/>
    <xf numFmtId="3" fontId="6" fillId="22" borderId="24" xfId="0" applyNumberFormat="1" applyFont="1" applyFill="1" applyBorder="1" applyAlignment="1">
      <alignment horizontal="right"/>
    </xf>
    <xf numFmtId="3" fontId="4" fillId="22" borderId="13" xfId="0" applyNumberFormat="1" applyFont="1" applyFill="1" applyBorder="1" applyAlignment="1">
      <alignment horizontal="right"/>
    </xf>
    <xf numFmtId="3" fontId="4" fillId="22" borderId="20" xfId="0" applyNumberFormat="1" applyFont="1" applyFill="1" applyBorder="1" applyAlignment="1">
      <alignment horizontal="right"/>
    </xf>
    <xf numFmtId="3" fontId="6" fillId="22" borderId="5" xfId="0" applyNumberFormat="1" applyFont="1" applyFill="1" applyBorder="1" applyAlignment="1">
      <alignment horizontal="right"/>
    </xf>
    <xf numFmtId="3" fontId="4" fillId="22" borderId="24" xfId="0" applyNumberFormat="1" applyFont="1" applyFill="1" applyBorder="1" applyAlignment="1">
      <alignment horizontal="right"/>
    </xf>
    <xf numFmtId="0" fontId="6" fillId="7" borderId="35" xfId="0" applyFont="1" applyFill="1" applyBorder="1" applyAlignment="1">
      <alignment horizontal="center"/>
    </xf>
    <xf numFmtId="3" fontId="6" fillId="7" borderId="20" xfId="0" applyNumberFormat="1" applyFont="1" applyFill="1" applyBorder="1" applyAlignment="1"/>
    <xf numFmtId="3" fontId="7" fillId="22" borderId="42" xfId="0" applyNumberFormat="1" applyFont="1" applyFill="1" applyBorder="1" applyAlignment="1">
      <alignment horizontal="right"/>
    </xf>
    <xf numFmtId="3" fontId="6" fillId="22" borderId="20" xfId="0" applyNumberFormat="1" applyFont="1" applyFill="1" applyBorder="1" applyAlignment="1">
      <alignment horizontal="right"/>
    </xf>
    <xf numFmtId="0" fontId="5" fillId="22" borderId="65" xfId="0" applyFont="1" applyFill="1" applyBorder="1"/>
    <xf numFmtId="49" fontId="5" fillId="22" borderId="27" xfId="0" applyNumberFormat="1" applyFont="1" applyFill="1" applyBorder="1" applyAlignment="1">
      <alignment horizontal="right"/>
    </xf>
    <xf numFmtId="49" fontId="5" fillId="22" borderId="26" xfId="0" applyNumberFormat="1" applyFont="1" applyFill="1" applyBorder="1" applyAlignment="1">
      <alignment horizontal="left"/>
    </xf>
    <xf numFmtId="3" fontId="5" fillId="22" borderId="27" xfId="0" applyNumberFormat="1" applyFont="1" applyFill="1" applyBorder="1" applyAlignment="1"/>
    <xf numFmtId="49" fontId="5" fillId="22" borderId="12" xfId="0" applyNumberFormat="1" applyFont="1" applyFill="1" applyBorder="1" applyAlignment="1">
      <alignment horizontal="right"/>
    </xf>
    <xf numFmtId="49" fontId="5" fillId="22" borderId="12" xfId="0" applyNumberFormat="1" applyFont="1" applyFill="1" applyBorder="1" applyAlignment="1">
      <alignment horizontal="left"/>
    </xf>
    <xf numFmtId="3" fontId="5" fillId="22" borderId="12" xfId="0" applyNumberFormat="1" applyFont="1" applyFill="1" applyBorder="1" applyAlignment="1"/>
    <xf numFmtId="0" fontId="6" fillId="7" borderId="18" xfId="0" applyFont="1" applyFill="1" applyBorder="1" applyAlignment="1">
      <alignment horizontal="left"/>
    </xf>
    <xf numFmtId="3" fontId="6" fillId="7" borderId="20" xfId="0" applyNumberFormat="1" applyFont="1" applyFill="1" applyBorder="1" applyAlignment="1">
      <alignment horizontal="right"/>
    </xf>
    <xf numFmtId="3" fontId="8" fillId="22" borderId="6" xfId="0" applyNumberFormat="1" applyFont="1" applyFill="1" applyBorder="1"/>
    <xf numFmtId="3" fontId="7" fillId="22" borderId="31" xfId="0" applyNumberFormat="1" applyFont="1" applyFill="1" applyBorder="1" applyAlignment="1">
      <alignment horizontal="right"/>
    </xf>
    <xf numFmtId="3" fontId="4" fillId="22" borderId="5" xfId="0" applyNumberFormat="1" applyFont="1" applyFill="1" applyBorder="1" applyAlignment="1">
      <alignment horizontal="right"/>
    </xf>
    <xf numFmtId="3" fontId="4" fillId="22" borderId="23" xfId="0" applyNumberFormat="1" applyFont="1" applyFill="1" applyBorder="1" applyAlignment="1">
      <alignment horizontal="right"/>
    </xf>
    <xf numFmtId="3" fontId="6" fillId="22" borderId="19" xfId="0" applyNumberFormat="1" applyFont="1" applyFill="1" applyBorder="1" applyAlignment="1">
      <alignment horizontal="right"/>
    </xf>
    <xf numFmtId="3" fontId="4" fillId="22" borderId="27" xfId="0" applyNumberFormat="1" applyFont="1" applyFill="1" applyBorder="1" applyAlignment="1">
      <alignment horizontal="right"/>
    </xf>
    <xf numFmtId="0" fontId="4" fillId="0" borderId="61" xfId="0" applyFont="1" applyFill="1" applyBorder="1"/>
    <xf numFmtId="0" fontId="4" fillId="0" borderId="73" xfId="0" applyFont="1" applyBorder="1"/>
    <xf numFmtId="3" fontId="4" fillId="22" borderId="53" xfId="0" applyNumberFormat="1" applyFont="1" applyFill="1" applyBorder="1" applyAlignment="1"/>
    <xf numFmtId="49" fontId="5" fillId="0" borderId="1" xfId="0" applyNumberFormat="1" applyFont="1" applyBorder="1" applyAlignment="1">
      <alignment horizontal="right"/>
    </xf>
    <xf numFmtId="49" fontId="5" fillId="0" borderId="34" xfId="0" applyNumberFormat="1" applyFont="1" applyFill="1" applyBorder="1" applyAlignment="1">
      <alignment horizontal="left"/>
    </xf>
    <xf numFmtId="49" fontId="5" fillId="0" borderId="37" xfId="0" applyNumberFormat="1" applyFont="1" applyFill="1" applyBorder="1" applyAlignment="1">
      <alignment horizontal="left"/>
    </xf>
    <xf numFmtId="49" fontId="5" fillId="0" borderId="3" xfId="0" applyNumberFormat="1" applyFont="1" applyBorder="1" applyAlignment="1">
      <alignment horizontal="right"/>
    </xf>
    <xf numFmtId="49" fontId="5" fillId="0" borderId="72" xfId="0" applyNumberFormat="1" applyFont="1" applyFill="1" applyBorder="1" applyAlignment="1">
      <alignment horizontal="left"/>
    </xf>
    <xf numFmtId="3" fontId="5" fillId="0" borderId="50" xfId="0" applyNumberFormat="1" applyFont="1" applyFill="1" applyBorder="1" applyAlignment="1"/>
    <xf numFmtId="49" fontId="5" fillId="0" borderId="26" xfId="0" applyNumberFormat="1" applyFont="1" applyFill="1" applyBorder="1" applyAlignment="1">
      <alignment horizontal="left"/>
    </xf>
    <xf numFmtId="49" fontId="5" fillId="0" borderId="14" xfId="0" applyNumberFormat="1" applyFont="1" applyBorder="1" applyAlignment="1">
      <alignment horizontal="right"/>
    </xf>
    <xf numFmtId="0" fontId="15" fillId="0" borderId="60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 horizontal="right"/>
    </xf>
    <xf numFmtId="3" fontId="6" fillId="22" borderId="6" xfId="0" applyNumberFormat="1" applyFont="1" applyFill="1" applyBorder="1" applyAlignment="1">
      <alignment horizontal="right"/>
    </xf>
    <xf numFmtId="0" fontId="46" fillId="0" borderId="0" xfId="0" applyFont="1" applyAlignment="1">
      <alignment horizontal="center"/>
    </xf>
    <xf numFmtId="3" fontId="7" fillId="22" borderId="20" xfId="0" applyNumberFormat="1" applyFont="1" applyFill="1" applyBorder="1"/>
    <xf numFmtId="14" fontId="51" fillId="0" borderId="22" xfId="0" applyNumberFormat="1" applyFont="1" applyBorder="1" applyAlignment="1">
      <alignment horizontal="center"/>
    </xf>
    <xf numFmtId="14" fontId="50" fillId="0" borderId="18" xfId="0" applyNumberFormat="1" applyFont="1" applyBorder="1" applyAlignment="1">
      <alignment horizontal="center"/>
    </xf>
    <xf numFmtId="3" fontId="50" fillId="0" borderId="18" xfId="0" applyNumberFormat="1" applyFont="1" applyBorder="1"/>
    <xf numFmtId="3" fontId="50" fillId="0" borderId="20" xfId="0" applyNumberFormat="1" applyFont="1" applyBorder="1"/>
    <xf numFmtId="3" fontId="2" fillId="22" borderId="24" xfId="0" applyNumberFormat="1" applyFont="1" applyFill="1" applyBorder="1"/>
    <xf numFmtId="3" fontId="2" fillId="22" borderId="6" xfId="0" applyNumberFormat="1" applyFont="1" applyFill="1" applyBorder="1"/>
    <xf numFmtId="0" fontId="46" fillId="0" borderId="0" xfId="0" applyFont="1" applyAlignment="1">
      <alignment horizontal="center"/>
    </xf>
    <xf numFmtId="3" fontId="5" fillId="0" borderId="6" xfId="0" applyNumberFormat="1" applyFont="1" applyFill="1" applyBorder="1"/>
    <xf numFmtId="3" fontId="5" fillId="22" borderId="6" xfId="0" applyNumberFormat="1" applyFont="1" applyFill="1" applyBorder="1"/>
    <xf numFmtId="3" fontId="4" fillId="22" borderId="31" xfId="0" applyNumberFormat="1" applyFont="1" applyFill="1" applyBorder="1" applyAlignment="1">
      <alignment horizontal="right"/>
    </xf>
    <xf numFmtId="0" fontId="5" fillId="0" borderId="65" xfId="0" applyFont="1" applyFill="1" applyBorder="1"/>
    <xf numFmtId="43" fontId="31" fillId="0" borderId="24" xfId="1" applyNumberFormat="1" applyFont="1" applyFill="1" applyBorder="1"/>
    <xf numFmtId="3" fontId="5" fillId="22" borderId="16" xfId="0" applyNumberFormat="1" applyFont="1" applyFill="1" applyBorder="1" applyAlignment="1"/>
    <xf numFmtId="3" fontId="4" fillId="22" borderId="13" xfId="0" applyNumberFormat="1" applyFont="1" applyFill="1" applyBorder="1"/>
    <xf numFmtId="3" fontId="5" fillId="0" borderId="42" xfId="0" applyNumberFormat="1" applyFont="1" applyFill="1" applyBorder="1"/>
    <xf numFmtId="3" fontId="5" fillId="22" borderId="42" xfId="0" applyNumberFormat="1" applyFont="1" applyFill="1" applyBorder="1"/>
    <xf numFmtId="0" fontId="4" fillId="0" borderId="40" xfId="0" applyFont="1" applyFill="1" applyBorder="1"/>
    <xf numFmtId="0" fontId="2" fillId="0" borderId="41" xfId="0" applyFont="1" applyBorder="1"/>
    <xf numFmtId="3" fontId="5" fillId="0" borderId="24" xfId="0" applyNumberFormat="1" applyFont="1" applyFill="1" applyBorder="1"/>
    <xf numFmtId="3" fontId="5" fillId="22" borderId="24" xfId="0" applyNumberFormat="1" applyFont="1" applyFill="1" applyBorder="1"/>
    <xf numFmtId="3" fontId="6" fillId="22" borderId="51" xfId="0" applyNumberFormat="1" applyFont="1" applyFill="1" applyBorder="1" applyAlignment="1">
      <alignment horizontal="right"/>
    </xf>
    <xf numFmtId="9" fontId="2" fillId="0" borderId="0" xfId="3" applyFont="1"/>
    <xf numFmtId="0" fontId="1" fillId="2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3" fontId="2" fillId="0" borderId="0" xfId="0" applyNumberFormat="1" applyFont="1" applyFill="1" applyBorder="1"/>
    <xf numFmtId="9" fontId="3" fillId="0" borderId="0" xfId="3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/>
    <xf numFmtId="0" fontId="46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46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3" fontId="2" fillId="22" borderId="13" xfId="0" applyNumberFormat="1" applyFont="1" applyFill="1" applyBorder="1"/>
    <xf numFmtId="3" fontId="9" fillId="14" borderId="24" xfId="0" applyNumberFormat="1" applyFont="1" applyFill="1" applyBorder="1"/>
    <xf numFmtId="3" fontId="5" fillId="22" borderId="20" xfId="0" applyNumberFormat="1" applyFont="1" applyFill="1" applyBorder="1"/>
    <xf numFmtId="0" fontId="55" fillId="0" borderId="15" xfId="0" applyFont="1" applyBorder="1"/>
    <xf numFmtId="49" fontId="8" fillId="21" borderId="21" xfId="0" applyNumberFormat="1" applyFont="1" applyFill="1" applyBorder="1" applyAlignment="1">
      <alignment horizontal="center"/>
    </xf>
    <xf numFmtId="3" fontId="8" fillId="21" borderId="24" xfId="0" applyNumberFormat="1" applyFont="1" applyFill="1" applyBorder="1" applyAlignment="1">
      <alignment horizontal="right"/>
    </xf>
    <xf numFmtId="49" fontId="8" fillId="21" borderId="32" xfId="0" applyNumberFormat="1" applyFont="1" applyFill="1" applyBorder="1" applyAlignment="1">
      <alignment horizontal="center"/>
    </xf>
    <xf numFmtId="3" fontId="8" fillId="21" borderId="31" xfId="0" applyNumberFormat="1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center"/>
    </xf>
    <xf numFmtId="0" fontId="5" fillId="7" borderId="11" xfId="0" applyFont="1" applyFill="1" applyBorder="1"/>
    <xf numFmtId="3" fontId="0" fillId="13" borderId="13" xfId="0" applyNumberFormat="1" applyFill="1" applyBorder="1"/>
    <xf numFmtId="3" fontId="4" fillId="22" borderId="6" xfId="0" applyNumberFormat="1" applyFont="1" applyFill="1" applyBorder="1" applyAlignment="1">
      <alignment horizontal="right"/>
    </xf>
    <xf numFmtId="0" fontId="46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16" borderId="7" xfId="0" applyFont="1" applyFill="1" applyBorder="1" applyAlignment="1">
      <alignment horizontal="center"/>
    </xf>
    <xf numFmtId="0" fontId="46" fillId="16" borderId="43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8" fillId="16" borderId="2" xfId="0" applyFont="1" applyFill="1" applyBorder="1" applyAlignment="1">
      <alignment horizontal="center"/>
    </xf>
    <xf numFmtId="0" fontId="8" fillId="16" borderId="67" xfId="0" applyFont="1" applyFill="1" applyBorder="1" applyAlignment="1">
      <alignment horizontal="center"/>
    </xf>
    <xf numFmtId="0" fontId="46" fillId="10" borderId="7" xfId="0" applyFont="1" applyFill="1" applyBorder="1" applyAlignment="1">
      <alignment horizontal="center"/>
    </xf>
    <xf numFmtId="0" fontId="46" fillId="10" borderId="8" xfId="0" applyFont="1" applyFill="1" applyBorder="1" applyAlignment="1">
      <alignment horizontal="center"/>
    </xf>
    <xf numFmtId="0" fontId="8" fillId="21" borderId="1" xfId="0" applyFont="1" applyFill="1" applyBorder="1" applyAlignment="1">
      <alignment horizontal="center"/>
    </xf>
    <xf numFmtId="0" fontId="8" fillId="21" borderId="2" xfId="0" applyFont="1" applyFill="1" applyBorder="1" applyAlignment="1">
      <alignment horizontal="center"/>
    </xf>
    <xf numFmtId="0" fontId="8" fillId="21" borderId="67" xfId="0" applyFont="1" applyFill="1" applyBorder="1" applyAlignment="1">
      <alignment horizontal="center"/>
    </xf>
    <xf numFmtId="0" fontId="46" fillId="7" borderId="7" xfId="0" applyFont="1" applyFill="1" applyBorder="1" applyAlignment="1">
      <alignment horizontal="center"/>
    </xf>
    <xf numFmtId="0" fontId="46" fillId="7" borderId="8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35" fillId="5" borderId="7" xfId="0" applyFont="1" applyFill="1" applyBorder="1" applyAlignment="1">
      <alignment horizontal="center"/>
    </xf>
    <xf numFmtId="0" fontId="35" fillId="5" borderId="8" xfId="0" applyFont="1" applyFill="1" applyBorder="1" applyAlignment="1">
      <alignment horizontal="center"/>
    </xf>
    <xf numFmtId="0" fontId="46" fillId="10" borderId="64" xfId="0" applyFont="1" applyFill="1" applyBorder="1" applyAlignment="1">
      <alignment horizontal="center"/>
    </xf>
    <xf numFmtId="0" fontId="46" fillId="7" borderId="43" xfId="0" applyFont="1" applyFill="1" applyBorder="1" applyAlignment="1">
      <alignment horizontal="center"/>
    </xf>
    <xf numFmtId="0" fontId="35" fillId="5" borderId="43" xfId="0" applyFont="1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43" xfId="0" applyFill="1" applyBorder="1" applyAlignment="1">
      <alignment horizontal="center"/>
    </xf>
    <xf numFmtId="0" fontId="10" fillId="10" borderId="60" xfId="0" applyFont="1" applyFill="1" applyBorder="1" applyAlignment="1">
      <alignment horizontal="center"/>
    </xf>
    <xf numFmtId="0" fontId="10" fillId="10" borderId="63" xfId="0" applyFont="1" applyFill="1" applyBorder="1" applyAlignment="1">
      <alignment horizontal="center"/>
    </xf>
    <xf numFmtId="49" fontId="3" fillId="8" borderId="7" xfId="0" applyNumberFormat="1" applyFont="1" applyFill="1" applyBorder="1" applyAlignment="1">
      <alignment horizontal="center"/>
    </xf>
    <xf numFmtId="49" fontId="3" fillId="8" borderId="8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/>
    </xf>
    <xf numFmtId="0" fontId="13" fillId="9" borderId="43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19" fillId="10" borderId="36" xfId="0" applyFont="1" applyFill="1" applyBorder="1" applyAlignment="1">
      <alignment horizontal="center"/>
    </xf>
    <xf numFmtId="0" fontId="19" fillId="10" borderId="62" xfId="0" applyFont="1" applyFill="1" applyBorder="1" applyAlignment="1">
      <alignment horizontal="center"/>
    </xf>
    <xf numFmtId="49" fontId="11" fillId="4" borderId="3" xfId="0" applyNumberFormat="1" applyFont="1" applyFill="1" applyBorder="1" applyAlignment="1">
      <alignment horizontal="center"/>
    </xf>
    <xf numFmtId="49" fontId="11" fillId="4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1" fillId="4" borderId="43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3" fillId="3" borderId="64" xfId="0" applyFont="1" applyFill="1" applyBorder="1" applyAlignment="1">
      <alignment horizontal="center" vertical="center"/>
    </xf>
    <xf numFmtId="0" fontId="3" fillId="5" borderId="7" xfId="0" applyFont="1" applyFill="1" applyBorder="1" applyAlignment="1"/>
    <xf numFmtId="0" fontId="2" fillId="0" borderId="8" xfId="0" applyFont="1" applyBorder="1" applyAlignment="1"/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14" borderId="7" xfId="0" applyFont="1" applyFill="1" applyBorder="1" applyAlignment="1">
      <alignment horizontal="center"/>
    </xf>
    <xf numFmtId="0" fontId="28" fillId="14" borderId="8" xfId="0" applyFont="1" applyFill="1" applyBorder="1" applyAlignment="1">
      <alignment horizontal="center"/>
    </xf>
    <xf numFmtId="0" fontId="28" fillId="14" borderId="64" xfId="0" applyFont="1" applyFill="1" applyBorder="1" applyAlignment="1">
      <alignment horizontal="center"/>
    </xf>
    <xf numFmtId="49" fontId="35" fillId="15" borderId="7" xfId="0" applyNumberFormat="1" applyFont="1" applyFill="1" applyBorder="1" applyAlignment="1">
      <alignment horizontal="center"/>
    </xf>
    <xf numFmtId="49" fontId="35" fillId="15" borderId="64" xfId="0" applyNumberFormat="1" applyFont="1" applyFill="1" applyBorder="1" applyAlignment="1">
      <alignment horizontal="center"/>
    </xf>
    <xf numFmtId="0" fontId="52" fillId="0" borderId="0" xfId="0" applyFont="1" applyAlignment="1">
      <alignment horizontal="left" wrapText="1"/>
    </xf>
    <xf numFmtId="0" fontId="4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9" xfId="0" applyBorder="1" applyAlignment="1">
      <alignment horizontal="center"/>
    </xf>
    <xf numFmtId="3" fontId="0" fillId="0" borderId="0" xfId="0" applyNumberFormat="1" applyFill="1" applyBorder="1"/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3" fontId="46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3" fontId="35" fillId="0" borderId="0" xfId="0" applyNumberFormat="1" applyFont="1" applyFill="1" applyBorder="1"/>
    <xf numFmtId="3" fontId="0" fillId="0" borderId="0" xfId="0" applyNumberFormat="1" applyFill="1"/>
    <xf numFmtId="3" fontId="46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</cellXfs>
  <cellStyles count="4">
    <cellStyle name="Čiarka" xfId="1" builtinId="3"/>
    <cellStyle name="Normálna 2" xfId="2"/>
    <cellStyle name="Normálne" xfId="0" builtinId="0"/>
    <cellStyle name="Percentá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workbookViewId="0">
      <selection sqref="A1:C1"/>
    </sheetView>
  </sheetViews>
  <sheetFormatPr defaultRowHeight="15" x14ac:dyDescent="0.25"/>
  <cols>
    <col min="2" max="2" width="48" customWidth="1"/>
    <col min="3" max="3" width="13" customWidth="1"/>
    <col min="4" max="4" width="13" style="505" customWidth="1"/>
    <col min="5" max="5" width="8.7109375" customWidth="1"/>
    <col min="6" max="6" width="50.28515625" customWidth="1"/>
    <col min="7" max="7" width="13" customWidth="1"/>
    <col min="10" max="10" width="41.140625" customWidth="1"/>
    <col min="11" max="11" width="10.85546875" customWidth="1"/>
    <col min="14" max="14" width="37.85546875" customWidth="1"/>
    <col min="15" max="15" width="11.140625" customWidth="1"/>
  </cols>
  <sheetData>
    <row r="1" spans="1:15" ht="18" x14ac:dyDescent="0.25">
      <c r="A1" s="834" t="s">
        <v>691</v>
      </c>
      <c r="B1" s="834"/>
      <c r="C1" s="834"/>
      <c r="D1" s="906"/>
      <c r="E1" s="834" t="s">
        <v>629</v>
      </c>
      <c r="F1" s="834"/>
      <c r="G1" s="834"/>
      <c r="I1" s="834" t="s">
        <v>597</v>
      </c>
      <c r="J1" s="834"/>
      <c r="K1" s="834"/>
      <c r="M1" s="834" t="s">
        <v>449</v>
      </c>
      <c r="N1" s="834"/>
      <c r="O1" s="834"/>
    </row>
    <row r="2" spans="1:15" x14ac:dyDescent="0.25">
      <c r="A2" s="835" t="s">
        <v>410</v>
      </c>
      <c r="B2" s="835"/>
      <c r="C2" s="835"/>
      <c r="D2" s="907"/>
      <c r="E2" s="835" t="s">
        <v>410</v>
      </c>
      <c r="F2" s="835"/>
      <c r="G2" s="835"/>
      <c r="I2" s="835" t="s">
        <v>410</v>
      </c>
      <c r="J2" s="835"/>
      <c r="K2" s="835"/>
      <c r="M2" s="835" t="s">
        <v>410</v>
      </c>
      <c r="N2" s="835"/>
      <c r="O2" s="835"/>
    </row>
    <row r="3" spans="1:15" x14ac:dyDescent="0.25">
      <c r="A3" s="836" t="s">
        <v>411</v>
      </c>
      <c r="B3" s="836"/>
      <c r="C3" s="836"/>
      <c r="D3" s="908"/>
      <c r="E3" s="836" t="s">
        <v>411</v>
      </c>
      <c r="F3" s="836"/>
      <c r="G3" s="836"/>
      <c r="I3" s="836" t="s">
        <v>411</v>
      </c>
      <c r="J3" s="836"/>
      <c r="K3" s="836"/>
      <c r="M3" s="836" t="s">
        <v>411</v>
      </c>
      <c r="N3" s="836"/>
      <c r="O3" s="836"/>
    </row>
    <row r="4" spans="1:15" x14ac:dyDescent="0.25">
      <c r="A4" s="812"/>
      <c r="B4" s="812"/>
      <c r="C4" s="812"/>
      <c r="D4" s="907"/>
      <c r="E4" s="830"/>
      <c r="F4" s="830"/>
      <c r="G4" s="830"/>
      <c r="I4" s="788"/>
      <c r="J4" s="788"/>
      <c r="K4" s="788"/>
      <c r="M4" s="620"/>
      <c r="N4" s="620"/>
      <c r="O4" s="620"/>
    </row>
    <row r="5" spans="1:15" ht="15.75" thickBot="1" x14ac:dyDescent="0.3">
      <c r="A5" s="833" t="s">
        <v>412</v>
      </c>
      <c r="B5" s="833"/>
      <c r="C5" s="833"/>
      <c r="D5" s="909"/>
      <c r="E5" s="833" t="s">
        <v>412</v>
      </c>
      <c r="F5" s="833"/>
      <c r="G5" s="833"/>
      <c r="I5" s="833" t="s">
        <v>412</v>
      </c>
      <c r="J5" s="833"/>
      <c r="K5" s="833"/>
      <c r="M5" s="833" t="s">
        <v>412</v>
      </c>
      <c r="N5" s="833"/>
      <c r="O5" s="833"/>
    </row>
    <row r="6" spans="1:15" ht="15.75" thickBot="1" x14ac:dyDescent="0.3">
      <c r="A6" s="621" t="s">
        <v>413</v>
      </c>
      <c r="B6" s="622" t="s">
        <v>414</v>
      </c>
      <c r="C6" s="623" t="s">
        <v>415</v>
      </c>
      <c r="D6" s="909"/>
      <c r="E6" s="621" t="s">
        <v>413</v>
      </c>
      <c r="F6" s="622" t="s">
        <v>414</v>
      </c>
      <c r="G6" s="623" t="s">
        <v>415</v>
      </c>
      <c r="I6" s="621" t="s">
        <v>413</v>
      </c>
      <c r="J6" s="622" t="s">
        <v>414</v>
      </c>
      <c r="K6" s="623" t="s">
        <v>415</v>
      </c>
      <c r="M6" s="621" t="s">
        <v>413</v>
      </c>
      <c r="N6" s="622" t="s">
        <v>414</v>
      </c>
      <c r="O6" s="623" t="s">
        <v>415</v>
      </c>
    </row>
    <row r="7" spans="1:15" ht="15.75" thickBot="1" x14ac:dyDescent="0.3">
      <c r="A7" s="837" t="s">
        <v>416</v>
      </c>
      <c r="B7" s="838"/>
      <c r="C7" s="624">
        <f>SUM(C8:C11)</f>
        <v>3812</v>
      </c>
      <c r="D7" s="910"/>
      <c r="E7" s="837" t="s">
        <v>416</v>
      </c>
      <c r="F7" s="838"/>
      <c r="G7" s="624">
        <f>SUM(G8:G10)</f>
        <v>5500</v>
      </c>
      <c r="I7" s="837" t="s">
        <v>416</v>
      </c>
      <c r="J7" s="838"/>
      <c r="K7" s="624">
        <f>SUM(K8:K13)</f>
        <v>37810</v>
      </c>
      <c r="M7" s="837" t="s">
        <v>416</v>
      </c>
      <c r="N7" s="838"/>
      <c r="O7" s="624">
        <f>SUM(O8:O12)</f>
        <v>500</v>
      </c>
    </row>
    <row r="8" spans="1:15" x14ac:dyDescent="0.25">
      <c r="A8" s="625">
        <v>133</v>
      </c>
      <c r="B8" s="626" t="s">
        <v>696</v>
      </c>
      <c r="C8" s="627">
        <v>100</v>
      </c>
      <c r="D8" s="911"/>
      <c r="E8" s="625">
        <v>111</v>
      </c>
      <c r="F8" s="626" t="s">
        <v>676</v>
      </c>
      <c r="G8" s="627">
        <v>4000</v>
      </c>
      <c r="I8" s="625">
        <v>111</v>
      </c>
      <c r="J8" s="626" t="s">
        <v>599</v>
      </c>
      <c r="K8" s="627">
        <v>7000</v>
      </c>
      <c r="M8" s="625">
        <v>212</v>
      </c>
      <c r="N8" s="626" t="s">
        <v>467</v>
      </c>
      <c r="O8" s="627">
        <f>120-1</f>
        <v>119</v>
      </c>
    </row>
    <row r="9" spans="1:15" x14ac:dyDescent="0.25">
      <c r="A9" s="625">
        <v>311</v>
      </c>
      <c r="B9" s="626" t="s">
        <v>692</v>
      </c>
      <c r="C9" s="627">
        <v>3000</v>
      </c>
      <c r="D9" s="911"/>
      <c r="E9" s="625">
        <v>223</v>
      </c>
      <c r="F9" s="626" t="s">
        <v>662</v>
      </c>
      <c r="G9" s="627">
        <v>1500</v>
      </c>
      <c r="I9" s="625">
        <v>212</v>
      </c>
      <c r="J9" s="626" t="s">
        <v>612</v>
      </c>
      <c r="K9" s="627">
        <v>810</v>
      </c>
      <c r="M9" s="625">
        <v>212</v>
      </c>
      <c r="N9" s="626" t="s">
        <v>468</v>
      </c>
      <c r="O9" s="627">
        <f>174-293</f>
        <v>-119</v>
      </c>
    </row>
    <row r="10" spans="1:15" x14ac:dyDescent="0.25">
      <c r="A10" s="625">
        <v>312</v>
      </c>
      <c r="B10" s="626" t="s">
        <v>694</v>
      </c>
      <c r="C10" s="627">
        <v>-1250</v>
      </c>
      <c r="D10" s="911"/>
      <c r="E10" s="625"/>
      <c r="F10" s="626"/>
      <c r="G10" s="627"/>
      <c r="I10" s="625">
        <v>292</v>
      </c>
      <c r="J10" s="626" t="s">
        <v>598</v>
      </c>
      <c r="K10" s="627">
        <v>800</v>
      </c>
      <c r="M10" s="625">
        <v>223</v>
      </c>
      <c r="N10" s="626" t="s">
        <v>552</v>
      </c>
      <c r="O10" s="627">
        <v>500</v>
      </c>
    </row>
    <row r="11" spans="1:15" ht="15.75" thickBot="1" x14ac:dyDescent="0.3">
      <c r="A11" s="625">
        <v>312</v>
      </c>
      <c r="B11" s="626" t="s">
        <v>695</v>
      </c>
      <c r="C11" s="627">
        <v>1962</v>
      </c>
      <c r="D11" s="922">
        <f>SUM(C10:C11)</f>
        <v>712</v>
      </c>
      <c r="E11" s="839"/>
      <c r="F11" s="840"/>
      <c r="G11" s="841"/>
      <c r="I11" s="625">
        <v>312</v>
      </c>
      <c r="J11" s="626" t="s">
        <v>600</v>
      </c>
      <c r="K11" s="627">
        <v>11000</v>
      </c>
      <c r="M11" s="625"/>
      <c r="N11" s="626"/>
      <c r="O11" s="627"/>
    </row>
    <row r="12" spans="1:15" ht="15.75" thickBot="1" x14ac:dyDescent="0.3">
      <c r="A12" s="839"/>
      <c r="B12" s="840"/>
      <c r="C12" s="841"/>
      <c r="D12" s="912"/>
      <c r="E12" s="842" t="s">
        <v>173</v>
      </c>
      <c r="F12" s="843"/>
      <c r="G12" s="628">
        <f>SUM(G13:G14)</f>
        <v>0</v>
      </c>
      <c r="I12" s="625">
        <v>312</v>
      </c>
      <c r="J12" s="626" t="s">
        <v>610</v>
      </c>
      <c r="K12" s="627">
        <v>18200</v>
      </c>
      <c r="M12" s="625"/>
      <c r="N12" s="626"/>
      <c r="O12" s="627"/>
    </row>
    <row r="13" spans="1:15" ht="15.75" thickBot="1" x14ac:dyDescent="0.3">
      <c r="A13" s="842" t="s">
        <v>173</v>
      </c>
      <c r="B13" s="843"/>
      <c r="C13" s="628">
        <f>SUM(C14:C15)</f>
        <v>0</v>
      </c>
      <c r="D13" s="913"/>
      <c r="E13" s="629"/>
      <c r="F13" s="630"/>
      <c r="G13" s="631"/>
      <c r="I13" s="625"/>
      <c r="J13" s="626"/>
      <c r="K13" s="627"/>
      <c r="M13" s="839"/>
      <c r="N13" s="840"/>
      <c r="O13" s="841"/>
    </row>
    <row r="14" spans="1:15" ht="15.75" thickBot="1" x14ac:dyDescent="0.3">
      <c r="A14" s="629"/>
      <c r="B14" s="630"/>
      <c r="C14" s="631"/>
      <c r="D14" s="914"/>
      <c r="E14" s="629"/>
      <c r="F14" s="630"/>
      <c r="G14" s="631"/>
      <c r="I14" s="839"/>
      <c r="J14" s="840"/>
      <c r="K14" s="841"/>
      <c r="M14" s="842" t="s">
        <v>173</v>
      </c>
      <c r="N14" s="843"/>
      <c r="O14" s="628">
        <f>SUM(O15:O16)</f>
        <v>178000</v>
      </c>
    </row>
    <row r="15" spans="1:15" ht="15.75" thickBot="1" x14ac:dyDescent="0.3">
      <c r="A15" s="629"/>
      <c r="B15" s="630"/>
      <c r="C15" s="631"/>
      <c r="D15" s="914"/>
      <c r="E15" s="844"/>
      <c r="F15" s="845"/>
      <c r="G15" s="846"/>
      <c r="I15" s="842" t="s">
        <v>173</v>
      </c>
      <c r="J15" s="843"/>
      <c r="K15" s="628">
        <f>SUM(K16:K17)</f>
        <v>0</v>
      </c>
      <c r="M15" s="629">
        <v>322</v>
      </c>
      <c r="N15" s="630" t="s">
        <v>553</v>
      </c>
      <c r="O15" s="631">
        <v>178000</v>
      </c>
    </row>
    <row r="16" spans="1:15" ht="15.75" thickBot="1" x14ac:dyDescent="0.3">
      <c r="A16" s="844"/>
      <c r="B16" s="845"/>
      <c r="C16" s="846"/>
      <c r="D16" s="912"/>
      <c r="E16" s="847" t="s">
        <v>195</v>
      </c>
      <c r="F16" s="848"/>
      <c r="G16" s="632">
        <f>SUM(G17:G18)</f>
        <v>0</v>
      </c>
      <c r="I16" s="629"/>
      <c r="J16" s="630"/>
      <c r="K16" s="631"/>
      <c r="M16" s="629"/>
      <c r="N16" s="630"/>
      <c r="O16" s="631"/>
    </row>
    <row r="17" spans="1:15" ht="15.75" thickBot="1" x14ac:dyDescent="0.3">
      <c r="A17" s="847" t="s">
        <v>195</v>
      </c>
      <c r="B17" s="848"/>
      <c r="C17" s="632">
        <f>SUM(C18:C19)</f>
        <v>0</v>
      </c>
      <c r="D17" s="913"/>
      <c r="E17" s="633"/>
      <c r="F17" s="634"/>
      <c r="G17" s="635"/>
      <c r="I17" s="629"/>
      <c r="J17" s="630"/>
      <c r="K17" s="631"/>
      <c r="M17" s="844"/>
      <c r="N17" s="845"/>
      <c r="O17" s="846"/>
    </row>
    <row r="18" spans="1:15" ht="15.75" thickBot="1" x14ac:dyDescent="0.3">
      <c r="A18" s="633"/>
      <c r="B18" s="634"/>
      <c r="C18" s="635"/>
      <c r="D18" s="905"/>
      <c r="E18" s="636"/>
      <c r="F18" s="637"/>
      <c r="G18" s="638"/>
      <c r="I18" s="844"/>
      <c r="J18" s="845"/>
      <c r="K18" s="846"/>
      <c r="M18" s="847" t="s">
        <v>195</v>
      </c>
      <c r="N18" s="848"/>
      <c r="O18" s="632">
        <f>SUM(O19:O20)</f>
        <v>3421</v>
      </c>
    </row>
    <row r="19" spans="1:15" ht="15.75" thickBot="1" x14ac:dyDescent="0.3">
      <c r="A19" s="636"/>
      <c r="B19" s="637"/>
      <c r="C19" s="638"/>
      <c r="D19" s="905"/>
      <c r="E19" s="849" t="s">
        <v>417</v>
      </c>
      <c r="F19" s="850"/>
      <c r="G19" s="639">
        <f>G7+G12+G16</f>
        <v>5500</v>
      </c>
      <c r="I19" s="847" t="s">
        <v>195</v>
      </c>
      <c r="J19" s="848"/>
      <c r="K19" s="632">
        <f>SUM(K20:K21)</f>
        <v>0</v>
      </c>
      <c r="M19" s="633">
        <v>456</v>
      </c>
      <c r="N19" s="634" t="s">
        <v>520</v>
      </c>
      <c r="O19" s="635">
        <v>3421</v>
      </c>
    </row>
    <row r="20" spans="1:15" ht="15.75" thickBot="1" x14ac:dyDescent="0.3">
      <c r="A20" s="849" t="s">
        <v>417</v>
      </c>
      <c r="B20" s="850"/>
      <c r="C20" s="639">
        <f>C7+C13+C17</f>
        <v>3812</v>
      </c>
      <c r="D20" s="915"/>
      <c r="E20" s="640" t="s">
        <v>65</v>
      </c>
      <c r="F20" s="641" t="s">
        <v>418</v>
      </c>
      <c r="G20" s="642"/>
      <c r="I20" s="633"/>
      <c r="J20" s="634"/>
      <c r="K20" s="635"/>
      <c r="M20" s="636"/>
      <c r="N20" s="637"/>
      <c r="O20" s="638"/>
    </row>
    <row r="21" spans="1:15" ht="15.75" thickBot="1" x14ac:dyDescent="0.3">
      <c r="A21" s="640" t="s">
        <v>65</v>
      </c>
      <c r="B21" s="641" t="s">
        <v>418</v>
      </c>
      <c r="C21" s="642"/>
      <c r="D21" s="905"/>
      <c r="E21" s="601" t="s">
        <v>65</v>
      </c>
      <c r="F21" s="643" t="s">
        <v>428</v>
      </c>
      <c r="G21" s="644"/>
      <c r="I21" s="636"/>
      <c r="J21" s="637"/>
      <c r="K21" s="638"/>
      <c r="M21" s="849" t="s">
        <v>417</v>
      </c>
      <c r="N21" s="850"/>
      <c r="O21" s="639">
        <f>O7+O14+O18</f>
        <v>181921</v>
      </c>
    </row>
    <row r="22" spans="1:15" ht="15.75" thickBot="1" x14ac:dyDescent="0.3">
      <c r="A22" s="601" t="s">
        <v>65</v>
      </c>
      <c r="B22" s="643" t="s">
        <v>428</v>
      </c>
      <c r="C22" s="644"/>
      <c r="D22" s="905"/>
      <c r="E22" s="851" t="s">
        <v>420</v>
      </c>
      <c r="F22" s="852"/>
      <c r="G22" s="645">
        <f>SUM(G19:G21)</f>
        <v>5500</v>
      </c>
      <c r="I22" s="849" t="s">
        <v>417</v>
      </c>
      <c r="J22" s="850"/>
      <c r="K22" s="639">
        <f>K7+K15+K19</f>
        <v>37810</v>
      </c>
      <c r="M22" s="640" t="s">
        <v>65</v>
      </c>
      <c r="N22" s="641" t="s">
        <v>418</v>
      </c>
      <c r="O22" s="642"/>
    </row>
    <row r="23" spans="1:15" ht="15.75" thickBot="1" x14ac:dyDescent="0.3">
      <c r="A23" s="851" t="s">
        <v>420</v>
      </c>
      <c r="B23" s="852"/>
      <c r="C23" s="645">
        <f>SUM(C20:C22)</f>
        <v>3812</v>
      </c>
      <c r="D23" s="916"/>
      <c r="F23" s="598"/>
      <c r="G23" s="458"/>
      <c r="I23" s="640" t="s">
        <v>65</v>
      </c>
      <c r="J23" s="641" t="s">
        <v>418</v>
      </c>
      <c r="K23" s="642"/>
      <c r="M23" s="601" t="s">
        <v>65</v>
      </c>
      <c r="N23" s="643" t="s">
        <v>428</v>
      </c>
      <c r="O23" s="644"/>
    </row>
    <row r="24" spans="1:15" ht="15.75" thickBot="1" x14ac:dyDescent="0.3">
      <c r="B24" s="598"/>
      <c r="C24" s="458"/>
      <c r="D24" s="917"/>
      <c r="E24" s="833" t="s">
        <v>421</v>
      </c>
      <c r="F24" s="833"/>
      <c r="G24" s="833"/>
      <c r="I24" s="601" t="s">
        <v>65</v>
      </c>
      <c r="J24" s="643" t="s">
        <v>428</v>
      </c>
      <c r="K24" s="644"/>
      <c r="M24" s="851" t="s">
        <v>420</v>
      </c>
      <c r="N24" s="852"/>
      <c r="O24" s="645">
        <f>SUM(O21:O23)</f>
        <v>181921</v>
      </c>
    </row>
    <row r="25" spans="1:15" ht="15.75" thickBot="1" x14ac:dyDescent="0.3">
      <c r="A25" s="833" t="s">
        <v>421</v>
      </c>
      <c r="B25" s="833"/>
      <c r="C25" s="833"/>
      <c r="D25" s="909"/>
      <c r="E25" s="646" t="s">
        <v>271</v>
      </c>
      <c r="F25" s="647" t="s">
        <v>422</v>
      </c>
      <c r="G25" s="648" t="s">
        <v>423</v>
      </c>
      <c r="I25" s="851" t="s">
        <v>420</v>
      </c>
      <c r="J25" s="852"/>
      <c r="K25" s="645">
        <f>SUM(K22:K24)</f>
        <v>37810</v>
      </c>
      <c r="N25" s="598"/>
      <c r="O25" s="458"/>
    </row>
    <row r="26" spans="1:15" ht="15.75" thickBot="1" x14ac:dyDescent="0.3">
      <c r="A26" s="646" t="s">
        <v>271</v>
      </c>
      <c r="B26" s="647" t="s">
        <v>422</v>
      </c>
      <c r="C26" s="648" t="s">
        <v>423</v>
      </c>
      <c r="D26" s="918"/>
      <c r="E26" s="837" t="s">
        <v>416</v>
      </c>
      <c r="F26" s="838"/>
      <c r="G26" s="649">
        <f>SUM(G27:G34)</f>
        <v>5500</v>
      </c>
      <c r="J26" s="598"/>
      <c r="K26" s="458"/>
      <c r="M26" s="833" t="s">
        <v>421</v>
      </c>
      <c r="N26" s="833"/>
      <c r="O26" s="833"/>
    </row>
    <row r="27" spans="1:15" ht="15.75" thickBot="1" x14ac:dyDescent="0.3">
      <c r="A27" s="837" t="s">
        <v>416</v>
      </c>
      <c r="B27" s="838"/>
      <c r="C27" s="649">
        <f>SUM(C28:C31)</f>
        <v>3000</v>
      </c>
      <c r="D27" s="919"/>
      <c r="E27" s="650" t="s">
        <v>77</v>
      </c>
      <c r="F27" s="651" t="s">
        <v>527</v>
      </c>
      <c r="G27" s="627">
        <v>500</v>
      </c>
      <c r="I27" s="833" t="s">
        <v>421</v>
      </c>
      <c r="J27" s="833"/>
      <c r="K27" s="833"/>
      <c r="M27" s="646" t="s">
        <v>271</v>
      </c>
      <c r="N27" s="647" t="s">
        <v>422</v>
      </c>
      <c r="O27" s="648" t="s">
        <v>423</v>
      </c>
    </row>
    <row r="28" spans="1:15" ht="15.75" thickBot="1" x14ac:dyDescent="0.3">
      <c r="A28" s="650"/>
      <c r="B28" s="651"/>
      <c r="C28" s="627"/>
      <c r="D28" s="911"/>
      <c r="E28" s="650" t="s">
        <v>92</v>
      </c>
      <c r="F28" s="651" t="s">
        <v>665</v>
      </c>
      <c r="G28" s="627">
        <v>242</v>
      </c>
      <c r="I28" s="646" t="s">
        <v>271</v>
      </c>
      <c r="J28" s="647" t="s">
        <v>422</v>
      </c>
      <c r="K28" s="648" t="s">
        <v>423</v>
      </c>
      <c r="M28" s="837" t="s">
        <v>416</v>
      </c>
      <c r="N28" s="838"/>
      <c r="O28" s="649">
        <f>SUM(O29:O49)</f>
        <v>500</v>
      </c>
    </row>
    <row r="29" spans="1:15" ht="15.75" thickBot="1" x14ac:dyDescent="0.3">
      <c r="A29" s="650" t="s">
        <v>125</v>
      </c>
      <c r="B29" s="651" t="s">
        <v>693</v>
      </c>
      <c r="C29" s="627">
        <v>3000</v>
      </c>
      <c r="D29" s="911"/>
      <c r="E29" s="650" t="s">
        <v>94</v>
      </c>
      <c r="F29" s="651" t="s">
        <v>664</v>
      </c>
      <c r="G29" s="627">
        <f>1980+580</f>
        <v>2560</v>
      </c>
      <c r="I29" s="837" t="s">
        <v>416</v>
      </c>
      <c r="J29" s="838"/>
      <c r="K29" s="649">
        <f>SUM(K30:K40)</f>
        <v>37810</v>
      </c>
      <c r="M29" s="650" t="s">
        <v>75</v>
      </c>
      <c r="N29" s="651" t="s">
        <v>504</v>
      </c>
      <c r="O29" s="627">
        <v>-1600</v>
      </c>
    </row>
    <row r="30" spans="1:15" x14ac:dyDescent="0.25">
      <c r="A30" s="650"/>
      <c r="B30" s="651"/>
      <c r="C30" s="627"/>
      <c r="D30" s="911"/>
      <c r="E30" s="650" t="s">
        <v>112</v>
      </c>
      <c r="F30" s="651" t="s">
        <v>677</v>
      </c>
      <c r="G30" s="627">
        <v>240</v>
      </c>
      <c r="I30" s="650" t="s">
        <v>75</v>
      </c>
      <c r="J30" s="651" t="s">
        <v>603</v>
      </c>
      <c r="K30" s="627">
        <v>800</v>
      </c>
      <c r="M30" s="650" t="s">
        <v>77</v>
      </c>
      <c r="N30" s="651" t="s">
        <v>526</v>
      </c>
      <c r="O30" s="627">
        <f>-1000</f>
        <v>-1000</v>
      </c>
    </row>
    <row r="31" spans="1:15" x14ac:dyDescent="0.25">
      <c r="A31" s="650"/>
      <c r="B31" s="651"/>
      <c r="C31" s="627"/>
      <c r="D31" s="911"/>
      <c r="E31" s="650" t="s">
        <v>125</v>
      </c>
      <c r="F31" s="651" t="s">
        <v>663</v>
      </c>
      <c r="G31" s="627">
        <f>1500+358</f>
        <v>1858</v>
      </c>
      <c r="I31" s="650" t="s">
        <v>85</v>
      </c>
      <c r="J31" s="651" t="s">
        <v>611</v>
      </c>
      <c r="K31" s="627">
        <v>1000</v>
      </c>
      <c r="M31" s="650" t="s">
        <v>77</v>
      </c>
      <c r="N31" s="651" t="s">
        <v>527</v>
      </c>
      <c r="O31" s="627">
        <v>-2000</v>
      </c>
    </row>
    <row r="32" spans="1:15" ht="15.75" thickBot="1" x14ac:dyDescent="0.3">
      <c r="A32" s="652"/>
      <c r="B32" s="653"/>
      <c r="C32" s="654"/>
      <c r="D32" s="911"/>
      <c r="E32" s="650" t="s">
        <v>131</v>
      </c>
      <c r="F32" s="651" t="s">
        <v>666</v>
      </c>
      <c r="G32" s="627">
        <v>100</v>
      </c>
      <c r="I32" s="650" t="s">
        <v>89</v>
      </c>
      <c r="J32" s="651" t="s">
        <v>604</v>
      </c>
      <c r="K32" s="627">
        <v>560</v>
      </c>
      <c r="M32" s="650" t="s">
        <v>79</v>
      </c>
      <c r="N32" s="651" t="s">
        <v>517</v>
      </c>
      <c r="O32" s="627">
        <v>2000</v>
      </c>
    </row>
    <row r="33" spans="1:15" ht="15.75" thickBot="1" x14ac:dyDescent="0.3">
      <c r="A33" s="842" t="s">
        <v>173</v>
      </c>
      <c r="B33" s="853"/>
      <c r="C33" s="655">
        <f>SUM(C34:C39)</f>
        <v>0</v>
      </c>
      <c r="D33" s="911"/>
      <c r="E33" s="650"/>
      <c r="F33" s="651"/>
      <c r="G33" s="627"/>
      <c r="I33" s="650" t="s">
        <v>94</v>
      </c>
      <c r="J33" s="651" t="s">
        <v>605</v>
      </c>
      <c r="K33" s="627">
        <v>1150</v>
      </c>
      <c r="M33" s="650" t="s">
        <v>87</v>
      </c>
      <c r="N33" s="651" t="s">
        <v>505</v>
      </c>
      <c r="O33" s="627">
        <v>1700</v>
      </c>
    </row>
    <row r="34" spans="1:15" x14ac:dyDescent="0.25">
      <c r="A34" s="822"/>
      <c r="B34" s="670"/>
      <c r="C34" s="823"/>
      <c r="D34" s="911"/>
      <c r="E34" s="650"/>
      <c r="F34" s="651"/>
      <c r="G34" s="627"/>
      <c r="I34" s="650" t="s">
        <v>123</v>
      </c>
      <c r="J34" s="651" t="s">
        <v>613</v>
      </c>
      <c r="K34" s="627">
        <v>200</v>
      </c>
      <c r="M34" s="650" t="s">
        <v>89</v>
      </c>
      <c r="N34" s="651" t="s">
        <v>528</v>
      </c>
      <c r="O34" s="627">
        <v>2000</v>
      </c>
    </row>
    <row r="35" spans="1:15" ht="15.75" thickBot="1" x14ac:dyDescent="0.3">
      <c r="A35" s="824"/>
      <c r="B35" s="670"/>
      <c r="C35" s="825"/>
      <c r="D35" s="911"/>
      <c r="E35" s="652"/>
      <c r="F35" s="653"/>
      <c r="G35" s="654"/>
      <c r="I35" s="650" t="s">
        <v>125</v>
      </c>
      <c r="J35" s="651" t="s">
        <v>614</v>
      </c>
      <c r="K35" s="627">
        <v>12000</v>
      </c>
      <c r="M35" s="650" t="s">
        <v>101</v>
      </c>
      <c r="N35" s="651" t="s">
        <v>506</v>
      </c>
      <c r="O35" s="627">
        <v>2900</v>
      </c>
    </row>
    <row r="36" spans="1:15" ht="15.75" thickBot="1" x14ac:dyDescent="0.3">
      <c r="A36" s="824"/>
      <c r="B36" s="670"/>
      <c r="C36" s="825"/>
      <c r="D36" s="911"/>
      <c r="E36" s="842" t="s">
        <v>173</v>
      </c>
      <c r="F36" s="853"/>
      <c r="G36" s="655">
        <f>SUM(G37:G42)</f>
        <v>0</v>
      </c>
      <c r="I36" s="650" t="s">
        <v>125</v>
      </c>
      <c r="J36" s="651" t="s">
        <v>602</v>
      </c>
      <c r="K36" s="627">
        <v>300</v>
      </c>
      <c r="M36" s="650" t="s">
        <v>108</v>
      </c>
      <c r="N36" s="651" t="s">
        <v>525</v>
      </c>
      <c r="O36" s="627">
        <f>200+400-800-1300-1900-400-1700-3900-7800-1000</f>
        <v>-18200</v>
      </c>
    </row>
    <row r="37" spans="1:15" x14ac:dyDescent="0.25">
      <c r="A37" s="824"/>
      <c r="B37" s="670"/>
      <c r="C37" s="825"/>
      <c r="D37" s="911"/>
      <c r="E37" s="822" t="s">
        <v>108</v>
      </c>
      <c r="F37" s="670" t="s">
        <v>324</v>
      </c>
      <c r="G37" s="823">
        <v>6000</v>
      </c>
      <c r="I37" s="650" t="s">
        <v>127</v>
      </c>
      <c r="J37" s="651" t="s">
        <v>609</v>
      </c>
      <c r="K37" s="627">
        <v>500</v>
      </c>
      <c r="M37" s="650" t="s">
        <v>110</v>
      </c>
      <c r="N37" s="651" t="s">
        <v>507</v>
      </c>
      <c r="O37" s="627">
        <v>15600</v>
      </c>
    </row>
    <row r="38" spans="1:15" x14ac:dyDescent="0.25">
      <c r="A38" s="824"/>
      <c r="B38" s="670"/>
      <c r="C38" s="825"/>
      <c r="D38" s="911"/>
      <c r="E38" s="824" t="s">
        <v>112</v>
      </c>
      <c r="F38" s="670" t="s">
        <v>675</v>
      </c>
      <c r="G38" s="825">
        <v>19000</v>
      </c>
      <c r="I38" s="650" t="s">
        <v>500</v>
      </c>
      <c r="J38" s="651" t="s">
        <v>615</v>
      </c>
      <c r="K38" s="627">
        <v>5300</v>
      </c>
      <c r="M38" s="650" t="s">
        <v>112</v>
      </c>
      <c r="N38" s="651" t="s">
        <v>508</v>
      </c>
      <c r="O38" s="627">
        <v>7500</v>
      </c>
    </row>
    <row r="39" spans="1:15" ht="15.75" thickBot="1" x14ac:dyDescent="0.3">
      <c r="A39" s="824"/>
      <c r="B39" s="673"/>
      <c r="C39" s="825"/>
      <c r="D39" s="920"/>
      <c r="E39" s="824" t="s">
        <v>125</v>
      </c>
      <c r="F39" s="670" t="s">
        <v>522</v>
      </c>
      <c r="G39" s="825">
        <v>-15000</v>
      </c>
      <c r="I39" s="650" t="s">
        <v>153</v>
      </c>
      <c r="J39" s="651" t="s">
        <v>601</v>
      </c>
      <c r="K39" s="627">
        <v>16000</v>
      </c>
      <c r="M39" s="650" t="s">
        <v>112</v>
      </c>
      <c r="N39" s="651" t="s">
        <v>509</v>
      </c>
      <c r="O39" s="627">
        <v>-3000</v>
      </c>
    </row>
    <row r="40" spans="1:15" ht="15.75" thickBot="1" x14ac:dyDescent="0.3">
      <c r="A40" s="847" t="s">
        <v>195</v>
      </c>
      <c r="B40" s="854"/>
      <c r="C40" s="632">
        <f>SUM(C41)</f>
        <v>0</v>
      </c>
      <c r="D40" s="913"/>
      <c r="E40" s="824" t="s">
        <v>125</v>
      </c>
      <c r="F40" s="670" t="s">
        <v>523</v>
      </c>
      <c r="G40" s="825">
        <v>-10000</v>
      </c>
      <c r="I40" s="650"/>
      <c r="J40" s="651"/>
      <c r="K40" s="627"/>
      <c r="M40" s="650" t="s">
        <v>123</v>
      </c>
      <c r="N40" s="651" t="s">
        <v>510</v>
      </c>
      <c r="O40" s="627">
        <v>1700</v>
      </c>
    </row>
    <row r="41" spans="1:15" ht="15.75" thickBot="1" x14ac:dyDescent="0.3">
      <c r="A41" s="746"/>
      <c r="B41" s="725"/>
      <c r="C41" s="747"/>
      <c r="D41" s="914"/>
      <c r="E41" s="824"/>
      <c r="F41" s="670"/>
      <c r="G41" s="825"/>
      <c r="I41" s="652"/>
      <c r="J41" s="653"/>
      <c r="K41" s="654"/>
      <c r="M41" s="650" t="s">
        <v>125</v>
      </c>
      <c r="N41" s="651" t="s">
        <v>511</v>
      </c>
      <c r="O41" s="627">
        <v>-1000</v>
      </c>
    </row>
    <row r="42" spans="1:15" ht="15.75" thickBot="1" x14ac:dyDescent="0.3">
      <c r="A42" s="826"/>
      <c r="B42" s="827"/>
      <c r="C42" s="828"/>
      <c r="D42" s="914"/>
      <c r="E42" s="824"/>
      <c r="F42" s="673"/>
      <c r="G42" s="825"/>
      <c r="I42" s="842" t="s">
        <v>173</v>
      </c>
      <c r="J42" s="853"/>
      <c r="K42" s="655">
        <f>SUM(K43:K45)</f>
        <v>0</v>
      </c>
      <c r="M42" s="650" t="s">
        <v>125</v>
      </c>
      <c r="N42" s="651" t="s">
        <v>519</v>
      </c>
      <c r="O42" s="627">
        <v>500</v>
      </c>
    </row>
    <row r="43" spans="1:15" ht="15.75" thickBot="1" x14ac:dyDescent="0.3">
      <c r="A43" s="849" t="s">
        <v>417</v>
      </c>
      <c r="B43" s="850"/>
      <c r="C43" s="639">
        <f>C27+C33+C40</f>
        <v>3000</v>
      </c>
      <c r="D43" s="914"/>
      <c r="E43" s="847" t="s">
        <v>195</v>
      </c>
      <c r="F43" s="854"/>
      <c r="G43" s="632">
        <f>SUM(G44)</f>
        <v>0</v>
      </c>
      <c r="I43" s="669"/>
      <c r="J43" s="670"/>
      <c r="K43" s="671"/>
      <c r="M43" s="650" t="s">
        <v>125</v>
      </c>
      <c r="N43" s="651" t="s">
        <v>512</v>
      </c>
      <c r="O43" s="627">
        <v>1600</v>
      </c>
    </row>
    <row r="44" spans="1:15" x14ac:dyDescent="0.25">
      <c r="A44" s="662" t="s">
        <v>65</v>
      </c>
      <c r="B44" s="663" t="s">
        <v>424</v>
      </c>
      <c r="C44" s="664"/>
      <c r="D44" s="914"/>
      <c r="E44" s="746"/>
      <c r="F44" s="725"/>
      <c r="G44" s="747"/>
      <c r="I44" s="672"/>
      <c r="J44" s="673"/>
      <c r="K44" s="674"/>
      <c r="M44" s="650" t="s">
        <v>129</v>
      </c>
      <c r="N44" s="651" t="s">
        <v>513</v>
      </c>
      <c r="O44" s="627">
        <v>-1500</v>
      </c>
    </row>
    <row r="45" spans="1:15" ht="15.75" thickBot="1" x14ac:dyDescent="0.3">
      <c r="A45" s="665" t="s">
        <v>65</v>
      </c>
      <c r="B45" s="494" t="s">
        <v>429</v>
      </c>
      <c r="C45" s="666">
        <f>-1250+1962+100</f>
        <v>812</v>
      </c>
      <c r="D45" s="914"/>
      <c r="E45" s="826"/>
      <c r="F45" s="827"/>
      <c r="G45" s="828"/>
      <c r="I45" s="672"/>
      <c r="J45" s="673"/>
      <c r="K45" s="674"/>
      <c r="M45" s="650" t="s">
        <v>134</v>
      </c>
      <c r="N45" s="651" t="s">
        <v>514</v>
      </c>
      <c r="O45" s="627">
        <v>-6900</v>
      </c>
    </row>
    <row r="46" spans="1:15" ht="15.75" thickBot="1" x14ac:dyDescent="0.3">
      <c r="A46" s="851" t="s">
        <v>420</v>
      </c>
      <c r="B46" s="855"/>
      <c r="C46" s="645">
        <f>SUM(C43:C45)</f>
        <v>3812</v>
      </c>
      <c r="D46" s="914"/>
      <c r="E46" s="849" t="s">
        <v>417</v>
      </c>
      <c r="F46" s="850"/>
      <c r="G46" s="639">
        <f>G26+G36+G43</f>
        <v>5500</v>
      </c>
      <c r="I46" s="847" t="s">
        <v>195</v>
      </c>
      <c r="J46" s="854"/>
      <c r="K46" s="632">
        <f>SUM(K47)</f>
        <v>0</v>
      </c>
      <c r="M46" s="650" t="s">
        <v>146</v>
      </c>
      <c r="N46" s="651" t="s">
        <v>518</v>
      </c>
      <c r="O46" s="627">
        <f>5000-5000</f>
        <v>0</v>
      </c>
    </row>
    <row r="47" spans="1:15" x14ac:dyDescent="0.25">
      <c r="B47" s="667" t="s">
        <v>426</v>
      </c>
      <c r="C47" s="458">
        <f>C46-C23</f>
        <v>0</v>
      </c>
      <c r="D47" s="913"/>
      <c r="E47" s="662" t="s">
        <v>65</v>
      </c>
      <c r="F47" s="663" t="s">
        <v>424</v>
      </c>
      <c r="G47" s="664"/>
      <c r="I47" s="746"/>
      <c r="J47" s="725"/>
      <c r="K47" s="747"/>
      <c r="M47" s="650" t="s">
        <v>150</v>
      </c>
      <c r="N47" s="651" t="s">
        <v>515</v>
      </c>
      <c r="O47" s="627">
        <v>1800</v>
      </c>
    </row>
    <row r="48" spans="1:15" ht="15.75" thickBot="1" x14ac:dyDescent="0.3">
      <c r="D48" s="921"/>
      <c r="E48" s="665" t="s">
        <v>65</v>
      </c>
      <c r="F48" s="494" t="s">
        <v>429</v>
      </c>
      <c r="G48" s="666"/>
      <c r="I48" s="659"/>
      <c r="J48" s="660"/>
      <c r="K48" s="661"/>
      <c r="M48" s="650" t="s">
        <v>150</v>
      </c>
      <c r="N48" s="651" t="s">
        <v>516</v>
      </c>
      <c r="O48" s="627">
        <v>-1600</v>
      </c>
    </row>
    <row r="49" spans="1:15" ht="15.75" thickBot="1" x14ac:dyDescent="0.3">
      <c r="D49" s="905"/>
      <c r="E49" s="851" t="s">
        <v>420</v>
      </c>
      <c r="F49" s="855"/>
      <c r="G49" s="645">
        <f>SUM(G46:G48)</f>
        <v>5500</v>
      </c>
      <c r="I49" s="849" t="s">
        <v>417</v>
      </c>
      <c r="J49" s="850"/>
      <c r="K49" s="639">
        <f>K29+K42+K46</f>
        <v>37810</v>
      </c>
      <c r="M49" s="650"/>
      <c r="N49" s="651"/>
      <c r="O49" s="627"/>
    </row>
    <row r="50" spans="1:15" ht="15.75" thickBot="1" x14ac:dyDescent="0.3">
      <c r="A50" s="668" t="s">
        <v>697</v>
      </c>
      <c r="D50" s="915"/>
      <c r="F50" s="667" t="s">
        <v>426</v>
      </c>
      <c r="G50" s="458">
        <f>G49-G22</f>
        <v>0</v>
      </c>
      <c r="I50" s="662" t="s">
        <v>65</v>
      </c>
      <c r="J50" s="663" t="s">
        <v>424</v>
      </c>
      <c r="K50" s="664"/>
      <c r="M50" s="652"/>
      <c r="N50" s="653"/>
      <c r="O50" s="654"/>
    </row>
    <row r="51" spans="1:15" ht="15.75" thickBot="1" x14ac:dyDescent="0.3">
      <c r="A51" t="s">
        <v>427</v>
      </c>
      <c r="D51" s="905"/>
      <c r="I51" s="665" t="s">
        <v>65</v>
      </c>
      <c r="J51" s="494" t="s">
        <v>429</v>
      </c>
      <c r="K51" s="666"/>
      <c r="M51" s="842" t="s">
        <v>173</v>
      </c>
      <c r="N51" s="853"/>
      <c r="O51" s="655">
        <f>SUM(O52:O60)</f>
        <v>178000</v>
      </c>
    </row>
    <row r="52" spans="1:15" ht="15.75" thickBot="1" x14ac:dyDescent="0.3">
      <c r="D52" s="905"/>
      <c r="I52" s="851" t="s">
        <v>420</v>
      </c>
      <c r="J52" s="855"/>
      <c r="K52" s="645">
        <f>SUM(K49:K51)</f>
        <v>37810</v>
      </c>
      <c r="M52" s="669" t="s">
        <v>96</v>
      </c>
      <c r="N52" s="670" t="s">
        <v>534</v>
      </c>
      <c r="O52" s="671">
        <v>-2000</v>
      </c>
    </row>
    <row r="53" spans="1:15" x14ac:dyDescent="0.25">
      <c r="D53" s="916"/>
      <c r="E53" s="668" t="s">
        <v>681</v>
      </c>
      <c r="J53" s="667" t="s">
        <v>426</v>
      </c>
      <c r="K53" s="458">
        <f>K52-K25</f>
        <v>0</v>
      </c>
      <c r="M53" s="669" t="s">
        <v>101</v>
      </c>
      <c r="N53" s="670" t="s">
        <v>533</v>
      </c>
      <c r="O53" s="671">
        <v>-50000</v>
      </c>
    </row>
    <row r="54" spans="1:15" x14ac:dyDescent="0.25">
      <c r="D54" s="917"/>
      <c r="E54" t="s">
        <v>427</v>
      </c>
      <c r="M54" s="669" t="s">
        <v>188</v>
      </c>
      <c r="N54" s="670" t="s">
        <v>530</v>
      </c>
      <c r="O54" s="671">
        <v>37000</v>
      </c>
    </row>
    <row r="55" spans="1:15" x14ac:dyDescent="0.25">
      <c r="I55" t="s">
        <v>427</v>
      </c>
      <c r="M55" s="669" t="s">
        <v>108</v>
      </c>
      <c r="N55" s="670" t="s">
        <v>535</v>
      </c>
      <c r="O55" s="671">
        <v>-38000</v>
      </c>
    </row>
    <row r="56" spans="1:15" x14ac:dyDescent="0.25">
      <c r="I56" s="668" t="s">
        <v>617</v>
      </c>
      <c r="M56" s="669" t="s">
        <v>112</v>
      </c>
      <c r="N56" s="670" t="s">
        <v>531</v>
      </c>
      <c r="O56" s="671">
        <v>70000</v>
      </c>
    </row>
    <row r="57" spans="1:15" x14ac:dyDescent="0.25">
      <c r="M57" s="669" t="s">
        <v>123</v>
      </c>
      <c r="N57" s="670" t="s">
        <v>532</v>
      </c>
      <c r="O57" s="671">
        <v>246000</v>
      </c>
    </row>
    <row r="58" spans="1:15" x14ac:dyDescent="0.25">
      <c r="M58" s="669" t="s">
        <v>125</v>
      </c>
      <c r="N58" s="670" t="s">
        <v>522</v>
      </c>
      <c r="O58" s="671">
        <v>15000</v>
      </c>
    </row>
    <row r="59" spans="1:15" x14ac:dyDescent="0.25">
      <c r="M59" s="672" t="s">
        <v>125</v>
      </c>
      <c r="N59" s="673" t="s">
        <v>523</v>
      </c>
      <c r="O59" s="674">
        <v>-100000</v>
      </c>
    </row>
    <row r="60" spans="1:15" ht="15.75" thickBot="1" x14ac:dyDescent="0.3">
      <c r="M60" s="672"/>
      <c r="N60" s="673"/>
      <c r="O60" s="674"/>
    </row>
    <row r="61" spans="1:15" ht="15.75" thickBot="1" x14ac:dyDescent="0.3">
      <c r="M61" s="847" t="s">
        <v>195</v>
      </c>
      <c r="N61" s="854"/>
      <c r="O61" s="632">
        <f>SUM(O62)</f>
        <v>3421</v>
      </c>
    </row>
    <row r="62" spans="1:15" x14ac:dyDescent="0.25">
      <c r="M62" s="746">
        <v>819</v>
      </c>
      <c r="N62" s="725" t="s">
        <v>521</v>
      </c>
      <c r="O62" s="747">
        <v>3421</v>
      </c>
    </row>
    <row r="63" spans="1:15" ht="15.75" thickBot="1" x14ac:dyDescent="0.3">
      <c r="M63" s="659"/>
      <c r="N63" s="660"/>
      <c r="O63" s="661"/>
    </row>
    <row r="64" spans="1:15" ht="15.75" thickBot="1" x14ac:dyDescent="0.3">
      <c r="M64" s="849" t="s">
        <v>417</v>
      </c>
      <c r="N64" s="850"/>
      <c r="O64" s="639">
        <f>O28+O51+O61</f>
        <v>181921</v>
      </c>
    </row>
    <row r="65" spans="13:15" x14ac:dyDescent="0.25">
      <c r="M65" s="662" t="s">
        <v>65</v>
      </c>
      <c r="N65" s="663" t="s">
        <v>424</v>
      </c>
      <c r="O65" s="664"/>
    </row>
    <row r="66" spans="13:15" ht="15.75" thickBot="1" x14ac:dyDescent="0.3">
      <c r="M66" s="665" t="s">
        <v>65</v>
      </c>
      <c r="N66" s="494" t="s">
        <v>429</v>
      </c>
      <c r="O66" s="666"/>
    </row>
    <row r="67" spans="13:15" ht="15.75" thickBot="1" x14ac:dyDescent="0.3">
      <c r="M67" s="851" t="s">
        <v>420</v>
      </c>
      <c r="N67" s="855"/>
      <c r="O67" s="645">
        <f>SUM(O64:O66)</f>
        <v>181921</v>
      </c>
    </row>
    <row r="68" spans="13:15" x14ac:dyDescent="0.25">
      <c r="N68" s="667" t="s">
        <v>426</v>
      </c>
      <c r="O68" s="458">
        <f>O67-O24</f>
        <v>0</v>
      </c>
    </row>
    <row r="70" spans="13:15" x14ac:dyDescent="0.25">
      <c r="M70" t="s">
        <v>427</v>
      </c>
    </row>
    <row r="71" spans="13:15" x14ac:dyDescent="0.25">
      <c r="M71" s="668" t="s">
        <v>558</v>
      </c>
    </row>
  </sheetData>
  <sortState ref="A8:C11">
    <sortCondition ref="A8"/>
  </sortState>
  <mergeCells count="68">
    <mergeCell ref="E46:F46"/>
    <mergeCell ref="E49:F49"/>
    <mergeCell ref="E1:G1"/>
    <mergeCell ref="E2:G2"/>
    <mergeCell ref="E3:G3"/>
    <mergeCell ref="E5:G5"/>
    <mergeCell ref="E7:F7"/>
    <mergeCell ref="E11:G11"/>
    <mergeCell ref="E12:F12"/>
    <mergeCell ref="E15:G15"/>
    <mergeCell ref="E16:F16"/>
    <mergeCell ref="E19:F19"/>
    <mergeCell ref="E22:F22"/>
    <mergeCell ref="E24:G24"/>
    <mergeCell ref="E26:F26"/>
    <mergeCell ref="E36:F36"/>
    <mergeCell ref="E43:F43"/>
    <mergeCell ref="A43:B43"/>
    <mergeCell ref="A46:B46"/>
    <mergeCell ref="A23:B23"/>
    <mergeCell ref="A25:C25"/>
    <mergeCell ref="A27:B27"/>
    <mergeCell ref="A33:B33"/>
    <mergeCell ref="A40:B40"/>
    <mergeCell ref="A12:C12"/>
    <mergeCell ref="A13:B13"/>
    <mergeCell ref="A16:C16"/>
    <mergeCell ref="A17:B17"/>
    <mergeCell ref="A20:B20"/>
    <mergeCell ref="A1:C1"/>
    <mergeCell ref="A2:C2"/>
    <mergeCell ref="A3:C3"/>
    <mergeCell ref="A5:C5"/>
    <mergeCell ref="A7:B7"/>
    <mergeCell ref="I49:J49"/>
    <mergeCell ref="I52:J52"/>
    <mergeCell ref="I25:J25"/>
    <mergeCell ref="I27:K27"/>
    <mergeCell ref="I29:J29"/>
    <mergeCell ref="I42:J42"/>
    <mergeCell ref="I46:J46"/>
    <mergeCell ref="I14:K14"/>
    <mergeCell ref="I15:J15"/>
    <mergeCell ref="I18:K18"/>
    <mergeCell ref="I19:J19"/>
    <mergeCell ref="I22:J22"/>
    <mergeCell ref="I1:K1"/>
    <mergeCell ref="I2:K2"/>
    <mergeCell ref="I3:K3"/>
    <mergeCell ref="I5:K5"/>
    <mergeCell ref="I7:J7"/>
    <mergeCell ref="M28:N28"/>
    <mergeCell ref="M51:N51"/>
    <mergeCell ref="M61:N61"/>
    <mergeCell ref="M64:N64"/>
    <mergeCell ref="M67:N67"/>
    <mergeCell ref="M26:O26"/>
    <mergeCell ref="M1:O1"/>
    <mergeCell ref="M2:O2"/>
    <mergeCell ref="M3:O3"/>
    <mergeCell ref="M5:O5"/>
    <mergeCell ref="M7:N7"/>
    <mergeCell ref="M13:O13"/>
    <mergeCell ref="M14:N14"/>
    <mergeCell ref="M17:O17"/>
    <mergeCell ref="M18:N18"/>
    <mergeCell ref="M21:N21"/>
    <mergeCell ref="M24:N24"/>
  </mergeCells>
  <pageMargins left="0.7" right="0.7" top="0.75" bottom="0.75" header="0.3" footer="0.3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8"/>
  <sheetViews>
    <sheetView zoomScaleNormal="100" workbookViewId="0">
      <selection sqref="A1:L1"/>
    </sheetView>
  </sheetViews>
  <sheetFormatPr defaultRowHeight="15" x14ac:dyDescent="0.25"/>
  <cols>
    <col min="1" max="1" width="6.42578125" customWidth="1"/>
    <col min="2" max="2" width="60.140625" customWidth="1"/>
    <col min="3" max="3" width="0.5703125" customWidth="1"/>
    <col min="4" max="4" width="12.42578125" customWidth="1"/>
    <col min="5" max="5" width="12.140625" customWidth="1"/>
    <col min="6" max="6" width="11.28515625" customWidth="1"/>
    <col min="7" max="7" width="11.85546875" customWidth="1"/>
    <col min="8" max="8" width="12.85546875" customWidth="1"/>
    <col min="9" max="9" width="12" customWidth="1"/>
    <col min="10" max="10" width="11.5703125" customWidth="1"/>
    <col min="11" max="11" width="12.7109375" customWidth="1"/>
    <col min="12" max="12" width="12.85546875" customWidth="1"/>
  </cols>
  <sheetData>
    <row r="1" spans="1:21" ht="18.75" thickBot="1" x14ac:dyDescent="0.3">
      <c r="A1" s="876" t="s">
        <v>0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1"/>
    </row>
    <row r="2" spans="1:21" ht="46.5" customHeight="1" thickBot="1" x14ac:dyDescent="0.3">
      <c r="A2" s="878" t="s">
        <v>1</v>
      </c>
      <c r="B2" s="879"/>
      <c r="C2" s="411" t="s">
        <v>2</v>
      </c>
      <c r="D2" s="412" t="s">
        <v>3</v>
      </c>
      <c r="E2" s="412" t="s">
        <v>218</v>
      </c>
      <c r="F2" s="412" t="s">
        <v>244</v>
      </c>
      <c r="G2" s="555" t="s">
        <v>299</v>
      </c>
      <c r="H2" s="413" t="s">
        <v>297</v>
      </c>
      <c r="I2" s="413" t="s">
        <v>298</v>
      </c>
      <c r="J2" s="413" t="s">
        <v>300</v>
      </c>
      <c r="K2" s="413" t="s">
        <v>301</v>
      </c>
      <c r="L2" s="413" t="s">
        <v>302</v>
      </c>
      <c r="M2" s="1"/>
    </row>
    <row r="3" spans="1:21" ht="15.75" thickBot="1" x14ac:dyDescent="0.3">
      <c r="A3" s="880" t="s">
        <v>4</v>
      </c>
      <c r="B3" s="881"/>
      <c r="C3" s="354">
        <f t="shared" ref="C3:L3" si="0">SUM(C4:C10)</f>
        <v>1027468</v>
      </c>
      <c r="D3" s="2">
        <f t="shared" si="0"/>
        <v>1080198</v>
      </c>
      <c r="E3" s="2">
        <f t="shared" si="0"/>
        <v>1187235</v>
      </c>
      <c r="F3" s="2">
        <f t="shared" si="0"/>
        <v>1227590</v>
      </c>
      <c r="G3" s="2">
        <f t="shared" ref="G3" si="1">SUM(G4:G10)</f>
        <v>1222598</v>
      </c>
      <c r="H3" s="2">
        <f t="shared" si="0"/>
        <v>1289980</v>
      </c>
      <c r="I3" s="2">
        <f t="shared" si="0"/>
        <v>1317160</v>
      </c>
      <c r="J3" s="2">
        <f t="shared" si="0"/>
        <v>1452500</v>
      </c>
      <c r="K3" s="2">
        <f t="shared" si="0"/>
        <v>1508700</v>
      </c>
      <c r="L3" s="2">
        <f t="shared" si="0"/>
        <v>1510100</v>
      </c>
      <c r="M3" s="1"/>
    </row>
    <row r="4" spans="1:21" ht="15.75" thickBot="1" x14ac:dyDescent="0.3">
      <c r="A4" s="3">
        <v>111</v>
      </c>
      <c r="B4" s="124" t="s">
        <v>5</v>
      </c>
      <c r="C4" s="4">
        <v>972038</v>
      </c>
      <c r="D4" s="5">
        <v>1022504</v>
      </c>
      <c r="E4" s="6">
        <v>1127294</v>
      </c>
      <c r="F4" s="6">
        <v>1165143</v>
      </c>
      <c r="G4" s="6">
        <v>1156712</v>
      </c>
      <c r="H4" s="6">
        <v>1214000</v>
      </c>
      <c r="I4" s="6">
        <v>1235000</v>
      </c>
      <c r="J4" s="6">
        <v>1368000</v>
      </c>
      <c r="K4" s="6">
        <f>1340700+82400+1100</f>
        <v>1424200</v>
      </c>
      <c r="L4" s="6">
        <f>1424500+1100</f>
        <v>1425600</v>
      </c>
      <c r="M4" s="1"/>
    </row>
    <row r="5" spans="1:21" ht="15.75" thickBot="1" x14ac:dyDescent="0.3">
      <c r="A5" s="7">
        <v>121</v>
      </c>
      <c r="B5" s="350" t="s">
        <v>6</v>
      </c>
      <c r="C5" s="9">
        <v>31944</v>
      </c>
      <c r="D5" s="10">
        <v>32263</v>
      </c>
      <c r="E5" s="10">
        <v>32335</v>
      </c>
      <c r="F5" s="11">
        <v>34337</v>
      </c>
      <c r="G5" s="11">
        <v>34690</v>
      </c>
      <c r="H5" s="11">
        <v>40080</v>
      </c>
      <c r="I5" s="11">
        <v>40910</v>
      </c>
      <c r="J5" s="11">
        <v>43200</v>
      </c>
      <c r="K5" s="11">
        <v>43200</v>
      </c>
      <c r="L5" s="11">
        <v>43200</v>
      </c>
      <c r="M5" s="1"/>
    </row>
    <row r="6" spans="1:21" x14ac:dyDescent="0.25">
      <c r="A6" s="12">
        <v>133</v>
      </c>
      <c r="B6" s="351" t="s">
        <v>7</v>
      </c>
      <c r="C6" s="14">
        <v>894</v>
      </c>
      <c r="D6" s="15">
        <v>882</v>
      </c>
      <c r="E6" s="15">
        <v>837</v>
      </c>
      <c r="F6" s="16">
        <v>807</v>
      </c>
      <c r="G6" s="16">
        <v>771</v>
      </c>
      <c r="H6" s="16">
        <v>1000</v>
      </c>
      <c r="I6" s="16">
        <v>1050</v>
      </c>
      <c r="J6" s="16">
        <v>1100</v>
      </c>
      <c r="K6" s="16">
        <v>1100</v>
      </c>
      <c r="L6" s="16">
        <v>1100</v>
      </c>
      <c r="M6" s="1"/>
    </row>
    <row r="7" spans="1:21" x14ac:dyDescent="0.25">
      <c r="A7" s="17">
        <v>133</v>
      </c>
      <c r="B7" s="352" t="s">
        <v>8</v>
      </c>
      <c r="C7" s="19">
        <v>280</v>
      </c>
      <c r="D7" s="20">
        <v>280</v>
      </c>
      <c r="E7" s="20">
        <v>520</v>
      </c>
      <c r="F7" s="21">
        <v>160</v>
      </c>
      <c r="G7" s="21">
        <v>327</v>
      </c>
      <c r="H7" s="21">
        <v>400</v>
      </c>
      <c r="I7" s="21">
        <v>200</v>
      </c>
      <c r="J7" s="21">
        <v>200</v>
      </c>
      <c r="K7" s="21">
        <v>200</v>
      </c>
      <c r="L7" s="21">
        <v>200</v>
      </c>
      <c r="M7" s="1"/>
    </row>
    <row r="8" spans="1:21" x14ac:dyDescent="0.25">
      <c r="A8" s="17">
        <v>133</v>
      </c>
      <c r="B8" s="352" t="s">
        <v>9</v>
      </c>
      <c r="C8" s="19">
        <v>1454</v>
      </c>
      <c r="D8" s="20">
        <v>1587</v>
      </c>
      <c r="E8" s="20">
        <v>2465</v>
      </c>
      <c r="F8" s="21">
        <v>1486</v>
      </c>
      <c r="G8" s="21">
        <v>385</v>
      </c>
      <c r="H8" s="21">
        <v>2000</v>
      </c>
      <c r="I8" s="21">
        <v>2100</v>
      </c>
      <c r="J8" s="21">
        <v>2000</v>
      </c>
      <c r="K8" s="21">
        <v>2000</v>
      </c>
      <c r="L8" s="21">
        <v>2000</v>
      </c>
      <c r="M8" s="1"/>
    </row>
    <row r="9" spans="1:21" x14ac:dyDescent="0.25">
      <c r="A9" s="17">
        <v>133</v>
      </c>
      <c r="B9" s="352" t="s">
        <v>10</v>
      </c>
      <c r="C9" s="19">
        <v>3624</v>
      </c>
      <c r="D9" s="20">
        <v>3468</v>
      </c>
      <c r="E9" s="20">
        <v>5114</v>
      </c>
      <c r="F9" s="21">
        <v>1386</v>
      </c>
      <c r="G9" s="21">
        <v>1483</v>
      </c>
      <c r="H9" s="21">
        <v>2500</v>
      </c>
      <c r="I9" s="21">
        <v>5900</v>
      </c>
      <c r="J9" s="21">
        <v>6000</v>
      </c>
      <c r="K9" s="21">
        <v>6000</v>
      </c>
      <c r="L9" s="21">
        <v>6000</v>
      </c>
      <c r="M9" s="1"/>
    </row>
    <row r="10" spans="1:21" ht="15.75" thickBot="1" x14ac:dyDescent="0.3">
      <c r="A10" s="22">
        <v>133</v>
      </c>
      <c r="B10" s="353" t="s">
        <v>11</v>
      </c>
      <c r="C10" s="24">
        <v>17234</v>
      </c>
      <c r="D10" s="25">
        <v>19214</v>
      </c>
      <c r="E10" s="26">
        <v>18670</v>
      </c>
      <c r="F10" s="26">
        <v>24271</v>
      </c>
      <c r="G10" s="26">
        <v>28230</v>
      </c>
      <c r="H10" s="26">
        <v>30000</v>
      </c>
      <c r="I10" s="26">
        <v>32000</v>
      </c>
      <c r="J10" s="26">
        <v>32000</v>
      </c>
      <c r="K10" s="26">
        <v>32000</v>
      </c>
      <c r="L10" s="26">
        <v>32000</v>
      </c>
      <c r="M10" s="27"/>
    </row>
    <row r="11" spans="1:21" ht="15.75" thickBot="1" x14ac:dyDescent="0.3">
      <c r="A11" s="880" t="s">
        <v>12</v>
      </c>
      <c r="B11" s="881"/>
      <c r="C11" s="354">
        <f t="shared" ref="C11:L11" si="2">SUM(C12:C34)</f>
        <v>161813</v>
      </c>
      <c r="D11" s="354">
        <f t="shared" si="2"/>
        <v>218601</v>
      </c>
      <c r="E11" s="354">
        <f t="shared" si="2"/>
        <v>202091</v>
      </c>
      <c r="F11" s="354">
        <f t="shared" si="2"/>
        <v>130051</v>
      </c>
      <c r="G11" s="354">
        <f t="shared" si="2"/>
        <v>158058</v>
      </c>
      <c r="H11" s="354">
        <f t="shared" si="2"/>
        <v>208158</v>
      </c>
      <c r="I11" s="354">
        <f t="shared" si="2"/>
        <v>209158</v>
      </c>
      <c r="J11" s="354">
        <f t="shared" si="2"/>
        <v>245915</v>
      </c>
      <c r="K11" s="354">
        <f t="shared" si="2"/>
        <v>245915</v>
      </c>
      <c r="L11" s="354">
        <f t="shared" si="2"/>
        <v>245915</v>
      </c>
      <c r="M11" s="1"/>
    </row>
    <row r="12" spans="1:21" x14ac:dyDescent="0.25">
      <c r="A12" s="28">
        <v>212</v>
      </c>
      <c r="B12" s="29" t="s">
        <v>13</v>
      </c>
      <c r="C12" s="30">
        <v>2027</v>
      </c>
      <c r="D12" s="31">
        <v>2117</v>
      </c>
      <c r="E12" s="32">
        <v>2105</v>
      </c>
      <c r="F12" s="32">
        <v>1874</v>
      </c>
      <c r="G12" s="32">
        <v>1824</v>
      </c>
      <c r="H12" s="32">
        <v>1893</v>
      </c>
      <c r="I12" s="32">
        <v>1393</v>
      </c>
      <c r="J12" s="32">
        <v>1294</v>
      </c>
      <c r="K12" s="32">
        <v>1294</v>
      </c>
      <c r="L12" s="32">
        <v>1294</v>
      </c>
      <c r="M12" s="1"/>
    </row>
    <row r="13" spans="1:21" x14ac:dyDescent="0.25">
      <c r="A13" s="12">
        <v>212</v>
      </c>
      <c r="B13" s="13" t="s">
        <v>14</v>
      </c>
      <c r="C13" s="14">
        <v>189</v>
      </c>
      <c r="D13" s="15">
        <v>23970</v>
      </c>
      <c r="E13" s="16">
        <v>7680</v>
      </c>
      <c r="F13" s="16">
        <v>2530</v>
      </c>
      <c r="G13" s="16">
        <v>1030</v>
      </c>
      <c r="H13" s="16">
        <v>500</v>
      </c>
      <c r="I13" s="16">
        <v>1000</v>
      </c>
      <c r="J13" s="16">
        <v>1000</v>
      </c>
      <c r="K13" s="16">
        <v>1000</v>
      </c>
      <c r="L13" s="16">
        <v>1000</v>
      </c>
      <c r="M13" s="27"/>
    </row>
    <row r="14" spans="1:21" x14ac:dyDescent="0.25">
      <c r="A14" s="17">
        <v>212</v>
      </c>
      <c r="B14" s="18" t="s">
        <v>15</v>
      </c>
      <c r="C14" s="19">
        <v>3975</v>
      </c>
      <c r="D14" s="20">
        <v>3731</v>
      </c>
      <c r="E14" s="33">
        <v>3649</v>
      </c>
      <c r="F14" s="33">
        <v>3815</v>
      </c>
      <c r="G14" s="33">
        <v>3729</v>
      </c>
      <c r="H14" s="33">
        <v>3712</v>
      </c>
      <c r="I14" s="33">
        <v>3712</v>
      </c>
      <c r="J14" s="33">
        <v>3713</v>
      </c>
      <c r="K14" s="33">
        <v>3713</v>
      </c>
      <c r="L14" s="33">
        <v>3713</v>
      </c>
      <c r="M14" s="1"/>
    </row>
    <row r="15" spans="1:21" x14ac:dyDescent="0.25">
      <c r="A15" s="17">
        <v>212</v>
      </c>
      <c r="B15" s="18" t="s">
        <v>16</v>
      </c>
      <c r="C15" s="34">
        <v>17332</v>
      </c>
      <c r="D15" s="21">
        <v>17507</v>
      </c>
      <c r="E15" s="21">
        <v>17433</v>
      </c>
      <c r="F15" s="21">
        <v>15521</v>
      </c>
      <c r="G15" s="21">
        <v>19016</v>
      </c>
      <c r="H15" s="21">
        <v>21393</v>
      </c>
      <c r="I15" s="21">
        <v>21393</v>
      </c>
      <c r="J15" s="21">
        <v>19848</v>
      </c>
      <c r="K15" s="21">
        <v>19848</v>
      </c>
      <c r="L15" s="21">
        <v>19848</v>
      </c>
      <c r="M15" s="27"/>
    </row>
    <row r="16" spans="1:21" ht="15.75" thickBot="1" x14ac:dyDescent="0.3">
      <c r="A16" s="35">
        <v>212</v>
      </c>
      <c r="B16" s="36" t="s">
        <v>17</v>
      </c>
      <c r="C16" s="37">
        <v>5</v>
      </c>
      <c r="D16" s="38">
        <v>400</v>
      </c>
      <c r="E16" s="39">
        <v>1280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458">
        <f>SUM(J12:J16)</f>
        <v>25855</v>
      </c>
      <c r="N16" s="458"/>
      <c r="O16" s="458"/>
      <c r="T16" s="27"/>
      <c r="U16" s="458"/>
    </row>
    <row r="17" spans="1:13" ht="15.75" thickBot="1" x14ac:dyDescent="0.3">
      <c r="A17" s="7">
        <v>221</v>
      </c>
      <c r="B17" s="8" t="s">
        <v>18</v>
      </c>
      <c r="C17" s="9">
        <v>4093</v>
      </c>
      <c r="D17" s="40">
        <v>4796</v>
      </c>
      <c r="E17" s="41">
        <v>5069</v>
      </c>
      <c r="F17" s="41">
        <v>3283</v>
      </c>
      <c r="G17" s="41">
        <v>3292</v>
      </c>
      <c r="H17" s="41">
        <v>5100</v>
      </c>
      <c r="I17" s="41">
        <v>5100</v>
      </c>
      <c r="J17" s="41">
        <v>5100</v>
      </c>
      <c r="K17" s="41">
        <v>5100</v>
      </c>
      <c r="L17" s="41">
        <v>5100</v>
      </c>
      <c r="M17" s="1"/>
    </row>
    <row r="18" spans="1:13" ht="15.75" thickBot="1" x14ac:dyDescent="0.3">
      <c r="A18" s="35">
        <v>222</v>
      </c>
      <c r="B18" s="36" t="s">
        <v>19</v>
      </c>
      <c r="C18" s="37">
        <v>0</v>
      </c>
      <c r="D18" s="38">
        <v>90</v>
      </c>
      <c r="E18" s="39">
        <v>400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1"/>
    </row>
    <row r="19" spans="1:13" x14ac:dyDescent="0.25">
      <c r="A19" s="12">
        <v>223</v>
      </c>
      <c r="B19" s="13" t="s">
        <v>20</v>
      </c>
      <c r="C19" s="14">
        <v>713</v>
      </c>
      <c r="D19" s="15">
        <v>671</v>
      </c>
      <c r="E19" s="16">
        <v>503</v>
      </c>
      <c r="F19" s="16">
        <v>143</v>
      </c>
      <c r="G19" s="16">
        <v>448</v>
      </c>
      <c r="H19" s="16">
        <v>650</v>
      </c>
      <c r="I19" s="16">
        <v>650</v>
      </c>
      <c r="J19" s="16">
        <v>750</v>
      </c>
      <c r="K19" s="16">
        <v>750</v>
      </c>
      <c r="L19" s="16">
        <v>750</v>
      </c>
      <c r="M19" s="1"/>
    </row>
    <row r="20" spans="1:13" x14ac:dyDescent="0.25">
      <c r="A20" s="17">
        <v>223</v>
      </c>
      <c r="B20" s="18" t="s">
        <v>21</v>
      </c>
      <c r="C20" s="19">
        <v>16518</v>
      </c>
      <c r="D20" s="20">
        <v>17452</v>
      </c>
      <c r="E20" s="21">
        <v>15427</v>
      </c>
      <c r="F20" s="21">
        <v>15517</v>
      </c>
      <c r="G20" s="21">
        <v>15804</v>
      </c>
      <c r="H20" s="21">
        <f>19000+3000</f>
        <v>22000</v>
      </c>
      <c r="I20" s="21">
        <v>22000</v>
      </c>
      <c r="J20" s="21">
        <f t="shared" ref="J20:L20" si="3">19000+3000</f>
        <v>22000</v>
      </c>
      <c r="K20" s="21">
        <v>22000</v>
      </c>
      <c r="L20" s="21">
        <f t="shared" si="3"/>
        <v>22000</v>
      </c>
      <c r="M20" s="1"/>
    </row>
    <row r="21" spans="1:13" x14ac:dyDescent="0.25">
      <c r="A21" s="17">
        <v>223</v>
      </c>
      <c r="B21" s="18" t="s">
        <v>22</v>
      </c>
      <c r="C21" s="19">
        <v>0</v>
      </c>
      <c r="D21" s="20">
        <v>0</v>
      </c>
      <c r="E21" s="21">
        <v>0</v>
      </c>
      <c r="F21" s="21">
        <v>0</v>
      </c>
      <c r="G21" s="21">
        <v>0</v>
      </c>
      <c r="H21" s="21">
        <v>50</v>
      </c>
      <c r="I21" s="21">
        <v>50</v>
      </c>
      <c r="J21" s="21">
        <v>50</v>
      </c>
      <c r="K21" s="21">
        <v>50</v>
      </c>
      <c r="L21" s="21">
        <v>50</v>
      </c>
      <c r="M21" s="1"/>
    </row>
    <row r="22" spans="1:13" x14ac:dyDescent="0.25">
      <c r="A22" s="17">
        <v>223</v>
      </c>
      <c r="B22" s="18" t="s">
        <v>23</v>
      </c>
      <c r="C22" s="19">
        <v>34491</v>
      </c>
      <c r="D22" s="20">
        <v>32466</v>
      </c>
      <c r="E22" s="21">
        <v>31823</v>
      </c>
      <c r="F22" s="21">
        <v>630</v>
      </c>
      <c r="G22" s="21">
        <v>182</v>
      </c>
      <c r="H22" s="21">
        <v>1500</v>
      </c>
      <c r="I22" s="21">
        <v>2500</v>
      </c>
      <c r="J22" s="21">
        <v>2000</v>
      </c>
      <c r="K22" s="21">
        <v>2000</v>
      </c>
      <c r="L22" s="21">
        <v>2000</v>
      </c>
      <c r="M22" s="1"/>
    </row>
    <row r="23" spans="1:13" x14ac:dyDescent="0.25">
      <c r="A23" s="17">
        <v>223</v>
      </c>
      <c r="B23" s="18" t="s">
        <v>24</v>
      </c>
      <c r="C23" s="19">
        <v>519</v>
      </c>
      <c r="D23" s="20">
        <v>342</v>
      </c>
      <c r="E23" s="21">
        <v>255</v>
      </c>
      <c r="F23" s="21">
        <v>257</v>
      </c>
      <c r="G23" s="21">
        <v>656</v>
      </c>
      <c r="H23" s="21">
        <v>1000</v>
      </c>
      <c r="I23" s="21">
        <v>1000</v>
      </c>
      <c r="J23" s="21">
        <v>1000</v>
      </c>
      <c r="K23" s="21">
        <v>1000</v>
      </c>
      <c r="L23" s="21">
        <v>1000</v>
      </c>
      <c r="M23" s="1"/>
    </row>
    <row r="24" spans="1:13" x14ac:dyDescent="0.25">
      <c r="A24" s="17">
        <v>223</v>
      </c>
      <c r="B24" s="18" t="s">
        <v>25</v>
      </c>
      <c r="C24" s="19">
        <v>5000</v>
      </c>
      <c r="D24" s="20">
        <v>1000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1"/>
    </row>
    <row r="25" spans="1:13" x14ac:dyDescent="0.25">
      <c r="A25" s="17">
        <v>223</v>
      </c>
      <c r="B25" s="18" t="s">
        <v>26</v>
      </c>
      <c r="C25" s="19">
        <v>490</v>
      </c>
      <c r="D25" s="20">
        <v>597</v>
      </c>
      <c r="E25" s="21">
        <v>913</v>
      </c>
      <c r="F25" s="21">
        <v>1080</v>
      </c>
      <c r="G25" s="21">
        <v>730</v>
      </c>
      <c r="H25" s="21">
        <v>1000</v>
      </c>
      <c r="I25" s="21">
        <v>1000</v>
      </c>
      <c r="J25" s="21">
        <v>1000</v>
      </c>
      <c r="K25" s="21">
        <v>1000</v>
      </c>
      <c r="L25" s="21">
        <v>1000</v>
      </c>
      <c r="M25" s="1"/>
    </row>
    <row r="26" spans="1:13" x14ac:dyDescent="0.25">
      <c r="A26" s="17">
        <v>223</v>
      </c>
      <c r="B26" s="18" t="s">
        <v>27</v>
      </c>
      <c r="C26" s="19">
        <v>33709</v>
      </c>
      <c r="D26" s="20">
        <v>32850</v>
      </c>
      <c r="E26" s="21">
        <v>30304</v>
      </c>
      <c r="F26" s="21">
        <v>33431</v>
      </c>
      <c r="G26" s="21">
        <v>43133</v>
      </c>
      <c r="H26" s="21">
        <v>40000</v>
      </c>
      <c r="I26" s="21">
        <v>40000</v>
      </c>
      <c r="J26" s="21">
        <v>40000</v>
      </c>
      <c r="K26" s="21">
        <v>40000</v>
      </c>
      <c r="L26" s="21">
        <v>40000</v>
      </c>
      <c r="M26" s="1"/>
    </row>
    <row r="27" spans="1:13" x14ac:dyDescent="0.25">
      <c r="A27" s="17">
        <v>223</v>
      </c>
      <c r="B27" s="18" t="s">
        <v>28</v>
      </c>
      <c r="C27" s="19">
        <v>18990</v>
      </c>
      <c r="D27" s="20">
        <v>15782</v>
      </c>
      <c r="E27" s="21">
        <v>17085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1"/>
    </row>
    <row r="28" spans="1:13" x14ac:dyDescent="0.25">
      <c r="A28" s="17">
        <v>223</v>
      </c>
      <c r="B28" s="18" t="s">
        <v>29</v>
      </c>
      <c r="C28" s="19">
        <f>17009</f>
        <v>17009</v>
      </c>
      <c r="D28" s="20">
        <v>17553</v>
      </c>
      <c r="E28" s="21">
        <v>24783</v>
      </c>
      <c r="F28" s="21">
        <v>26360</v>
      </c>
      <c r="G28" s="21">
        <v>30450</v>
      </c>
      <c r="H28" s="21">
        <v>44100</v>
      </c>
      <c r="I28" s="21">
        <v>44100</v>
      </c>
      <c r="J28" s="21">
        <v>59000</v>
      </c>
      <c r="K28" s="21">
        <v>59000</v>
      </c>
      <c r="L28" s="21">
        <v>59000</v>
      </c>
      <c r="M28" s="1"/>
    </row>
    <row r="29" spans="1:13" x14ac:dyDescent="0.25">
      <c r="A29" s="17">
        <v>223</v>
      </c>
      <c r="B29" s="18" t="s">
        <v>30</v>
      </c>
      <c r="C29" s="19">
        <v>4</v>
      </c>
      <c r="D29" s="20">
        <v>87</v>
      </c>
      <c r="E29" s="21">
        <v>43</v>
      </c>
      <c r="F29" s="21">
        <v>27</v>
      </c>
      <c r="G29" s="21">
        <v>10</v>
      </c>
      <c r="H29" s="21">
        <v>60</v>
      </c>
      <c r="I29" s="21">
        <v>60</v>
      </c>
      <c r="J29" s="21">
        <v>60</v>
      </c>
      <c r="K29" s="21">
        <v>60</v>
      </c>
      <c r="L29" s="21">
        <v>60</v>
      </c>
      <c r="M29" s="27"/>
    </row>
    <row r="30" spans="1:13" x14ac:dyDescent="0.25">
      <c r="A30" s="17">
        <v>223</v>
      </c>
      <c r="B30" s="18" t="s">
        <v>263</v>
      </c>
      <c r="C30" s="19"/>
      <c r="D30" s="20">
        <v>0</v>
      </c>
      <c r="E30" s="46">
        <v>0</v>
      </c>
      <c r="F30" s="46">
        <v>0</v>
      </c>
      <c r="G30" s="21">
        <v>390</v>
      </c>
      <c r="H30" s="21">
        <v>2000</v>
      </c>
      <c r="I30" s="21">
        <v>2000</v>
      </c>
      <c r="J30" s="21">
        <v>2600</v>
      </c>
      <c r="K30" s="21">
        <v>2600</v>
      </c>
      <c r="L30" s="21">
        <v>2600</v>
      </c>
      <c r="M30" s="27"/>
    </row>
    <row r="31" spans="1:13" x14ac:dyDescent="0.25">
      <c r="A31" s="17">
        <v>223</v>
      </c>
      <c r="B31" s="18" t="s">
        <v>31</v>
      </c>
      <c r="C31" s="19">
        <v>5175</v>
      </c>
      <c r="D31" s="20">
        <v>1650</v>
      </c>
      <c r="E31" s="46">
        <v>0</v>
      </c>
      <c r="F31" s="46">
        <v>0</v>
      </c>
      <c r="G31" s="21">
        <v>0</v>
      </c>
      <c r="H31" s="21">
        <v>0</v>
      </c>
      <c r="I31" s="21">
        <v>0</v>
      </c>
      <c r="J31" s="21">
        <v>0</v>
      </c>
      <c r="K31" s="21"/>
      <c r="L31" s="21">
        <v>0</v>
      </c>
      <c r="M31" s="1"/>
    </row>
    <row r="32" spans="1:13" x14ac:dyDescent="0.25">
      <c r="A32" s="17">
        <v>223</v>
      </c>
      <c r="B32" s="18" t="s">
        <v>32</v>
      </c>
      <c r="C32" s="19">
        <v>1568</v>
      </c>
      <c r="D32" s="42">
        <v>45540</v>
      </c>
      <c r="E32" s="45">
        <v>2057</v>
      </c>
      <c r="F32" s="20">
        <v>1746</v>
      </c>
      <c r="G32" s="21">
        <v>2040</v>
      </c>
      <c r="H32" s="21">
        <v>2100</v>
      </c>
      <c r="I32" s="21">
        <v>2100</v>
      </c>
      <c r="J32" s="21">
        <v>2400</v>
      </c>
      <c r="K32" s="21">
        <v>2400</v>
      </c>
      <c r="L32" s="21">
        <v>2400</v>
      </c>
      <c r="M32" s="1"/>
    </row>
    <row r="33" spans="1:21" x14ac:dyDescent="0.25">
      <c r="A33" s="43">
        <v>223</v>
      </c>
      <c r="B33" s="44" t="s">
        <v>33</v>
      </c>
      <c r="C33" s="19">
        <v>0</v>
      </c>
      <c r="D33" s="45">
        <v>0</v>
      </c>
      <c r="E33" s="81">
        <v>41282</v>
      </c>
      <c r="F33" s="81">
        <v>23837</v>
      </c>
      <c r="G33" s="46">
        <v>35324</v>
      </c>
      <c r="H33" s="46">
        <v>61000</v>
      </c>
      <c r="I33" s="46">
        <v>61000</v>
      </c>
      <c r="J33" s="46">
        <v>84000</v>
      </c>
      <c r="K33" s="46">
        <v>84000</v>
      </c>
      <c r="L33" s="46">
        <v>84000</v>
      </c>
      <c r="M33" s="27"/>
    </row>
    <row r="34" spans="1:21" ht="15.75" thickBot="1" x14ac:dyDescent="0.3">
      <c r="A34" s="22">
        <v>223</v>
      </c>
      <c r="B34" s="23" t="s">
        <v>34</v>
      </c>
      <c r="C34" s="24">
        <v>6</v>
      </c>
      <c r="D34" s="47">
        <v>0</v>
      </c>
      <c r="E34" s="48">
        <v>0</v>
      </c>
      <c r="F34" s="48">
        <v>0</v>
      </c>
      <c r="G34" s="48">
        <v>0</v>
      </c>
      <c r="H34" s="48">
        <v>100</v>
      </c>
      <c r="I34" s="48">
        <v>100</v>
      </c>
      <c r="J34" s="48">
        <v>100</v>
      </c>
      <c r="K34" s="48">
        <v>100</v>
      </c>
      <c r="L34" s="48">
        <v>100</v>
      </c>
      <c r="M34" s="27">
        <f>SUM(J19:J34)</f>
        <v>214960</v>
      </c>
      <c r="N34" s="27"/>
      <c r="O34" s="27"/>
      <c r="T34" s="458"/>
      <c r="U34" s="458"/>
    </row>
    <row r="35" spans="1:21" ht="15.75" thickBot="1" x14ac:dyDescent="0.3">
      <c r="A35" s="49" t="s">
        <v>35</v>
      </c>
      <c r="B35" s="50"/>
      <c r="C35" s="354">
        <f t="shared" ref="C35:L35" si="4">SUM(C36)</f>
        <v>363</v>
      </c>
      <c r="D35" s="355">
        <f t="shared" si="4"/>
        <v>258</v>
      </c>
      <c r="E35" s="2">
        <f t="shared" si="4"/>
        <v>396</v>
      </c>
      <c r="F35" s="2">
        <f t="shared" si="4"/>
        <v>52</v>
      </c>
      <c r="G35" s="2">
        <f t="shared" si="4"/>
        <v>9</v>
      </c>
      <c r="H35" s="2">
        <f t="shared" si="4"/>
        <v>50</v>
      </c>
      <c r="I35" s="2">
        <f t="shared" si="4"/>
        <v>50</v>
      </c>
      <c r="J35" s="2">
        <f t="shared" si="4"/>
        <v>50</v>
      </c>
      <c r="K35" s="2">
        <f t="shared" si="4"/>
        <v>50</v>
      </c>
      <c r="L35" s="2">
        <f t="shared" si="4"/>
        <v>50</v>
      </c>
      <c r="M35" s="1"/>
    </row>
    <row r="36" spans="1:21" ht="15.75" thickBot="1" x14ac:dyDescent="0.3">
      <c r="A36" s="51">
        <v>240</v>
      </c>
      <c r="B36" s="47" t="s">
        <v>36</v>
      </c>
      <c r="C36" s="357">
        <v>363</v>
      </c>
      <c r="D36" s="356">
        <v>258</v>
      </c>
      <c r="E36" s="38">
        <v>396</v>
      </c>
      <c r="F36" s="38">
        <v>52</v>
      </c>
      <c r="G36" s="38">
        <v>9</v>
      </c>
      <c r="H36" s="38">
        <v>50</v>
      </c>
      <c r="I36" s="38">
        <v>50</v>
      </c>
      <c r="J36" s="38">
        <v>50</v>
      </c>
      <c r="K36" s="38">
        <v>50</v>
      </c>
      <c r="L36" s="38">
        <v>50</v>
      </c>
      <c r="M36" s="1"/>
    </row>
    <row r="37" spans="1:21" ht="15.75" thickBot="1" x14ac:dyDescent="0.3">
      <c r="A37" s="49" t="s">
        <v>37</v>
      </c>
      <c r="B37" s="50"/>
      <c r="C37" s="354">
        <f t="shared" ref="C37:L37" si="5">SUM(C38:C44)</f>
        <v>36541</v>
      </c>
      <c r="D37" s="354">
        <f t="shared" si="5"/>
        <v>32063</v>
      </c>
      <c r="E37" s="354">
        <f t="shared" si="5"/>
        <v>24990</v>
      </c>
      <c r="F37" s="354">
        <f t="shared" si="5"/>
        <v>28915</v>
      </c>
      <c r="G37" s="354">
        <f t="shared" si="5"/>
        <v>44894</v>
      </c>
      <c r="H37" s="354">
        <f t="shared" si="5"/>
        <v>47400</v>
      </c>
      <c r="I37" s="354">
        <f t="shared" si="5"/>
        <v>53405</v>
      </c>
      <c r="J37" s="354">
        <f t="shared" si="5"/>
        <v>71875</v>
      </c>
      <c r="K37" s="354">
        <f t="shared" si="5"/>
        <v>71925</v>
      </c>
      <c r="L37" s="354">
        <f t="shared" si="5"/>
        <v>71935</v>
      </c>
      <c r="M37" s="1"/>
    </row>
    <row r="38" spans="1:21" x14ac:dyDescent="0.25">
      <c r="A38" s="52">
        <v>292</v>
      </c>
      <c r="B38" s="53" t="s">
        <v>38</v>
      </c>
      <c r="C38" s="54">
        <v>1054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/>
      <c r="L38" s="55">
        <v>0</v>
      </c>
      <c r="M38" s="1"/>
    </row>
    <row r="39" spans="1:21" x14ac:dyDescent="0.25">
      <c r="A39" s="52">
        <v>292</v>
      </c>
      <c r="B39" s="53" t="s">
        <v>39</v>
      </c>
      <c r="C39" s="54">
        <v>326</v>
      </c>
      <c r="D39" s="56">
        <v>279</v>
      </c>
      <c r="E39" s="55">
        <v>241</v>
      </c>
      <c r="F39" s="55">
        <v>247</v>
      </c>
      <c r="G39" s="55">
        <v>152</v>
      </c>
      <c r="H39" s="55">
        <v>300</v>
      </c>
      <c r="I39" s="55">
        <v>300</v>
      </c>
      <c r="J39" s="55">
        <v>200</v>
      </c>
      <c r="K39" s="55">
        <v>200</v>
      </c>
      <c r="L39" s="55">
        <v>200</v>
      </c>
      <c r="M39" s="1"/>
    </row>
    <row r="40" spans="1:21" x14ac:dyDescent="0.25">
      <c r="A40" s="57">
        <v>292</v>
      </c>
      <c r="B40" s="58" t="s">
        <v>40</v>
      </c>
      <c r="C40" s="59">
        <v>1998</v>
      </c>
      <c r="D40" s="60">
        <v>3206</v>
      </c>
      <c r="E40" s="61">
        <v>2949</v>
      </c>
      <c r="F40" s="61">
        <v>441</v>
      </c>
      <c r="G40" s="61">
        <v>10988</v>
      </c>
      <c r="H40" s="61">
        <v>5000</v>
      </c>
      <c r="I40" s="61">
        <v>4900</v>
      </c>
      <c r="J40" s="61">
        <v>1000</v>
      </c>
      <c r="K40" s="61">
        <v>1000</v>
      </c>
      <c r="L40" s="61">
        <v>1000</v>
      </c>
      <c r="M40" s="1"/>
    </row>
    <row r="41" spans="1:21" x14ac:dyDescent="0.25">
      <c r="A41" s="57">
        <v>292</v>
      </c>
      <c r="B41" s="58" t="s">
        <v>41</v>
      </c>
      <c r="C41" s="59">
        <v>16161</v>
      </c>
      <c r="D41" s="60">
        <v>7460</v>
      </c>
      <c r="E41" s="60">
        <v>308</v>
      </c>
      <c r="F41" s="60">
        <v>19</v>
      </c>
      <c r="G41" s="60">
        <v>240</v>
      </c>
      <c r="H41" s="60">
        <v>500</v>
      </c>
      <c r="I41" s="60">
        <v>600</v>
      </c>
      <c r="J41" s="60">
        <v>500</v>
      </c>
      <c r="K41" s="60">
        <v>500</v>
      </c>
      <c r="L41" s="60">
        <v>500</v>
      </c>
      <c r="M41" s="1"/>
    </row>
    <row r="42" spans="1:21" x14ac:dyDescent="0.25">
      <c r="A42" s="57">
        <v>292</v>
      </c>
      <c r="B42" s="18" t="s">
        <v>42</v>
      </c>
      <c r="C42" s="62">
        <v>210</v>
      </c>
      <c r="D42" s="63">
        <v>232</v>
      </c>
      <c r="E42" s="64">
        <v>252</v>
      </c>
      <c r="F42" s="64">
        <v>280</v>
      </c>
      <c r="G42" s="64">
        <v>301</v>
      </c>
      <c r="H42" s="64">
        <v>310</v>
      </c>
      <c r="I42" s="64">
        <v>315</v>
      </c>
      <c r="J42" s="64">
        <v>340</v>
      </c>
      <c r="K42" s="64">
        <v>350</v>
      </c>
      <c r="L42" s="64">
        <v>360</v>
      </c>
      <c r="M42" s="1"/>
    </row>
    <row r="43" spans="1:21" x14ac:dyDescent="0.25">
      <c r="A43" s="57">
        <v>292</v>
      </c>
      <c r="B43" s="58" t="s">
        <v>220</v>
      </c>
      <c r="C43" s="59">
        <f>16422-C42</f>
        <v>16212</v>
      </c>
      <c r="D43" s="61">
        <f>21118-D42</f>
        <v>20886</v>
      </c>
      <c r="E43" s="60">
        <v>21100</v>
      </c>
      <c r="F43" s="60">
        <v>27928</v>
      </c>
      <c r="G43" s="60">
        <v>33213</v>
      </c>
      <c r="H43" s="60">
        <f>41600-H42</f>
        <v>41290</v>
      </c>
      <c r="I43" s="60">
        <v>47190</v>
      </c>
      <c r="J43" s="60">
        <v>69785</v>
      </c>
      <c r="K43" s="60">
        <v>69825</v>
      </c>
      <c r="L43" s="60">
        <v>69825</v>
      </c>
      <c r="M43" s="27">
        <f>SUM(J42:J43)</f>
        <v>70125</v>
      </c>
      <c r="N43" s="27">
        <f t="shared" ref="N43:O43" si="6">SUM(K42:K43)</f>
        <v>70175</v>
      </c>
      <c r="O43" s="27">
        <f t="shared" si="6"/>
        <v>70185</v>
      </c>
    </row>
    <row r="44" spans="1:21" ht="15.75" thickBot="1" x14ac:dyDescent="0.3">
      <c r="A44" s="57">
        <v>292</v>
      </c>
      <c r="B44" s="58" t="s">
        <v>345</v>
      </c>
      <c r="C44" s="59">
        <v>580</v>
      </c>
      <c r="D44" s="60">
        <v>0</v>
      </c>
      <c r="E44" s="60">
        <v>140</v>
      </c>
      <c r="F44" s="60">
        <v>0</v>
      </c>
      <c r="G44" s="60">
        <v>0</v>
      </c>
      <c r="H44" s="60">
        <v>0</v>
      </c>
      <c r="I44" s="60">
        <v>100</v>
      </c>
      <c r="J44" s="60">
        <v>50</v>
      </c>
      <c r="K44" s="60">
        <v>50</v>
      </c>
      <c r="L44" s="60">
        <v>50</v>
      </c>
      <c r="M44" s="1"/>
    </row>
    <row r="45" spans="1:21" ht="15.75" thickBot="1" x14ac:dyDescent="0.3">
      <c r="A45" s="65" t="s">
        <v>43</v>
      </c>
      <c r="B45" s="358"/>
      <c r="C45" s="354">
        <f t="shared" ref="C45:L45" si="7">SUM(C46:C82)</f>
        <v>548443</v>
      </c>
      <c r="D45" s="379">
        <f t="shared" si="7"/>
        <v>573732</v>
      </c>
      <c r="E45" s="354">
        <f t="shared" si="7"/>
        <v>688399</v>
      </c>
      <c r="F45" s="354">
        <f t="shared" si="7"/>
        <v>814828</v>
      </c>
      <c r="G45" s="354">
        <f t="shared" si="7"/>
        <v>864949</v>
      </c>
      <c r="H45" s="354">
        <f t="shared" si="7"/>
        <v>686340</v>
      </c>
      <c r="I45" s="354">
        <f t="shared" si="7"/>
        <v>787957</v>
      </c>
      <c r="J45" s="354">
        <f t="shared" si="7"/>
        <v>761910</v>
      </c>
      <c r="K45" s="354">
        <f t="shared" si="7"/>
        <v>784290</v>
      </c>
      <c r="L45" s="354">
        <f t="shared" si="7"/>
        <v>772290</v>
      </c>
      <c r="M45" s="1"/>
    </row>
    <row r="46" spans="1:21" x14ac:dyDescent="0.25">
      <c r="A46" s="67">
        <v>311</v>
      </c>
      <c r="B46" s="359" t="s">
        <v>44</v>
      </c>
      <c r="C46" s="368">
        <v>2000</v>
      </c>
      <c r="D46" s="380">
        <v>8000</v>
      </c>
      <c r="E46" s="368">
        <v>3000</v>
      </c>
      <c r="F46" s="416">
        <v>0</v>
      </c>
      <c r="G46" s="68">
        <v>0</v>
      </c>
      <c r="H46" s="68">
        <v>0</v>
      </c>
      <c r="I46" s="68">
        <v>8000</v>
      </c>
      <c r="J46" s="68">
        <v>0</v>
      </c>
      <c r="K46" s="68">
        <v>0</v>
      </c>
      <c r="L46" s="68">
        <v>0</v>
      </c>
      <c r="M46" s="1"/>
    </row>
    <row r="47" spans="1:21" ht="15.75" thickBot="1" x14ac:dyDescent="0.3">
      <c r="A47" s="74">
        <v>311</v>
      </c>
      <c r="B47" s="82" t="s">
        <v>45</v>
      </c>
      <c r="C47" s="374">
        <v>0</v>
      </c>
      <c r="D47" s="533">
        <v>4840</v>
      </c>
      <c r="E47" s="374">
        <v>460</v>
      </c>
      <c r="F47" s="421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1"/>
    </row>
    <row r="48" spans="1:21" x14ac:dyDescent="0.25">
      <c r="A48" s="71">
        <v>312</v>
      </c>
      <c r="B48" s="76" t="s">
        <v>245</v>
      </c>
      <c r="C48" s="369"/>
      <c r="D48" s="532">
        <v>0</v>
      </c>
      <c r="E48" s="369">
        <v>0</v>
      </c>
      <c r="F48" s="417">
        <v>8895</v>
      </c>
      <c r="G48" s="70">
        <v>0</v>
      </c>
      <c r="H48" s="70">
        <v>0</v>
      </c>
      <c r="I48" s="70"/>
      <c r="J48" s="70"/>
      <c r="K48" s="70"/>
      <c r="L48" s="70"/>
      <c r="M48" s="1"/>
    </row>
    <row r="49" spans="1:13" x14ac:dyDescent="0.25">
      <c r="A49" s="69">
        <v>312</v>
      </c>
      <c r="B49" s="359" t="s">
        <v>46</v>
      </c>
      <c r="C49" s="369">
        <v>0</v>
      </c>
      <c r="D49" s="381">
        <v>0</v>
      </c>
      <c r="E49" s="369">
        <v>6000</v>
      </c>
      <c r="F49" s="417">
        <v>0</v>
      </c>
      <c r="G49" s="70">
        <v>0</v>
      </c>
      <c r="H49" s="70">
        <v>0</v>
      </c>
      <c r="I49" s="70"/>
      <c r="J49" s="70"/>
      <c r="K49" s="70"/>
      <c r="L49" s="70"/>
      <c r="M49" s="1"/>
    </row>
    <row r="50" spans="1:13" x14ac:dyDescent="0.25">
      <c r="A50" s="67">
        <v>312</v>
      </c>
      <c r="B50" s="359" t="s">
        <v>47</v>
      </c>
      <c r="C50" s="368">
        <v>0</v>
      </c>
      <c r="D50" s="382">
        <v>0</v>
      </c>
      <c r="E50" s="368">
        <v>5392</v>
      </c>
      <c r="F50" s="416">
        <v>0</v>
      </c>
      <c r="G50" s="68">
        <v>0</v>
      </c>
      <c r="H50" s="68">
        <v>0</v>
      </c>
      <c r="I50" s="68"/>
      <c r="J50" s="68"/>
      <c r="K50" s="68"/>
      <c r="L50" s="68"/>
      <c r="M50" s="1"/>
    </row>
    <row r="51" spans="1:13" x14ac:dyDescent="0.25">
      <c r="A51" s="67">
        <v>312</v>
      </c>
      <c r="B51" s="359" t="s">
        <v>335</v>
      </c>
      <c r="C51" s="368">
        <v>2089</v>
      </c>
      <c r="D51" s="365">
        <v>2072</v>
      </c>
      <c r="E51" s="368">
        <v>6211</v>
      </c>
      <c r="F51" s="416">
        <v>3420</v>
      </c>
      <c r="G51" s="68">
        <v>0</v>
      </c>
      <c r="H51" s="68">
        <v>4000</v>
      </c>
      <c r="I51" s="68">
        <v>9400</v>
      </c>
      <c r="J51" s="68">
        <v>2000</v>
      </c>
      <c r="K51" s="68">
        <v>12000</v>
      </c>
      <c r="L51" s="68">
        <v>0</v>
      </c>
      <c r="M51" s="1"/>
    </row>
    <row r="52" spans="1:13" x14ac:dyDescent="0.25">
      <c r="A52" s="67">
        <v>312</v>
      </c>
      <c r="B52" s="359" t="s">
        <v>264</v>
      </c>
      <c r="C52" s="369"/>
      <c r="D52" s="365">
        <v>0</v>
      </c>
      <c r="E52" s="369">
        <v>0</v>
      </c>
      <c r="F52" s="417">
        <v>0</v>
      </c>
      <c r="G52" s="70">
        <v>13857</v>
      </c>
      <c r="H52" s="70">
        <v>4750</v>
      </c>
      <c r="I52" s="70">
        <v>4750</v>
      </c>
      <c r="J52" s="70">
        <v>0</v>
      </c>
      <c r="K52" s="70">
        <v>0</v>
      </c>
      <c r="L52" s="70">
        <v>0</v>
      </c>
      <c r="M52" s="1"/>
    </row>
    <row r="53" spans="1:13" x14ac:dyDescent="0.25">
      <c r="A53" s="69">
        <v>312</v>
      </c>
      <c r="B53" s="444" t="s">
        <v>305</v>
      </c>
      <c r="C53" s="369"/>
      <c r="D53" s="365">
        <v>0</v>
      </c>
      <c r="E53" s="369">
        <v>0</v>
      </c>
      <c r="F53" s="417">
        <v>0</v>
      </c>
      <c r="G53" s="70">
        <v>0</v>
      </c>
      <c r="H53" s="70">
        <v>0</v>
      </c>
      <c r="I53" s="70">
        <v>6000</v>
      </c>
      <c r="J53" s="70">
        <v>0</v>
      </c>
      <c r="K53" s="70">
        <v>0</v>
      </c>
      <c r="L53" s="70">
        <v>0</v>
      </c>
      <c r="M53" s="1"/>
    </row>
    <row r="54" spans="1:13" x14ac:dyDescent="0.25">
      <c r="A54" s="69">
        <v>312</v>
      </c>
      <c r="B54" s="444" t="s">
        <v>331</v>
      </c>
      <c r="C54" s="369"/>
      <c r="D54" s="365">
        <v>0</v>
      </c>
      <c r="E54" s="369">
        <v>0</v>
      </c>
      <c r="F54" s="417">
        <v>0</v>
      </c>
      <c r="G54" s="70">
        <f>52865+150</f>
        <v>53015</v>
      </c>
      <c r="H54" s="70">
        <v>2000</v>
      </c>
      <c r="I54" s="70">
        <v>2000</v>
      </c>
      <c r="J54" s="70">
        <v>0</v>
      </c>
      <c r="K54" s="70">
        <v>0</v>
      </c>
      <c r="L54" s="70">
        <v>0</v>
      </c>
      <c r="M54" s="1"/>
    </row>
    <row r="55" spans="1:13" x14ac:dyDescent="0.25">
      <c r="A55" s="69">
        <v>312</v>
      </c>
      <c r="B55" s="359" t="s">
        <v>48</v>
      </c>
      <c r="C55" s="369"/>
      <c r="D55" s="365">
        <v>3500</v>
      </c>
      <c r="E55" s="369">
        <v>0</v>
      </c>
      <c r="F55" s="417">
        <v>0</v>
      </c>
      <c r="G55" s="70">
        <v>0</v>
      </c>
      <c r="H55" s="70"/>
      <c r="I55" s="70"/>
      <c r="J55" s="70"/>
      <c r="K55" s="70"/>
      <c r="L55" s="70"/>
      <c r="M55" s="1"/>
    </row>
    <row r="56" spans="1:13" x14ac:dyDescent="0.25">
      <c r="A56" s="71">
        <v>312</v>
      </c>
      <c r="B56" s="352" t="s">
        <v>228</v>
      </c>
      <c r="C56" s="370">
        <v>5791</v>
      </c>
      <c r="D56" s="365">
        <v>2899</v>
      </c>
      <c r="E56" s="370">
        <v>27030</v>
      </c>
      <c r="F56" s="418">
        <v>39080</v>
      </c>
      <c r="G56" s="16">
        <v>33071</v>
      </c>
      <c r="H56" s="16">
        <v>7900</v>
      </c>
      <c r="I56" s="16">
        <v>8000</v>
      </c>
      <c r="J56" s="16">
        <f>7600+500</f>
        <v>8100</v>
      </c>
      <c r="K56" s="16">
        <f t="shared" ref="K56:L56" si="8">7600+500</f>
        <v>8100</v>
      </c>
      <c r="L56" s="16">
        <f t="shared" si="8"/>
        <v>8100</v>
      </c>
      <c r="M56" s="1"/>
    </row>
    <row r="57" spans="1:13" x14ac:dyDescent="0.25">
      <c r="A57" s="71">
        <v>312</v>
      </c>
      <c r="B57" s="352" t="s">
        <v>229</v>
      </c>
      <c r="C57" s="370">
        <v>645</v>
      </c>
      <c r="D57" s="365">
        <v>739</v>
      </c>
      <c r="E57" s="370">
        <v>227</v>
      </c>
      <c r="F57" s="418">
        <v>225</v>
      </c>
      <c r="G57" s="16">
        <v>25</v>
      </c>
      <c r="H57" s="16">
        <v>150</v>
      </c>
      <c r="I57" s="16">
        <v>150</v>
      </c>
      <c r="J57" s="16">
        <v>0</v>
      </c>
      <c r="K57" s="16">
        <v>0</v>
      </c>
      <c r="L57" s="16">
        <v>0</v>
      </c>
      <c r="M57" s="1"/>
    </row>
    <row r="58" spans="1:13" x14ac:dyDescent="0.25">
      <c r="A58" s="71">
        <v>312</v>
      </c>
      <c r="B58" s="118" t="s">
        <v>50</v>
      </c>
      <c r="C58" s="371">
        <v>13737</v>
      </c>
      <c r="D58" s="365">
        <v>15058</v>
      </c>
      <c r="E58" s="14">
        <v>3305</v>
      </c>
      <c r="F58" s="419">
        <v>3082</v>
      </c>
      <c r="G58" s="73">
        <v>1195</v>
      </c>
      <c r="H58" s="73">
        <v>2950</v>
      </c>
      <c r="I58" s="73">
        <v>2950</v>
      </c>
      <c r="J58" s="73">
        <v>2040</v>
      </c>
      <c r="K58" s="73">
        <v>2040</v>
      </c>
      <c r="L58" s="73">
        <v>2040</v>
      </c>
      <c r="M58" s="1"/>
    </row>
    <row r="59" spans="1:13" x14ac:dyDescent="0.25">
      <c r="A59" s="71">
        <v>312</v>
      </c>
      <c r="B59" s="351" t="s">
        <v>314</v>
      </c>
      <c r="C59" s="371">
        <v>0</v>
      </c>
      <c r="D59" s="365">
        <v>0</v>
      </c>
      <c r="E59" s="14">
        <v>0</v>
      </c>
      <c r="F59" s="419">
        <v>18563</v>
      </c>
      <c r="G59" s="73">
        <v>0</v>
      </c>
      <c r="H59" s="73">
        <v>0</v>
      </c>
      <c r="I59" s="73"/>
      <c r="J59" s="73">
        <v>14170</v>
      </c>
      <c r="K59" s="73">
        <v>0</v>
      </c>
      <c r="L59" s="73">
        <v>0</v>
      </c>
      <c r="M59" s="27"/>
    </row>
    <row r="60" spans="1:13" x14ac:dyDescent="0.25">
      <c r="A60" s="71">
        <v>312</v>
      </c>
      <c r="B60" s="76" t="s">
        <v>329</v>
      </c>
      <c r="C60" s="371"/>
      <c r="D60" s="365">
        <v>0</v>
      </c>
      <c r="E60" s="14">
        <v>0</v>
      </c>
      <c r="F60" s="419">
        <v>12159</v>
      </c>
      <c r="G60" s="73">
        <f>12025+8883</f>
        <v>20908</v>
      </c>
      <c r="H60" s="73">
        <v>0</v>
      </c>
      <c r="I60" s="73"/>
      <c r="J60" s="73">
        <v>0</v>
      </c>
      <c r="K60" s="73"/>
      <c r="L60" s="73">
        <v>0</v>
      </c>
      <c r="M60" s="27"/>
    </row>
    <row r="61" spans="1:13" x14ac:dyDescent="0.25">
      <c r="A61" s="67">
        <v>312</v>
      </c>
      <c r="B61" s="359" t="s">
        <v>49</v>
      </c>
      <c r="C61" s="368">
        <v>0</v>
      </c>
      <c r="D61" s="383">
        <v>0</v>
      </c>
      <c r="E61" s="368">
        <v>300</v>
      </c>
      <c r="F61" s="416">
        <v>0</v>
      </c>
      <c r="G61" s="68">
        <v>0</v>
      </c>
      <c r="H61" s="68">
        <v>0</v>
      </c>
      <c r="I61" s="68"/>
      <c r="J61" s="68">
        <v>0</v>
      </c>
      <c r="K61" s="68"/>
      <c r="L61" s="68">
        <v>0</v>
      </c>
      <c r="M61" s="1"/>
    </row>
    <row r="62" spans="1:13" x14ac:dyDescent="0.25">
      <c r="A62" s="71">
        <v>312</v>
      </c>
      <c r="B62" s="118" t="s">
        <v>51</v>
      </c>
      <c r="C62" s="371">
        <v>0</v>
      </c>
      <c r="D62" s="365">
        <v>0</v>
      </c>
      <c r="E62" s="14">
        <v>0</v>
      </c>
      <c r="F62" s="419">
        <v>3669</v>
      </c>
      <c r="G62" s="73">
        <v>0</v>
      </c>
      <c r="H62" s="73">
        <v>0</v>
      </c>
      <c r="I62" s="73"/>
      <c r="J62" s="73">
        <v>0</v>
      </c>
      <c r="K62" s="73"/>
      <c r="L62" s="73">
        <v>0</v>
      </c>
      <c r="M62" s="1"/>
    </row>
    <row r="63" spans="1:13" x14ac:dyDescent="0.25">
      <c r="A63" s="71">
        <v>312</v>
      </c>
      <c r="B63" s="118" t="s">
        <v>52</v>
      </c>
      <c r="C63" s="371">
        <v>0</v>
      </c>
      <c r="D63" s="365">
        <v>0</v>
      </c>
      <c r="E63" s="14">
        <v>0</v>
      </c>
      <c r="F63" s="419">
        <v>0</v>
      </c>
      <c r="G63" s="73">
        <v>0</v>
      </c>
      <c r="H63" s="73">
        <v>0</v>
      </c>
      <c r="I63" s="73"/>
      <c r="J63" s="73">
        <v>0</v>
      </c>
      <c r="K63" s="73"/>
      <c r="L63" s="73">
        <v>0</v>
      </c>
      <c r="M63" s="1"/>
    </row>
    <row r="64" spans="1:13" ht="15.75" thickBot="1" x14ac:dyDescent="0.3">
      <c r="A64" s="74">
        <v>312</v>
      </c>
      <c r="B64" s="82" t="s">
        <v>53</v>
      </c>
      <c r="C64" s="374">
        <v>0</v>
      </c>
      <c r="D64" s="427">
        <v>0</v>
      </c>
      <c r="E64" s="374">
        <v>30</v>
      </c>
      <c r="F64" s="421">
        <v>33</v>
      </c>
      <c r="G64" s="75">
        <v>1536</v>
      </c>
      <c r="H64" s="75">
        <v>40</v>
      </c>
      <c r="I64" s="75">
        <v>40</v>
      </c>
      <c r="J64" s="75">
        <v>40</v>
      </c>
      <c r="K64" s="75">
        <v>40</v>
      </c>
      <c r="L64" s="75">
        <v>40</v>
      </c>
      <c r="M64" s="27"/>
    </row>
    <row r="65" spans="1:15" ht="15.75" thickBot="1" x14ac:dyDescent="0.3">
      <c r="A65" s="348">
        <v>312</v>
      </c>
      <c r="B65" s="360" t="s">
        <v>221</v>
      </c>
      <c r="C65" s="372">
        <v>0</v>
      </c>
      <c r="D65" s="385">
        <v>0</v>
      </c>
      <c r="E65" s="372">
        <v>0</v>
      </c>
      <c r="F65" s="420">
        <v>4439</v>
      </c>
      <c r="G65" s="349">
        <v>4026</v>
      </c>
      <c r="H65" s="349">
        <v>4100</v>
      </c>
      <c r="I65" s="349">
        <v>4100</v>
      </c>
      <c r="J65" s="349">
        <v>3000</v>
      </c>
      <c r="K65" s="349">
        <v>3000</v>
      </c>
      <c r="L65" s="349">
        <v>3000</v>
      </c>
      <c r="M65" s="27"/>
    </row>
    <row r="66" spans="1:15" x14ac:dyDescent="0.25">
      <c r="A66" s="71">
        <v>312</v>
      </c>
      <c r="B66" s="85" t="s">
        <v>54</v>
      </c>
      <c r="C66" s="371">
        <v>12616</v>
      </c>
      <c r="D66" s="365">
        <v>16521</v>
      </c>
      <c r="E66" s="370">
        <v>19278</v>
      </c>
      <c r="F66" s="16">
        <v>14249</v>
      </c>
      <c r="G66" s="16">
        <v>16620</v>
      </c>
      <c r="H66" s="16">
        <v>19100</v>
      </c>
      <c r="I66" s="16">
        <v>19100</v>
      </c>
      <c r="J66" s="16">
        <v>20100</v>
      </c>
      <c r="K66" s="16">
        <v>20100</v>
      </c>
      <c r="L66" s="16">
        <v>20100</v>
      </c>
      <c r="M66" s="1"/>
    </row>
    <row r="67" spans="1:15" x14ac:dyDescent="0.25">
      <c r="A67" s="71">
        <v>312</v>
      </c>
      <c r="B67" s="118" t="s">
        <v>55</v>
      </c>
      <c r="C67" s="371">
        <v>22490</v>
      </c>
      <c r="D67" s="365">
        <v>18300</v>
      </c>
      <c r="E67" s="370">
        <v>8700</v>
      </c>
      <c r="F67" s="15">
        <v>10200</v>
      </c>
      <c r="G67" s="16">
        <v>10200</v>
      </c>
      <c r="H67" s="16">
        <v>11000</v>
      </c>
      <c r="I67" s="16">
        <v>11000</v>
      </c>
      <c r="J67" s="16">
        <v>12500</v>
      </c>
      <c r="K67" s="16">
        <v>12500</v>
      </c>
      <c r="L67" s="16">
        <v>12500</v>
      </c>
      <c r="M67" s="1"/>
    </row>
    <row r="68" spans="1:15" ht="15.75" thickBot="1" x14ac:dyDescent="0.3">
      <c r="A68" s="77">
        <v>312</v>
      </c>
      <c r="B68" s="165" t="s">
        <v>56</v>
      </c>
      <c r="C68" s="373">
        <v>7511</v>
      </c>
      <c r="D68" s="386">
        <v>7851</v>
      </c>
      <c r="E68" s="391">
        <v>8430</v>
      </c>
      <c r="F68" s="79">
        <v>9770</v>
      </c>
      <c r="G68" s="79">
        <v>13229</v>
      </c>
      <c r="H68" s="79">
        <v>8600</v>
      </c>
      <c r="I68" s="79">
        <v>8600</v>
      </c>
      <c r="J68" s="79">
        <f>3000+5600</f>
        <v>8600</v>
      </c>
      <c r="K68" s="79">
        <v>8600</v>
      </c>
      <c r="L68" s="79">
        <v>8600</v>
      </c>
      <c r="M68" s="27"/>
      <c r="N68" s="458"/>
    </row>
    <row r="69" spans="1:15" x14ac:dyDescent="0.25">
      <c r="A69" s="71">
        <v>312</v>
      </c>
      <c r="B69" s="85" t="s">
        <v>233</v>
      </c>
      <c r="C69" s="371">
        <v>2100</v>
      </c>
      <c r="D69" s="387">
        <v>2000</v>
      </c>
      <c r="E69" s="370">
        <v>3500</v>
      </c>
      <c r="F69" s="418">
        <v>0</v>
      </c>
      <c r="G69" s="16">
        <v>0</v>
      </c>
      <c r="H69" s="16">
        <v>0</v>
      </c>
      <c r="I69" s="16">
        <v>3200</v>
      </c>
      <c r="J69" s="16">
        <v>0</v>
      </c>
      <c r="K69" s="16">
        <v>0</v>
      </c>
      <c r="L69" s="16">
        <v>0</v>
      </c>
      <c r="M69" s="1"/>
    </row>
    <row r="70" spans="1:15" x14ac:dyDescent="0.25">
      <c r="A70" s="71">
        <v>312</v>
      </c>
      <c r="B70" s="85" t="s">
        <v>57</v>
      </c>
      <c r="C70" s="371">
        <v>10000</v>
      </c>
      <c r="D70" s="388">
        <v>10000</v>
      </c>
      <c r="E70" s="370">
        <v>0</v>
      </c>
      <c r="F70" s="418">
        <v>0</v>
      </c>
      <c r="G70" s="16">
        <v>0</v>
      </c>
      <c r="H70" s="16"/>
      <c r="I70" s="16"/>
      <c r="J70" s="16"/>
      <c r="K70" s="16"/>
      <c r="L70" s="16"/>
      <c r="M70" s="1"/>
    </row>
    <row r="71" spans="1:15" x14ac:dyDescent="0.25">
      <c r="A71" s="71">
        <v>312</v>
      </c>
      <c r="B71" s="118" t="s">
        <v>58</v>
      </c>
      <c r="C71" s="371">
        <v>1400</v>
      </c>
      <c r="D71" s="389">
        <v>1400</v>
      </c>
      <c r="E71" s="370">
        <v>3000</v>
      </c>
      <c r="F71" s="418">
        <v>0</v>
      </c>
      <c r="G71" s="16">
        <v>0</v>
      </c>
      <c r="H71" s="16"/>
      <c r="I71" s="16"/>
      <c r="J71" s="16"/>
      <c r="K71" s="16"/>
      <c r="L71" s="16"/>
      <c r="M71" s="1"/>
    </row>
    <row r="72" spans="1:15" ht="15.75" thickBot="1" x14ac:dyDescent="0.3">
      <c r="A72" s="74">
        <v>312</v>
      </c>
      <c r="B72" s="82" t="s">
        <v>59</v>
      </c>
      <c r="C72" s="374">
        <v>8000</v>
      </c>
      <c r="D72" s="364">
        <v>11300</v>
      </c>
      <c r="E72" s="374">
        <v>13785</v>
      </c>
      <c r="F72" s="421">
        <v>0</v>
      </c>
      <c r="G72" s="75">
        <v>7000</v>
      </c>
      <c r="H72" s="75">
        <v>0</v>
      </c>
      <c r="I72" s="75">
        <v>3200</v>
      </c>
      <c r="J72" s="75">
        <v>3000</v>
      </c>
      <c r="K72" s="75">
        <v>0</v>
      </c>
      <c r="L72" s="75">
        <v>0</v>
      </c>
      <c r="M72" s="27"/>
    </row>
    <row r="73" spans="1:15" x14ac:dyDescent="0.25">
      <c r="A73" s="71">
        <v>312</v>
      </c>
      <c r="B73" s="351" t="s">
        <v>60</v>
      </c>
      <c r="C73" s="370">
        <v>3966</v>
      </c>
      <c r="D73" s="384">
        <v>4139</v>
      </c>
      <c r="E73" s="392">
        <v>4569</v>
      </c>
      <c r="F73" s="83">
        <v>4904</v>
      </c>
      <c r="G73" s="83">
        <v>5027</v>
      </c>
      <c r="H73" s="83">
        <v>5000</v>
      </c>
      <c r="I73" s="83">
        <v>5000</v>
      </c>
      <c r="J73" s="83">
        <v>5120</v>
      </c>
      <c r="K73" s="83">
        <v>5120</v>
      </c>
      <c r="L73" s="83">
        <v>5120</v>
      </c>
      <c r="M73" s="1"/>
    </row>
    <row r="74" spans="1:15" x14ac:dyDescent="0.25">
      <c r="A74" s="84">
        <v>312</v>
      </c>
      <c r="B74" s="361" t="s">
        <v>61</v>
      </c>
      <c r="C74" s="375">
        <v>3018</v>
      </c>
      <c r="D74" s="388">
        <v>3476</v>
      </c>
      <c r="E74" s="375">
        <v>3771</v>
      </c>
      <c r="F74" s="21">
        <v>4169</v>
      </c>
      <c r="G74" s="21">
        <v>3664</v>
      </c>
      <c r="H74" s="21">
        <v>3700</v>
      </c>
      <c r="I74" s="21">
        <v>3700</v>
      </c>
      <c r="J74" s="21">
        <v>3700</v>
      </c>
      <c r="K74" s="21">
        <v>3700</v>
      </c>
      <c r="L74" s="21">
        <v>3700</v>
      </c>
      <c r="M74" s="1"/>
    </row>
    <row r="75" spans="1:15" x14ac:dyDescent="0.25">
      <c r="A75" s="84">
        <v>312</v>
      </c>
      <c r="B75" s="362" t="s">
        <v>295</v>
      </c>
      <c r="C75" s="376">
        <v>2774</v>
      </c>
      <c r="D75" s="389">
        <v>2919</v>
      </c>
      <c r="E75" s="393">
        <v>2837</v>
      </c>
      <c r="F75" s="33">
        <v>3186</v>
      </c>
      <c r="G75" s="33">
        <v>6764</v>
      </c>
      <c r="H75" s="33">
        <v>3000</v>
      </c>
      <c r="I75" s="33">
        <v>7208</v>
      </c>
      <c r="J75" s="33">
        <v>5000</v>
      </c>
      <c r="K75" s="33">
        <v>5000</v>
      </c>
      <c r="L75" s="33">
        <v>5000</v>
      </c>
      <c r="M75" s="1"/>
    </row>
    <row r="76" spans="1:15" x14ac:dyDescent="0.25">
      <c r="A76" s="71">
        <v>312</v>
      </c>
      <c r="B76" s="118" t="s">
        <v>330</v>
      </c>
      <c r="C76" s="371">
        <v>12162</v>
      </c>
      <c r="D76" s="365">
        <v>12162</v>
      </c>
      <c r="E76" s="394">
        <v>50858</v>
      </c>
      <c r="F76" s="16">
        <v>84215</v>
      </c>
      <c r="G76" s="16">
        <f>11938+71808</f>
        <v>83746</v>
      </c>
      <c r="H76" s="16">
        <v>25500</v>
      </c>
      <c r="I76" s="16">
        <v>37300</v>
      </c>
      <c r="J76" s="16">
        <v>52550</v>
      </c>
      <c r="K76" s="16">
        <v>82300</v>
      </c>
      <c r="L76" s="16">
        <v>82300</v>
      </c>
      <c r="M76" s="1"/>
    </row>
    <row r="77" spans="1:15" x14ac:dyDescent="0.25">
      <c r="A77" s="71">
        <v>312</v>
      </c>
      <c r="B77" s="351" t="s">
        <v>222</v>
      </c>
      <c r="C77" s="371">
        <v>0</v>
      </c>
      <c r="D77" s="365">
        <v>0</v>
      </c>
      <c r="E77" s="394">
        <v>0</v>
      </c>
      <c r="F77" s="83">
        <v>4640</v>
      </c>
      <c r="G77" s="16">
        <v>5205</v>
      </c>
      <c r="H77" s="16">
        <v>0</v>
      </c>
      <c r="I77" s="16"/>
      <c r="J77" s="16">
        <v>0</v>
      </c>
      <c r="K77" s="16">
        <v>0</v>
      </c>
      <c r="L77" s="16">
        <v>0</v>
      </c>
      <c r="M77" s="1"/>
    </row>
    <row r="78" spans="1:15" ht="15.75" thickBot="1" x14ac:dyDescent="0.3">
      <c r="A78" s="77">
        <v>312</v>
      </c>
      <c r="B78" s="165" t="s">
        <v>62</v>
      </c>
      <c r="C78" s="373">
        <v>0</v>
      </c>
      <c r="D78" s="534"/>
      <c r="E78" s="535">
        <v>31104</v>
      </c>
      <c r="F78" s="79">
        <v>33696</v>
      </c>
      <c r="G78" s="79">
        <v>16565</v>
      </c>
      <c r="H78" s="79">
        <v>46400</v>
      </c>
      <c r="I78" s="79">
        <v>46400</v>
      </c>
      <c r="J78" s="79">
        <v>47340</v>
      </c>
      <c r="K78" s="79">
        <v>47340</v>
      </c>
      <c r="L78" s="79">
        <v>47340</v>
      </c>
      <c r="M78" s="27">
        <f>SUM(J48:J78)+J82</f>
        <v>758710</v>
      </c>
      <c r="N78" s="27">
        <f t="shared" ref="N78:O78" si="9">SUM(K48:K78)+K82</f>
        <v>781290</v>
      </c>
      <c r="O78" s="27">
        <f t="shared" si="9"/>
        <v>769290</v>
      </c>
    </row>
    <row r="79" spans="1:15" x14ac:dyDescent="0.25">
      <c r="A79" s="71">
        <v>315</v>
      </c>
      <c r="B79" s="76" t="s">
        <v>58</v>
      </c>
      <c r="C79" s="371"/>
      <c r="D79" s="366">
        <v>0</v>
      </c>
      <c r="E79" s="394">
        <v>0</v>
      </c>
      <c r="F79" s="422">
        <v>3000</v>
      </c>
      <c r="G79" s="16">
        <v>3000</v>
      </c>
      <c r="H79" s="16">
        <v>3000</v>
      </c>
      <c r="I79" s="16">
        <v>3000</v>
      </c>
      <c r="J79" s="16">
        <v>3000</v>
      </c>
      <c r="K79" s="16">
        <v>3000</v>
      </c>
      <c r="L79" s="16">
        <v>3000</v>
      </c>
      <c r="M79" s="27"/>
    </row>
    <row r="80" spans="1:15" ht="15.75" thickBot="1" x14ac:dyDescent="0.3">
      <c r="A80" s="77">
        <v>315</v>
      </c>
      <c r="B80" s="78" t="s">
        <v>294</v>
      </c>
      <c r="C80" s="373"/>
      <c r="D80" s="534">
        <v>0</v>
      </c>
      <c r="E80" s="535">
        <v>0</v>
      </c>
      <c r="F80" s="542">
        <v>0</v>
      </c>
      <c r="G80" s="79">
        <v>100</v>
      </c>
      <c r="H80" s="79">
        <v>200</v>
      </c>
      <c r="I80" s="79">
        <v>300</v>
      </c>
      <c r="J80" s="79">
        <v>200</v>
      </c>
      <c r="K80" s="79">
        <v>0</v>
      </c>
      <c r="L80" s="79">
        <v>0</v>
      </c>
      <c r="M80" s="27">
        <f>SUM(J79:J80)</f>
        <v>3200</v>
      </c>
    </row>
    <row r="81" spans="1:15" ht="15.75" x14ac:dyDescent="0.25">
      <c r="A81" s="536">
        <v>312</v>
      </c>
      <c r="B81" s="537" t="s">
        <v>246</v>
      </c>
      <c r="C81" s="371"/>
      <c r="D81" s="538">
        <v>0</v>
      </c>
      <c r="E81" s="539">
        <v>0</v>
      </c>
      <c r="F81" s="540">
        <v>38</v>
      </c>
      <c r="G81" s="541">
        <v>420</v>
      </c>
      <c r="H81" s="541">
        <v>0</v>
      </c>
      <c r="I81" s="541">
        <v>0</v>
      </c>
      <c r="J81" s="541">
        <v>0</v>
      </c>
      <c r="K81" s="541"/>
      <c r="L81" s="541">
        <v>0</v>
      </c>
      <c r="M81" s="27"/>
    </row>
    <row r="82" spans="1:15" ht="16.5" thickBot="1" x14ac:dyDescent="0.3">
      <c r="A82" s="86">
        <v>312</v>
      </c>
      <c r="B82" s="87" t="s">
        <v>63</v>
      </c>
      <c r="C82" s="377">
        <v>438144</v>
      </c>
      <c r="D82" s="367">
        <v>446556</v>
      </c>
      <c r="E82" s="377">
        <v>486612</v>
      </c>
      <c r="F82" s="423">
        <v>549196</v>
      </c>
      <c r="G82" s="88">
        <v>565776</v>
      </c>
      <c r="H82" s="88">
        <v>534950</v>
      </c>
      <c r="I82" s="88">
        <v>594559</v>
      </c>
      <c r="J82" s="88">
        <v>571450</v>
      </c>
      <c r="K82" s="88">
        <v>571450</v>
      </c>
      <c r="L82" s="88">
        <v>571450</v>
      </c>
      <c r="M82" s="27"/>
      <c r="N82" s="27"/>
      <c r="O82" s="27"/>
    </row>
    <row r="83" spans="1:15" ht="16.5" thickBot="1" x14ac:dyDescent="0.3">
      <c r="A83" s="89" t="s">
        <v>64</v>
      </c>
      <c r="B83" s="363"/>
      <c r="C83" s="378">
        <f t="shared" ref="C83:L83" si="10">SUM(C3+C11+C35+C37+C45)</f>
        <v>1774628</v>
      </c>
      <c r="D83" s="390">
        <f t="shared" si="10"/>
        <v>1904852</v>
      </c>
      <c r="E83" s="378">
        <f t="shared" si="10"/>
        <v>2103111</v>
      </c>
      <c r="F83" s="378">
        <f t="shared" si="10"/>
        <v>2201436</v>
      </c>
      <c r="G83" s="90">
        <f t="shared" si="10"/>
        <v>2290508</v>
      </c>
      <c r="H83" s="90">
        <f t="shared" si="10"/>
        <v>2231928</v>
      </c>
      <c r="I83" s="90">
        <f t="shared" si="10"/>
        <v>2367730</v>
      </c>
      <c r="J83" s="90">
        <f t="shared" si="10"/>
        <v>2532250</v>
      </c>
      <c r="K83" s="90">
        <f t="shared" si="10"/>
        <v>2610880</v>
      </c>
      <c r="L83" s="90">
        <f t="shared" si="10"/>
        <v>2600290</v>
      </c>
      <c r="M83" s="1"/>
    </row>
    <row r="84" spans="1:15" x14ac:dyDescent="0.25">
      <c r="A84" s="91" t="s">
        <v>65</v>
      </c>
      <c r="B84" s="92" t="s">
        <v>66</v>
      </c>
      <c r="C84" s="93">
        <v>5446</v>
      </c>
      <c r="D84" s="93">
        <v>7593</v>
      </c>
      <c r="E84" s="93">
        <v>7551</v>
      </c>
      <c r="F84" s="93">
        <v>355</v>
      </c>
      <c r="G84" s="93">
        <v>1801</v>
      </c>
      <c r="H84" s="93">
        <v>2450</v>
      </c>
      <c r="I84" s="93">
        <v>4534</v>
      </c>
      <c r="J84" s="93">
        <v>2450</v>
      </c>
      <c r="K84" s="93">
        <v>2450</v>
      </c>
      <c r="L84" s="93">
        <v>2450</v>
      </c>
      <c r="M84" s="1"/>
    </row>
    <row r="85" spans="1:15" x14ac:dyDescent="0.25">
      <c r="A85" s="94" t="s">
        <v>65</v>
      </c>
      <c r="B85" s="92" t="s">
        <v>67</v>
      </c>
      <c r="C85" s="95">
        <v>1300</v>
      </c>
      <c r="D85" s="95">
        <v>1300</v>
      </c>
      <c r="E85" s="95">
        <v>1308</v>
      </c>
      <c r="F85" s="95">
        <v>1250</v>
      </c>
      <c r="G85" s="95">
        <v>1468</v>
      </c>
      <c r="H85" s="95">
        <v>2000</v>
      </c>
      <c r="I85" s="95">
        <v>2000</v>
      </c>
      <c r="J85" s="95">
        <v>2600</v>
      </c>
      <c r="K85" s="95">
        <v>2600</v>
      </c>
      <c r="L85" s="95">
        <v>2600</v>
      </c>
      <c r="M85" s="1"/>
    </row>
    <row r="86" spans="1:15" ht="15.75" thickBot="1" x14ac:dyDescent="0.3">
      <c r="A86" s="96" t="s">
        <v>65</v>
      </c>
      <c r="B86" s="97" t="s">
        <v>68</v>
      </c>
      <c r="C86" s="98">
        <v>0</v>
      </c>
      <c r="D86" s="98">
        <v>0</v>
      </c>
      <c r="E86" s="98">
        <v>50402</v>
      </c>
      <c r="F86" s="98">
        <v>28608</v>
      </c>
      <c r="G86" s="98">
        <v>0</v>
      </c>
      <c r="H86" s="98">
        <v>0</v>
      </c>
      <c r="I86" s="98">
        <v>0</v>
      </c>
      <c r="J86" s="98">
        <v>0</v>
      </c>
      <c r="K86" s="98"/>
      <c r="L86" s="98">
        <v>0</v>
      </c>
      <c r="M86" s="1"/>
    </row>
    <row r="87" spans="1:15" ht="15.75" thickBot="1" x14ac:dyDescent="0.3">
      <c r="A87" s="882" t="s">
        <v>69</v>
      </c>
      <c r="B87" s="883"/>
      <c r="C87" s="99">
        <f t="shared" ref="C87:D87" si="11">SUM(C84:C86)</f>
        <v>6746</v>
      </c>
      <c r="D87" s="99">
        <f t="shared" si="11"/>
        <v>8893</v>
      </c>
      <c r="E87" s="99">
        <f t="shared" ref="E87:L87" si="12">SUM(E84:E86)</f>
        <v>59261</v>
      </c>
      <c r="F87" s="99">
        <f t="shared" si="12"/>
        <v>30213</v>
      </c>
      <c r="G87" s="99">
        <f t="shared" si="12"/>
        <v>3269</v>
      </c>
      <c r="H87" s="99">
        <f t="shared" si="12"/>
        <v>4450</v>
      </c>
      <c r="I87" s="99">
        <f t="shared" si="12"/>
        <v>6534</v>
      </c>
      <c r="J87" s="99">
        <f t="shared" si="12"/>
        <v>5050</v>
      </c>
      <c r="K87" s="99">
        <f t="shared" si="12"/>
        <v>5050</v>
      </c>
      <c r="L87" s="99">
        <f t="shared" si="12"/>
        <v>5050</v>
      </c>
      <c r="M87" s="1"/>
    </row>
    <row r="88" spans="1:15" x14ac:dyDescent="0.25">
      <c r="A88" s="446" t="s">
        <v>65</v>
      </c>
      <c r="B88" s="244" t="s">
        <v>265</v>
      </c>
      <c r="C88" s="447"/>
      <c r="D88" s="247">
        <v>0</v>
      </c>
      <c r="E88" s="247">
        <v>0</v>
      </c>
      <c r="F88" s="247">
        <v>0</v>
      </c>
      <c r="G88" s="247">
        <v>35981</v>
      </c>
      <c r="H88" s="247">
        <v>0</v>
      </c>
      <c r="I88" s="247">
        <v>0</v>
      </c>
      <c r="J88" s="247">
        <v>0</v>
      </c>
      <c r="K88" s="247">
        <v>0</v>
      </c>
      <c r="L88" s="247">
        <v>0</v>
      </c>
      <c r="M88" s="1"/>
    </row>
    <row r="89" spans="1:15" ht="15.75" thickBot="1" x14ac:dyDescent="0.3">
      <c r="A89" s="100" t="s">
        <v>65</v>
      </c>
      <c r="B89" s="101" t="s">
        <v>70</v>
      </c>
      <c r="C89" s="102">
        <v>4930</v>
      </c>
      <c r="D89" s="448">
        <v>10244</v>
      </c>
      <c r="E89" s="449">
        <v>11710</v>
      </c>
      <c r="F89" s="449">
        <v>11266</v>
      </c>
      <c r="G89" s="449">
        <v>11355</v>
      </c>
      <c r="H89" s="449">
        <v>11470</v>
      </c>
      <c r="I89" s="449">
        <v>11470</v>
      </c>
      <c r="J89" s="449">
        <v>10980</v>
      </c>
      <c r="K89" s="449">
        <v>11520</v>
      </c>
      <c r="L89" s="449">
        <v>11520</v>
      </c>
      <c r="M89" s="1"/>
    </row>
    <row r="90" spans="1:15" ht="15.75" thickBot="1" x14ac:dyDescent="0.3">
      <c r="A90" s="882" t="s">
        <v>266</v>
      </c>
      <c r="B90" s="883"/>
      <c r="C90" s="102"/>
      <c r="D90" s="445">
        <f>SUM(D88:D89)</f>
        <v>10244</v>
      </c>
      <c r="E90" s="445">
        <f t="shared" ref="E90:H90" si="13">SUM(E88:E89)</f>
        <v>11710</v>
      </c>
      <c r="F90" s="445">
        <f t="shared" si="13"/>
        <v>11266</v>
      </c>
      <c r="G90" s="445">
        <f t="shared" si="13"/>
        <v>47336</v>
      </c>
      <c r="H90" s="445">
        <f t="shared" si="13"/>
        <v>11470</v>
      </c>
      <c r="I90" s="445">
        <f t="shared" ref="I90:L90" si="14">SUM(I88:I89)</f>
        <v>11470</v>
      </c>
      <c r="J90" s="445">
        <f t="shared" si="14"/>
        <v>10980</v>
      </c>
      <c r="K90" s="445">
        <f t="shared" si="14"/>
        <v>11520</v>
      </c>
      <c r="L90" s="445">
        <f t="shared" si="14"/>
        <v>11520</v>
      </c>
      <c r="M90" s="1"/>
    </row>
    <row r="91" spans="1:15" ht="16.5" thickBot="1" x14ac:dyDescent="0.3">
      <c r="A91" s="884" t="s">
        <v>71</v>
      </c>
      <c r="B91" s="885"/>
      <c r="C91" s="103">
        <f t="shared" ref="C91" si="15">C87+C89</f>
        <v>11676</v>
      </c>
      <c r="D91" s="103">
        <f>D87+D90</f>
        <v>19137</v>
      </c>
      <c r="E91" s="103">
        <f t="shared" ref="E91:H91" si="16">E87+E90</f>
        <v>70971</v>
      </c>
      <c r="F91" s="103">
        <f t="shared" si="16"/>
        <v>41479</v>
      </c>
      <c r="G91" s="103">
        <f t="shared" si="16"/>
        <v>50605</v>
      </c>
      <c r="H91" s="103">
        <f t="shared" si="16"/>
        <v>15920</v>
      </c>
      <c r="I91" s="103">
        <f t="shared" ref="I91:L91" si="17">I87+I90</f>
        <v>18004</v>
      </c>
      <c r="J91" s="103">
        <f t="shared" si="17"/>
        <v>16030</v>
      </c>
      <c r="K91" s="103">
        <f t="shared" si="17"/>
        <v>16570</v>
      </c>
      <c r="L91" s="103">
        <f t="shared" si="17"/>
        <v>16570</v>
      </c>
      <c r="M91" s="1"/>
    </row>
    <row r="92" spans="1:15" ht="16.5" thickBot="1" x14ac:dyDescent="0.3">
      <c r="A92" s="89" t="s">
        <v>72</v>
      </c>
      <c r="B92" s="66"/>
      <c r="C92" s="90">
        <f t="shared" ref="C92:H92" si="18">C83+C91</f>
        <v>1786304</v>
      </c>
      <c r="D92" s="90">
        <f t="shared" si="18"/>
        <v>1923989</v>
      </c>
      <c r="E92" s="90">
        <f t="shared" si="18"/>
        <v>2174082</v>
      </c>
      <c r="F92" s="90">
        <f t="shared" ref="F92" si="19">F83+F91</f>
        <v>2242915</v>
      </c>
      <c r="G92" s="90">
        <f t="shared" si="18"/>
        <v>2341113</v>
      </c>
      <c r="H92" s="90">
        <f t="shared" si="18"/>
        <v>2247848</v>
      </c>
      <c r="I92" s="90">
        <f t="shared" ref="I92:L92" si="20">I83+I91</f>
        <v>2385734</v>
      </c>
      <c r="J92" s="90">
        <f t="shared" si="20"/>
        <v>2548280</v>
      </c>
      <c r="K92" s="90">
        <f t="shared" si="20"/>
        <v>2627450</v>
      </c>
      <c r="L92" s="90">
        <f t="shared" si="20"/>
        <v>2616860</v>
      </c>
      <c r="M92" s="1"/>
    </row>
    <row r="93" spans="1:15" x14ac:dyDescent="0.25">
      <c r="A93" s="1"/>
      <c r="B93" s="1"/>
      <c r="C93" s="1"/>
      <c r="D93" s="1"/>
      <c r="E93" s="104"/>
      <c r="F93" s="104"/>
      <c r="G93" s="104"/>
      <c r="H93" s="104"/>
      <c r="I93" s="104"/>
      <c r="J93" s="104"/>
      <c r="K93" s="104"/>
      <c r="L93" s="104"/>
      <c r="M93" s="104"/>
    </row>
    <row r="94" spans="1:15" ht="15.75" x14ac:dyDescent="0.25">
      <c r="A94" s="105"/>
      <c r="B94" s="106"/>
      <c r="C94" s="106"/>
      <c r="D94" s="106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1:15" ht="18.75" thickBot="1" x14ac:dyDescent="0.3">
      <c r="A95" s="886" t="s">
        <v>73</v>
      </c>
      <c r="B95" s="887"/>
      <c r="C95" s="887"/>
      <c r="D95" s="887"/>
      <c r="E95" s="887"/>
      <c r="F95" s="887"/>
      <c r="G95" s="887"/>
      <c r="H95" s="887"/>
      <c r="I95" s="887"/>
      <c r="J95" s="887"/>
      <c r="K95" s="887"/>
      <c r="L95" s="887"/>
      <c r="M95" s="1"/>
    </row>
    <row r="96" spans="1:15" ht="35.25" customHeight="1" thickBot="1" x14ac:dyDescent="0.3">
      <c r="A96" s="864" t="s">
        <v>1</v>
      </c>
      <c r="B96" s="888"/>
      <c r="C96" s="415" t="s">
        <v>2</v>
      </c>
      <c r="D96" s="414" t="s">
        <v>3</v>
      </c>
      <c r="E96" s="414" t="s">
        <v>218</v>
      </c>
      <c r="F96" s="414" t="s">
        <v>244</v>
      </c>
      <c r="G96" s="555" t="s">
        <v>299</v>
      </c>
      <c r="H96" s="413" t="s">
        <v>297</v>
      </c>
      <c r="I96" s="413" t="s">
        <v>298</v>
      </c>
      <c r="J96" s="413" t="s">
        <v>300</v>
      </c>
      <c r="K96" s="413" t="s">
        <v>301</v>
      </c>
      <c r="L96" s="413" t="s">
        <v>302</v>
      </c>
      <c r="M96" s="1"/>
    </row>
    <row r="97" spans="1:13" ht="15.75" thickBot="1" x14ac:dyDescent="0.3">
      <c r="A97" s="108" t="s">
        <v>74</v>
      </c>
      <c r="B97" s="109"/>
      <c r="C97" s="110">
        <f t="shared" ref="C97:G97" si="21">SUM(C98:C102)</f>
        <v>156377</v>
      </c>
      <c r="D97" s="111">
        <f t="shared" si="21"/>
        <v>174936</v>
      </c>
      <c r="E97" s="110">
        <f t="shared" si="21"/>
        <v>231640</v>
      </c>
      <c r="F97" s="112">
        <f t="shared" si="21"/>
        <v>231049</v>
      </c>
      <c r="G97" s="112">
        <f t="shared" si="21"/>
        <v>232468</v>
      </c>
      <c r="H97" s="112">
        <f t="shared" ref="H97" si="22">SUM(H98:H102)</f>
        <v>290310</v>
      </c>
      <c r="I97" s="112">
        <f t="shared" ref="I97" si="23">SUM(I98:I102)</f>
        <v>303210</v>
      </c>
      <c r="J97" s="112">
        <f t="shared" ref="J97:L97" si="24">SUM(J98:J102)</f>
        <v>315730</v>
      </c>
      <c r="K97" s="112">
        <f t="shared" si="24"/>
        <v>317060</v>
      </c>
      <c r="L97" s="112">
        <f t="shared" si="24"/>
        <v>305020</v>
      </c>
      <c r="M97" s="1"/>
    </row>
    <row r="98" spans="1:13" x14ac:dyDescent="0.25">
      <c r="A98" s="113" t="s">
        <v>75</v>
      </c>
      <c r="B98" s="85" t="s">
        <v>76</v>
      </c>
      <c r="C98" s="114">
        <v>80991</v>
      </c>
      <c r="D98" s="115">
        <v>85746</v>
      </c>
      <c r="E98" s="116">
        <v>107957</v>
      </c>
      <c r="F98" s="56">
        <v>109255</v>
      </c>
      <c r="G98" s="56">
        <v>107887</v>
      </c>
      <c r="H98" s="56">
        <f t="shared" ref="H98" si="25">143650</f>
        <v>143650</v>
      </c>
      <c r="I98" s="56">
        <f t="shared" ref="I98" si="26">143650+100-3500+6700</f>
        <v>146950</v>
      </c>
      <c r="J98" s="56">
        <v>155900</v>
      </c>
      <c r="K98" s="56">
        <v>153900</v>
      </c>
      <c r="L98" s="56">
        <v>153900</v>
      </c>
      <c r="M98" s="1"/>
    </row>
    <row r="99" spans="1:13" x14ac:dyDescent="0.25">
      <c r="A99" s="117" t="s">
        <v>77</v>
      </c>
      <c r="B99" s="118" t="s">
        <v>78</v>
      </c>
      <c r="C99" s="62">
        <v>43743</v>
      </c>
      <c r="D99" s="119">
        <v>51946</v>
      </c>
      <c r="E99" s="120">
        <v>68901</v>
      </c>
      <c r="F99" s="61">
        <v>68993</v>
      </c>
      <c r="G99" s="61">
        <v>71900</v>
      </c>
      <c r="H99" s="61">
        <v>83740</v>
      </c>
      <c r="I99" s="61">
        <f t="shared" ref="I99" si="27">83740+500+200+1200</f>
        <v>85640</v>
      </c>
      <c r="J99" s="61">
        <f>94000+5700</f>
        <v>99700</v>
      </c>
      <c r="K99" s="61">
        <f>93960+1100</f>
        <v>95060</v>
      </c>
      <c r="L99" s="61">
        <f>93920+1100</f>
        <v>95020</v>
      </c>
      <c r="M99" s="1"/>
    </row>
    <row r="100" spans="1:13" x14ac:dyDescent="0.25">
      <c r="A100" s="117" t="s">
        <v>79</v>
      </c>
      <c r="B100" s="118" t="s">
        <v>80</v>
      </c>
      <c r="C100" s="62">
        <v>1742</v>
      </c>
      <c r="D100" s="119">
        <v>3680</v>
      </c>
      <c r="E100" s="120">
        <v>4907</v>
      </c>
      <c r="F100" s="61">
        <v>538</v>
      </c>
      <c r="G100" s="61">
        <v>2440</v>
      </c>
      <c r="H100" s="61">
        <f t="shared" ref="H100" si="28">4000-1000</f>
        <v>3000</v>
      </c>
      <c r="I100" s="61">
        <f t="shared" ref="I100" si="29">4000-1000</f>
        <v>3000</v>
      </c>
      <c r="J100" s="61">
        <v>2500</v>
      </c>
      <c r="K100" s="61">
        <v>2500</v>
      </c>
      <c r="L100" s="61">
        <v>2500</v>
      </c>
      <c r="M100" s="1"/>
    </row>
    <row r="101" spans="1:13" x14ac:dyDescent="0.25">
      <c r="A101" s="121" t="s">
        <v>81</v>
      </c>
      <c r="B101" s="118" t="s">
        <v>82</v>
      </c>
      <c r="C101" s="59">
        <v>27812</v>
      </c>
      <c r="D101" s="122">
        <v>31492</v>
      </c>
      <c r="E101" s="120">
        <v>43664</v>
      </c>
      <c r="F101" s="61">
        <v>44203</v>
      </c>
      <c r="G101" s="61">
        <v>45036</v>
      </c>
      <c r="H101" s="61">
        <v>55920</v>
      </c>
      <c r="I101" s="61">
        <f t="shared" ref="I101" si="30">55920+2300</f>
        <v>58220</v>
      </c>
      <c r="J101" s="61">
        <v>53600</v>
      </c>
      <c r="K101" s="61">
        <v>53600</v>
      </c>
      <c r="L101" s="61">
        <v>53600</v>
      </c>
      <c r="M101" s="1"/>
    </row>
    <row r="102" spans="1:13" ht="15.75" thickBot="1" x14ac:dyDescent="0.3">
      <c r="A102" s="123" t="s">
        <v>83</v>
      </c>
      <c r="B102" s="124" t="s">
        <v>232</v>
      </c>
      <c r="C102" s="125">
        <v>2089</v>
      </c>
      <c r="D102" s="126">
        <v>2072</v>
      </c>
      <c r="E102" s="127">
        <v>6211</v>
      </c>
      <c r="F102" s="128">
        <v>8060</v>
      </c>
      <c r="G102" s="128">
        <v>5205</v>
      </c>
      <c r="H102" s="128">
        <v>4000</v>
      </c>
      <c r="I102" s="128">
        <f>4000+5400</f>
        <v>9400</v>
      </c>
      <c r="J102" s="128">
        <v>4030</v>
      </c>
      <c r="K102" s="128">
        <v>12000</v>
      </c>
      <c r="L102" s="128">
        <v>0</v>
      </c>
      <c r="M102" s="1"/>
    </row>
    <row r="103" spans="1:13" ht="15.75" thickBot="1" x14ac:dyDescent="0.3">
      <c r="A103" s="129" t="s">
        <v>84</v>
      </c>
      <c r="B103" s="130"/>
      <c r="C103" s="110">
        <f t="shared" ref="C103:L103" si="31">SUM(C104)</f>
        <v>1395</v>
      </c>
      <c r="D103" s="111">
        <f t="shared" si="31"/>
        <v>1431</v>
      </c>
      <c r="E103" s="110">
        <f t="shared" si="31"/>
        <v>1635</v>
      </c>
      <c r="F103" s="112">
        <f t="shared" ref="F103" si="32">SUM(F104)</f>
        <v>15024.4</v>
      </c>
      <c r="G103" s="112">
        <f t="shared" ref="G103" si="33">SUM(G104)</f>
        <v>19405</v>
      </c>
      <c r="H103" s="112">
        <f t="shared" ref="H103" si="34">SUM(H104)</f>
        <v>14610</v>
      </c>
      <c r="I103" s="112">
        <f t="shared" ref="I103" si="35">SUM(I104)</f>
        <v>10095</v>
      </c>
      <c r="J103" s="112">
        <f t="shared" si="31"/>
        <v>4900</v>
      </c>
      <c r="K103" s="112">
        <f t="shared" si="31"/>
        <v>4900</v>
      </c>
      <c r="L103" s="112">
        <f t="shared" si="31"/>
        <v>4900</v>
      </c>
      <c r="M103" s="1"/>
    </row>
    <row r="104" spans="1:13" ht="15.75" thickBot="1" x14ac:dyDescent="0.3">
      <c r="A104" s="131" t="s">
        <v>85</v>
      </c>
      <c r="B104" s="106" t="s">
        <v>269</v>
      </c>
      <c r="C104" s="132">
        <v>1395</v>
      </c>
      <c r="D104" s="133">
        <v>1431</v>
      </c>
      <c r="E104" s="132">
        <v>1635</v>
      </c>
      <c r="F104" s="134">
        <v>15024.4</v>
      </c>
      <c r="G104" s="134">
        <v>19405</v>
      </c>
      <c r="H104" s="134">
        <v>14610</v>
      </c>
      <c r="I104" s="134">
        <f t="shared" ref="I104" si="36">14610+5-2000-2520</f>
        <v>10095</v>
      </c>
      <c r="J104" s="134">
        <v>4900</v>
      </c>
      <c r="K104" s="134">
        <v>4900</v>
      </c>
      <c r="L104" s="134">
        <v>4900</v>
      </c>
      <c r="M104" s="1"/>
    </row>
    <row r="105" spans="1:13" ht="15.75" thickBot="1" x14ac:dyDescent="0.3">
      <c r="A105" s="129" t="s">
        <v>86</v>
      </c>
      <c r="B105" s="130"/>
      <c r="C105" s="110">
        <f t="shared" ref="C105:E105" si="37">SUM(C106:C107)</f>
        <v>9689</v>
      </c>
      <c r="D105" s="111">
        <f t="shared" si="37"/>
        <v>8988</v>
      </c>
      <c r="E105" s="110">
        <f t="shared" si="37"/>
        <v>11263</v>
      </c>
      <c r="F105" s="112">
        <f t="shared" ref="F105" si="38">SUM(F106:F107)</f>
        <v>11779</v>
      </c>
      <c r="G105" s="112">
        <f t="shared" ref="G105" si="39">SUM(G106:G107)</f>
        <v>12901</v>
      </c>
      <c r="H105" s="112">
        <f t="shared" ref="H105" si="40">SUM(H106:H107)</f>
        <v>16500</v>
      </c>
      <c r="I105" s="112">
        <f t="shared" ref="I105" si="41">SUM(I106:I107)</f>
        <v>17000</v>
      </c>
      <c r="J105" s="112">
        <f t="shared" ref="J105:L105" si="42">SUM(J106:J107)</f>
        <v>26400</v>
      </c>
      <c r="K105" s="112">
        <f t="shared" si="42"/>
        <v>26100</v>
      </c>
      <c r="L105" s="112">
        <f t="shared" si="42"/>
        <v>26100</v>
      </c>
      <c r="M105" s="1"/>
    </row>
    <row r="106" spans="1:13" x14ac:dyDescent="0.25">
      <c r="A106" s="135" t="s">
        <v>87</v>
      </c>
      <c r="B106" s="136" t="s">
        <v>88</v>
      </c>
      <c r="C106" s="137">
        <v>8907</v>
      </c>
      <c r="D106" s="138">
        <v>8297</v>
      </c>
      <c r="E106" s="137">
        <v>10063</v>
      </c>
      <c r="F106" s="139">
        <v>10579</v>
      </c>
      <c r="G106" s="139">
        <v>11158</v>
      </c>
      <c r="H106" s="139">
        <v>14900</v>
      </c>
      <c r="I106" s="139">
        <f t="shared" ref="I106" si="43">14900+500</f>
        <v>15400</v>
      </c>
      <c r="J106" s="139">
        <v>24600</v>
      </c>
      <c r="K106" s="139">
        <v>24300</v>
      </c>
      <c r="L106" s="139">
        <v>24300</v>
      </c>
      <c r="M106" s="1"/>
    </row>
    <row r="107" spans="1:13" ht="15.75" thickBot="1" x14ac:dyDescent="0.3">
      <c r="A107" s="140" t="s">
        <v>89</v>
      </c>
      <c r="B107" s="141" t="s">
        <v>90</v>
      </c>
      <c r="C107" s="142">
        <v>782</v>
      </c>
      <c r="D107" s="143">
        <v>691</v>
      </c>
      <c r="E107" s="142">
        <v>1200</v>
      </c>
      <c r="F107" s="128">
        <v>1200</v>
      </c>
      <c r="G107" s="128">
        <v>1743</v>
      </c>
      <c r="H107" s="128">
        <v>1600</v>
      </c>
      <c r="I107" s="128">
        <v>1600</v>
      </c>
      <c r="J107" s="128">
        <v>1800</v>
      </c>
      <c r="K107" s="128">
        <v>1800</v>
      </c>
      <c r="L107" s="128">
        <v>1800</v>
      </c>
      <c r="M107" s="1"/>
    </row>
    <row r="108" spans="1:13" ht="15.75" thickBot="1" x14ac:dyDescent="0.3">
      <c r="A108" s="108" t="s">
        <v>91</v>
      </c>
      <c r="B108" s="144"/>
      <c r="C108" s="110">
        <f t="shared" ref="C108:L108" si="44">SUM(C109:C111)</f>
        <v>56288</v>
      </c>
      <c r="D108" s="111">
        <f t="shared" si="44"/>
        <v>63855</v>
      </c>
      <c r="E108" s="110">
        <f t="shared" si="44"/>
        <v>56565</v>
      </c>
      <c r="F108" s="112">
        <f t="shared" ref="F108" si="45">SUM(F109:F111)</f>
        <v>56275</v>
      </c>
      <c r="G108" s="112">
        <f t="shared" ref="G108" si="46">SUM(G109:G111)</f>
        <v>123539</v>
      </c>
      <c r="H108" s="112">
        <f t="shared" ref="H108" si="47">SUM(H109:H111)</f>
        <v>71400</v>
      </c>
      <c r="I108" s="112">
        <f t="shared" ref="I108" si="48">SUM(I109:I111)</f>
        <v>74043</v>
      </c>
      <c r="J108" s="112">
        <f t="shared" si="44"/>
        <v>81600</v>
      </c>
      <c r="K108" s="112">
        <f t="shared" si="44"/>
        <v>80000</v>
      </c>
      <c r="L108" s="112">
        <f t="shared" si="44"/>
        <v>80000</v>
      </c>
      <c r="M108" s="1"/>
    </row>
    <row r="109" spans="1:13" x14ac:dyDescent="0.25">
      <c r="A109" s="145" t="s">
        <v>92</v>
      </c>
      <c r="B109" s="146" t="s">
        <v>93</v>
      </c>
      <c r="C109" s="54">
        <v>19779</v>
      </c>
      <c r="D109" s="147">
        <v>23803</v>
      </c>
      <c r="E109" s="148">
        <v>22533</v>
      </c>
      <c r="F109" s="55">
        <v>17512</v>
      </c>
      <c r="G109" s="55">
        <v>22224</v>
      </c>
      <c r="H109" s="55">
        <v>25300</v>
      </c>
      <c r="I109" s="55">
        <f t="shared" ref="I109" si="49">25300+243+300</f>
        <v>25843</v>
      </c>
      <c r="J109" s="55">
        <v>27600</v>
      </c>
      <c r="K109" s="55">
        <v>27600</v>
      </c>
      <c r="L109" s="55">
        <v>27600</v>
      </c>
      <c r="M109" s="1"/>
    </row>
    <row r="110" spans="1:13" x14ac:dyDescent="0.25">
      <c r="A110" s="121" t="s">
        <v>94</v>
      </c>
      <c r="B110" s="118" t="s">
        <v>95</v>
      </c>
      <c r="C110" s="62">
        <v>17838</v>
      </c>
      <c r="D110" s="149">
        <v>18459</v>
      </c>
      <c r="E110" s="150">
        <v>23593</v>
      </c>
      <c r="F110" s="60">
        <v>24873</v>
      </c>
      <c r="G110" s="60">
        <v>25498</v>
      </c>
      <c r="H110" s="60">
        <v>24300</v>
      </c>
      <c r="I110" s="60">
        <f>24300+4600</f>
        <v>28900</v>
      </c>
      <c r="J110" s="60">
        <v>33900</v>
      </c>
      <c r="K110" s="60">
        <v>32500</v>
      </c>
      <c r="L110" s="60">
        <v>32500</v>
      </c>
      <c r="M110" s="1"/>
    </row>
    <row r="111" spans="1:13" ht="15.75" thickBot="1" x14ac:dyDescent="0.3">
      <c r="A111" s="121" t="s">
        <v>96</v>
      </c>
      <c r="B111" s="118" t="s">
        <v>97</v>
      </c>
      <c r="C111" s="59">
        <v>18671</v>
      </c>
      <c r="D111" s="151">
        <v>21593</v>
      </c>
      <c r="E111" s="152">
        <v>10439</v>
      </c>
      <c r="F111" s="60">
        <v>13890</v>
      </c>
      <c r="G111" s="60">
        <v>75817</v>
      </c>
      <c r="H111" s="60">
        <v>21800</v>
      </c>
      <c r="I111" s="60">
        <f>21800-2500</f>
        <v>19300</v>
      </c>
      <c r="J111" s="60">
        <v>20100</v>
      </c>
      <c r="K111" s="60">
        <v>19900</v>
      </c>
      <c r="L111" s="60">
        <v>19900</v>
      </c>
      <c r="M111" s="1"/>
    </row>
    <row r="112" spans="1:13" ht="15.75" thickBot="1" x14ac:dyDescent="0.3">
      <c r="A112" s="889" t="s">
        <v>98</v>
      </c>
      <c r="B112" s="890"/>
      <c r="C112" s="110">
        <f t="shared" ref="C112:E112" si="50">SUM(C113:C116)</f>
        <v>78137</v>
      </c>
      <c r="D112" s="111">
        <f t="shared" si="50"/>
        <v>81463</v>
      </c>
      <c r="E112" s="110">
        <f t="shared" si="50"/>
        <v>90857</v>
      </c>
      <c r="F112" s="112">
        <f t="shared" ref="F112" si="51">SUM(F113:F116)</f>
        <v>85176</v>
      </c>
      <c r="G112" s="112">
        <f t="shared" ref="G112" si="52">SUM(G113:G116)</f>
        <v>98095</v>
      </c>
      <c r="H112" s="112">
        <f t="shared" ref="H112" si="53">SUM(H113:H116)</f>
        <v>124900</v>
      </c>
      <c r="I112" s="112">
        <f t="shared" ref="I112" si="54">SUM(I113:I116)</f>
        <v>125000</v>
      </c>
      <c r="J112" s="112">
        <f t="shared" ref="J112:L112" si="55">SUM(J113:J116)</f>
        <v>152200</v>
      </c>
      <c r="K112" s="112">
        <f t="shared" si="55"/>
        <v>150800</v>
      </c>
      <c r="L112" s="112">
        <f t="shared" si="55"/>
        <v>152200</v>
      </c>
      <c r="M112" s="1"/>
    </row>
    <row r="113" spans="1:13" x14ac:dyDescent="0.25">
      <c r="A113" s="153" t="s">
        <v>99</v>
      </c>
      <c r="B113" s="154" t="s">
        <v>100</v>
      </c>
      <c r="C113" s="155">
        <v>41225</v>
      </c>
      <c r="D113" s="156">
        <v>46871</v>
      </c>
      <c r="E113" s="157">
        <v>55351</v>
      </c>
      <c r="F113" s="139">
        <v>53221</v>
      </c>
      <c r="G113" s="139">
        <v>57519</v>
      </c>
      <c r="H113" s="139">
        <v>76800</v>
      </c>
      <c r="I113" s="139">
        <f t="shared" ref="I113" si="56">76800+200</f>
        <v>77000</v>
      </c>
      <c r="J113" s="139">
        <v>70400</v>
      </c>
      <c r="K113" s="139">
        <v>70400</v>
      </c>
      <c r="L113" s="139">
        <v>70400</v>
      </c>
      <c r="M113" s="1"/>
    </row>
    <row r="114" spans="1:13" x14ac:dyDescent="0.25">
      <c r="A114" s="121" t="s">
        <v>101</v>
      </c>
      <c r="B114" s="118" t="s">
        <v>102</v>
      </c>
      <c r="C114" s="158">
        <v>33622</v>
      </c>
      <c r="D114" s="149">
        <v>29509</v>
      </c>
      <c r="E114" s="150">
        <v>30304</v>
      </c>
      <c r="F114" s="152">
        <v>27431</v>
      </c>
      <c r="G114" s="152">
        <v>34393</v>
      </c>
      <c r="H114" s="152">
        <v>36500</v>
      </c>
      <c r="I114" s="152">
        <f t="shared" ref="I114" si="57">36500-1000+900</f>
        <v>36400</v>
      </c>
      <c r="J114" s="152">
        <v>70300</v>
      </c>
      <c r="K114" s="152">
        <v>68900</v>
      </c>
      <c r="L114" s="152">
        <v>70300</v>
      </c>
      <c r="M114" s="1"/>
    </row>
    <row r="115" spans="1:13" x14ac:dyDescent="0.25">
      <c r="A115" s="131" t="s">
        <v>103</v>
      </c>
      <c r="B115" s="159" t="s">
        <v>104</v>
      </c>
      <c r="C115" s="160">
        <v>746</v>
      </c>
      <c r="D115" s="161">
        <v>1245</v>
      </c>
      <c r="E115" s="162">
        <v>1073</v>
      </c>
      <c r="F115" s="163">
        <v>1299</v>
      </c>
      <c r="G115" s="163">
        <v>1269</v>
      </c>
      <c r="H115" s="163">
        <v>1500</v>
      </c>
      <c r="I115" s="163">
        <v>1500</v>
      </c>
      <c r="J115" s="163">
        <v>1700</v>
      </c>
      <c r="K115" s="163">
        <v>1700</v>
      </c>
      <c r="L115" s="163">
        <v>1700</v>
      </c>
      <c r="M115" s="1"/>
    </row>
    <row r="116" spans="1:13" ht="15.75" thickBot="1" x14ac:dyDescent="0.3">
      <c r="A116" s="164" t="s">
        <v>105</v>
      </c>
      <c r="B116" s="165" t="s">
        <v>106</v>
      </c>
      <c r="C116" s="166">
        <v>2544</v>
      </c>
      <c r="D116" s="167">
        <v>3838</v>
      </c>
      <c r="E116" s="168">
        <v>4129</v>
      </c>
      <c r="F116" s="168">
        <v>3225</v>
      </c>
      <c r="G116" s="174">
        <v>4914</v>
      </c>
      <c r="H116" s="168">
        <v>10100</v>
      </c>
      <c r="I116" s="174">
        <v>10100</v>
      </c>
      <c r="J116" s="168">
        <v>9800</v>
      </c>
      <c r="K116" s="168">
        <v>9800</v>
      </c>
      <c r="L116" s="168">
        <v>9800</v>
      </c>
      <c r="M116" s="1"/>
    </row>
    <row r="117" spans="1:13" ht="15.75" thickBot="1" x14ac:dyDescent="0.3">
      <c r="A117" s="108" t="s">
        <v>107</v>
      </c>
      <c r="B117" s="144"/>
      <c r="C117" s="110">
        <f t="shared" ref="C117:E117" si="58">SUM(C118:C120)</f>
        <v>107398</v>
      </c>
      <c r="D117" s="111">
        <f t="shared" si="58"/>
        <v>124762</v>
      </c>
      <c r="E117" s="110">
        <f t="shared" si="58"/>
        <v>130822</v>
      </c>
      <c r="F117" s="110">
        <f t="shared" ref="F117" si="59">SUM(F118:F120)</f>
        <v>125647</v>
      </c>
      <c r="G117" s="110">
        <f t="shared" ref="G117" si="60">SUM(G118:G120)</f>
        <v>124483</v>
      </c>
      <c r="H117" s="110">
        <f t="shared" ref="H117" si="61">SUM(H118:H120)</f>
        <v>204648</v>
      </c>
      <c r="I117" s="110">
        <f t="shared" ref="I117" si="62">SUM(I118:I120)</f>
        <v>192668</v>
      </c>
      <c r="J117" s="110">
        <f t="shared" ref="J117:L117" si="63">SUM(J118:J120)</f>
        <v>259100</v>
      </c>
      <c r="K117" s="110">
        <f t="shared" si="63"/>
        <v>251100</v>
      </c>
      <c r="L117" s="110">
        <f t="shared" si="63"/>
        <v>251100</v>
      </c>
      <c r="M117" s="1"/>
    </row>
    <row r="118" spans="1:13" x14ac:dyDescent="0.25">
      <c r="A118" s="145" t="s">
        <v>108</v>
      </c>
      <c r="B118" s="85" t="s">
        <v>109</v>
      </c>
      <c r="C118" s="114">
        <v>78470</v>
      </c>
      <c r="D118" s="115">
        <v>88196</v>
      </c>
      <c r="E118" s="169">
        <v>96103</v>
      </c>
      <c r="F118" s="116">
        <v>81828</v>
      </c>
      <c r="G118" s="116">
        <v>92771</v>
      </c>
      <c r="H118" s="116">
        <v>156748</v>
      </c>
      <c r="I118" s="116">
        <f>156748+5500-8000+1390-3870-7400</f>
        <v>144368</v>
      </c>
      <c r="J118" s="116">
        <v>181000</v>
      </c>
      <c r="K118" s="116">
        <v>173000</v>
      </c>
      <c r="L118" s="116">
        <v>173000</v>
      </c>
      <c r="M118" s="1"/>
    </row>
    <row r="119" spans="1:13" x14ac:dyDescent="0.25">
      <c r="A119" s="170" t="s">
        <v>110</v>
      </c>
      <c r="B119" s="118" t="s">
        <v>111</v>
      </c>
      <c r="C119" s="62">
        <v>18042</v>
      </c>
      <c r="D119" s="149">
        <v>16953</v>
      </c>
      <c r="E119" s="150">
        <v>17218</v>
      </c>
      <c r="F119" s="152">
        <v>27299</v>
      </c>
      <c r="G119" s="152">
        <v>18397</v>
      </c>
      <c r="H119" s="152">
        <v>29700</v>
      </c>
      <c r="I119" s="152">
        <f t="shared" ref="I119" si="64">29700-8000</f>
        <v>21700</v>
      </c>
      <c r="J119" s="152">
        <v>58200</v>
      </c>
      <c r="K119" s="152">
        <v>58200</v>
      </c>
      <c r="L119" s="152">
        <v>58200</v>
      </c>
      <c r="M119" s="1"/>
    </row>
    <row r="120" spans="1:13" ht="15.75" thickBot="1" x14ac:dyDescent="0.3">
      <c r="A120" s="171" t="s">
        <v>112</v>
      </c>
      <c r="B120" s="165" t="s">
        <v>113</v>
      </c>
      <c r="C120" s="172">
        <v>10886</v>
      </c>
      <c r="D120" s="173">
        <v>19613</v>
      </c>
      <c r="E120" s="174">
        <v>17501</v>
      </c>
      <c r="F120" s="174">
        <v>16520</v>
      </c>
      <c r="G120" s="174">
        <v>13315</v>
      </c>
      <c r="H120" s="174">
        <v>18200</v>
      </c>
      <c r="I120" s="174">
        <f>18200+1500-3000+600+4000+4500+800</f>
        <v>26600</v>
      </c>
      <c r="J120" s="174">
        <v>19900</v>
      </c>
      <c r="K120" s="174">
        <v>19900</v>
      </c>
      <c r="L120" s="174">
        <v>19900</v>
      </c>
      <c r="M120" s="1"/>
    </row>
    <row r="121" spans="1:13" ht="15.75" thickBot="1" x14ac:dyDescent="0.3">
      <c r="A121" s="175" t="s">
        <v>114</v>
      </c>
      <c r="B121" s="176"/>
      <c r="C121" s="177">
        <f t="shared" ref="C121:E121" si="65">SUM(C122:C125)</f>
        <v>462</v>
      </c>
      <c r="D121" s="178">
        <f t="shared" si="65"/>
        <v>115</v>
      </c>
      <c r="E121" s="177">
        <f t="shared" si="65"/>
        <v>855</v>
      </c>
      <c r="F121" s="177">
        <f t="shared" ref="F121" si="66">SUM(F122:F125)</f>
        <v>216</v>
      </c>
      <c r="G121" s="434">
        <f t="shared" ref="G121" si="67">SUM(G122:G125)</f>
        <v>57760</v>
      </c>
      <c r="H121" s="177">
        <f t="shared" ref="H121" si="68">SUM(H122:H125)</f>
        <v>4850</v>
      </c>
      <c r="I121" s="177">
        <f t="shared" ref="I121" si="69">SUM(I122:I125)</f>
        <v>3850</v>
      </c>
      <c r="J121" s="177">
        <f t="shared" ref="J121:L121" si="70">SUM(J122:J125)</f>
        <v>830</v>
      </c>
      <c r="K121" s="177">
        <f t="shared" si="70"/>
        <v>830</v>
      </c>
      <c r="L121" s="177">
        <f t="shared" si="70"/>
        <v>830</v>
      </c>
      <c r="M121" s="1"/>
    </row>
    <row r="122" spans="1:13" x14ac:dyDescent="0.25">
      <c r="A122" s="135" t="s">
        <v>115</v>
      </c>
      <c r="B122" s="154" t="s">
        <v>116</v>
      </c>
      <c r="C122" s="179">
        <v>50</v>
      </c>
      <c r="D122" s="180">
        <v>0</v>
      </c>
      <c r="E122" s="157">
        <v>40</v>
      </c>
      <c r="F122" s="181">
        <v>0</v>
      </c>
      <c r="G122" s="181">
        <v>0</v>
      </c>
      <c r="H122" s="181">
        <v>50</v>
      </c>
      <c r="I122" s="181">
        <v>50</v>
      </c>
      <c r="J122" s="181">
        <v>50</v>
      </c>
      <c r="K122" s="181">
        <v>50</v>
      </c>
      <c r="L122" s="181">
        <v>50</v>
      </c>
      <c r="M122" s="1"/>
    </row>
    <row r="123" spans="1:13" x14ac:dyDescent="0.25">
      <c r="A123" s="170" t="s">
        <v>117</v>
      </c>
      <c r="B123" s="118" t="s">
        <v>118</v>
      </c>
      <c r="C123" s="62">
        <v>84</v>
      </c>
      <c r="D123" s="182">
        <v>3</v>
      </c>
      <c r="E123" s="183">
        <v>28</v>
      </c>
      <c r="F123" s="184">
        <v>76</v>
      </c>
      <c r="G123" s="184">
        <v>8</v>
      </c>
      <c r="H123" s="184">
        <v>50</v>
      </c>
      <c r="I123" s="184">
        <v>50</v>
      </c>
      <c r="J123" s="184">
        <v>50</v>
      </c>
      <c r="K123" s="184">
        <v>50</v>
      </c>
      <c r="L123" s="184">
        <v>50</v>
      </c>
      <c r="M123" s="1"/>
    </row>
    <row r="124" spans="1:13" x14ac:dyDescent="0.25">
      <c r="A124" s="170" t="s">
        <v>119</v>
      </c>
      <c r="B124" s="118" t="s">
        <v>120</v>
      </c>
      <c r="C124" s="62">
        <v>328</v>
      </c>
      <c r="D124" s="182">
        <v>112</v>
      </c>
      <c r="E124" s="150">
        <v>487</v>
      </c>
      <c r="F124" s="60">
        <v>140</v>
      </c>
      <c r="G124" s="60">
        <v>235</v>
      </c>
      <c r="H124" s="60">
        <v>750</v>
      </c>
      <c r="I124" s="60">
        <v>750</v>
      </c>
      <c r="J124" s="60">
        <v>730</v>
      </c>
      <c r="K124" s="60">
        <v>730</v>
      </c>
      <c r="L124" s="60">
        <v>730</v>
      </c>
      <c r="M124" s="1"/>
    </row>
    <row r="125" spans="1:13" ht="15.75" thickBot="1" x14ac:dyDescent="0.3">
      <c r="A125" s="187" t="s">
        <v>121</v>
      </c>
      <c r="B125" s="188" t="s">
        <v>252</v>
      </c>
      <c r="C125" s="189">
        <v>0</v>
      </c>
      <c r="D125" s="190">
        <v>0</v>
      </c>
      <c r="E125" s="127">
        <v>300</v>
      </c>
      <c r="F125" s="191">
        <v>0</v>
      </c>
      <c r="G125" s="424">
        <v>57517</v>
      </c>
      <c r="H125" s="191">
        <v>4000</v>
      </c>
      <c r="I125" s="128">
        <f t="shared" ref="I125" si="71">4000-1000</f>
        <v>3000</v>
      </c>
      <c r="J125" s="191">
        <v>0</v>
      </c>
      <c r="K125" s="191">
        <v>0</v>
      </c>
      <c r="L125" s="191">
        <v>0</v>
      </c>
      <c r="M125" s="1"/>
    </row>
    <row r="126" spans="1:13" ht="15.75" thickBot="1" x14ac:dyDescent="0.3">
      <c r="A126" s="192" t="s">
        <v>122</v>
      </c>
      <c r="B126" s="193"/>
      <c r="C126" s="194">
        <f t="shared" ref="C126:G126" si="72">SUM(C127:C131)</f>
        <v>113224</v>
      </c>
      <c r="D126" s="195">
        <f t="shared" si="72"/>
        <v>129064</v>
      </c>
      <c r="E126" s="194">
        <f t="shared" si="72"/>
        <v>134379</v>
      </c>
      <c r="F126" s="194">
        <f t="shared" ref="F126" si="73">SUM(F127:F131)</f>
        <v>84983</v>
      </c>
      <c r="G126" s="194">
        <f t="shared" si="72"/>
        <v>60618</v>
      </c>
      <c r="H126" s="194">
        <f t="shared" ref="H126" si="74">SUM(H127:H131)</f>
        <v>109550</v>
      </c>
      <c r="I126" s="194">
        <f t="shared" ref="I126" si="75">SUM(I127:I131)</f>
        <v>126707</v>
      </c>
      <c r="J126" s="194">
        <f t="shared" ref="J126:L126" si="76">SUM(J127:J131)</f>
        <v>123600</v>
      </c>
      <c r="K126" s="194">
        <f t="shared" si="76"/>
        <v>120700</v>
      </c>
      <c r="L126" s="194">
        <f t="shared" si="76"/>
        <v>120700</v>
      </c>
      <c r="M126" s="1"/>
    </row>
    <row r="127" spans="1:13" x14ac:dyDescent="0.25">
      <c r="A127" s="153" t="s">
        <v>123</v>
      </c>
      <c r="B127" s="154" t="s">
        <v>124</v>
      </c>
      <c r="C127" s="179">
        <v>14818</v>
      </c>
      <c r="D127" s="156">
        <v>21592</v>
      </c>
      <c r="E127" s="137">
        <v>16936</v>
      </c>
      <c r="F127" s="139">
        <v>11627</v>
      </c>
      <c r="G127" s="139">
        <v>13339</v>
      </c>
      <c r="H127" s="139">
        <v>24000</v>
      </c>
      <c r="I127" s="139">
        <f t="shared" ref="I127" si="77">24000+1500</f>
        <v>25500</v>
      </c>
      <c r="J127" s="139">
        <f>48000-3000</f>
        <v>45000</v>
      </c>
      <c r="K127" s="139">
        <v>48000</v>
      </c>
      <c r="L127" s="139">
        <v>48000</v>
      </c>
      <c r="M127" s="1"/>
    </row>
    <row r="128" spans="1:13" x14ac:dyDescent="0.25">
      <c r="A128" s="196" t="s">
        <v>125</v>
      </c>
      <c r="B128" s="197" t="s">
        <v>126</v>
      </c>
      <c r="C128" s="54">
        <v>77935</v>
      </c>
      <c r="D128" s="198">
        <v>86797</v>
      </c>
      <c r="E128" s="148">
        <v>80713</v>
      </c>
      <c r="F128" s="55">
        <v>14925</v>
      </c>
      <c r="G128" s="55">
        <v>23993</v>
      </c>
      <c r="H128" s="55">
        <v>53650</v>
      </c>
      <c r="I128" s="55">
        <f>53650+2000+5000+2000-2000+100+3200+5000+3000+8000+1200+300-13943-500+500-1000+600</f>
        <v>67107</v>
      </c>
      <c r="J128" s="55">
        <v>47700</v>
      </c>
      <c r="K128" s="55">
        <v>47700</v>
      </c>
      <c r="L128" s="55">
        <v>47700</v>
      </c>
      <c r="M128" s="1"/>
    </row>
    <row r="129" spans="1:18" x14ac:dyDescent="0.25">
      <c r="A129" s="196" t="s">
        <v>127</v>
      </c>
      <c r="B129" s="85" t="s">
        <v>128</v>
      </c>
      <c r="C129" s="114">
        <v>3135</v>
      </c>
      <c r="D129" s="199">
        <v>2921</v>
      </c>
      <c r="E129" s="148">
        <v>3189</v>
      </c>
      <c r="F129" s="55">
        <v>8792</v>
      </c>
      <c r="G129" s="55">
        <v>4003</v>
      </c>
      <c r="H129" s="55">
        <v>5100</v>
      </c>
      <c r="I129" s="55">
        <f t="shared" ref="I129" si="78">5100+600</f>
        <v>5700</v>
      </c>
      <c r="J129" s="55">
        <v>5900</v>
      </c>
      <c r="K129" s="55">
        <v>5000</v>
      </c>
      <c r="L129" s="55">
        <v>5000</v>
      </c>
      <c r="M129" s="1"/>
    </row>
    <row r="130" spans="1:18" x14ac:dyDescent="0.25">
      <c r="A130" s="196" t="s">
        <v>129</v>
      </c>
      <c r="B130" s="85" t="s">
        <v>130</v>
      </c>
      <c r="C130" s="114">
        <v>8294</v>
      </c>
      <c r="D130" s="199">
        <v>9794</v>
      </c>
      <c r="E130" s="148">
        <v>11638</v>
      </c>
      <c r="F130" s="55">
        <v>44656</v>
      </c>
      <c r="G130" s="55">
        <v>15204</v>
      </c>
      <c r="H130" s="55">
        <v>15600</v>
      </c>
      <c r="I130" s="55">
        <f>15600+1100+400</f>
        <v>17100</v>
      </c>
      <c r="J130" s="55">
        <v>20000</v>
      </c>
      <c r="K130" s="55">
        <v>20000</v>
      </c>
      <c r="L130" s="55">
        <v>20000</v>
      </c>
      <c r="M130" s="1"/>
    </row>
    <row r="131" spans="1:18" ht="15.75" thickBot="1" x14ac:dyDescent="0.3">
      <c r="A131" s="164" t="s">
        <v>131</v>
      </c>
      <c r="B131" s="165" t="s">
        <v>132</v>
      </c>
      <c r="C131" s="185">
        <v>9042</v>
      </c>
      <c r="D131" s="167">
        <v>7960</v>
      </c>
      <c r="E131" s="174">
        <v>21903</v>
      </c>
      <c r="F131" s="186">
        <v>4983</v>
      </c>
      <c r="G131" s="186">
        <v>4079</v>
      </c>
      <c r="H131" s="186">
        <v>11200</v>
      </c>
      <c r="I131" s="186">
        <f t="shared" ref="I131" si="79">11200+100</f>
        <v>11300</v>
      </c>
      <c r="J131" s="186">
        <v>5000</v>
      </c>
      <c r="K131" s="186">
        <v>0</v>
      </c>
      <c r="L131" s="186">
        <v>0</v>
      </c>
      <c r="M131" s="1"/>
    </row>
    <row r="132" spans="1:18" ht="15.75" thickBot="1" x14ac:dyDescent="0.3">
      <c r="A132" s="129" t="s">
        <v>133</v>
      </c>
      <c r="B132" s="130"/>
      <c r="C132" s="110">
        <f t="shared" ref="C132:L132" si="80">SUM(C133:C141)</f>
        <v>308051</v>
      </c>
      <c r="D132" s="435">
        <f t="shared" si="80"/>
        <v>238428</v>
      </c>
      <c r="E132" s="110">
        <f t="shared" si="80"/>
        <v>295704</v>
      </c>
      <c r="F132" s="111">
        <f t="shared" si="80"/>
        <v>290046</v>
      </c>
      <c r="G132" s="111">
        <f t="shared" si="80"/>
        <v>299921</v>
      </c>
      <c r="H132" s="110">
        <f>SUM(H133:H141)</f>
        <v>380850</v>
      </c>
      <c r="I132" s="110">
        <f>SUM(I133:I141)</f>
        <v>395003</v>
      </c>
      <c r="J132" s="110">
        <f t="shared" si="80"/>
        <v>421600</v>
      </c>
      <c r="K132" s="110">
        <f t="shared" si="80"/>
        <v>413900</v>
      </c>
      <c r="L132" s="110">
        <f t="shared" si="80"/>
        <v>413900</v>
      </c>
      <c r="M132" s="1"/>
    </row>
    <row r="133" spans="1:18" x14ac:dyDescent="0.25">
      <c r="A133" s="200" t="s">
        <v>134</v>
      </c>
      <c r="B133" s="201" t="s">
        <v>135</v>
      </c>
      <c r="C133" s="202">
        <v>104500</v>
      </c>
      <c r="D133" s="203">
        <v>108303</v>
      </c>
      <c r="E133" s="204">
        <v>140876</v>
      </c>
      <c r="F133" s="205">
        <v>135336</v>
      </c>
      <c r="G133" s="205">
        <v>141906</v>
      </c>
      <c r="H133" s="205">
        <f>163900</f>
        <v>163900</v>
      </c>
      <c r="I133" s="205">
        <f>163900+2406+1802+3500+100</f>
        <v>171708</v>
      </c>
      <c r="J133" s="205">
        <v>188100</v>
      </c>
      <c r="K133" s="205">
        <v>186300</v>
      </c>
      <c r="L133" s="205">
        <v>186300</v>
      </c>
      <c r="M133" s="1"/>
    </row>
    <row r="134" spans="1:18" x14ac:dyDescent="0.25">
      <c r="A134" s="206" t="s">
        <v>136</v>
      </c>
      <c r="B134" s="146" t="s">
        <v>137</v>
      </c>
      <c r="C134" s="207">
        <v>0</v>
      </c>
      <c r="D134" s="208">
        <v>0</v>
      </c>
      <c r="E134" s="116">
        <v>885</v>
      </c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1"/>
    </row>
    <row r="135" spans="1:18" x14ac:dyDescent="0.25">
      <c r="A135" s="206" t="s">
        <v>138</v>
      </c>
      <c r="B135" s="146" t="s">
        <v>139</v>
      </c>
      <c r="C135" s="207">
        <v>0</v>
      </c>
      <c r="D135" s="208">
        <v>0</v>
      </c>
      <c r="E135" s="116">
        <v>885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0</v>
      </c>
      <c r="M135" s="1"/>
    </row>
    <row r="136" spans="1:18" x14ac:dyDescent="0.25">
      <c r="A136" s="209" t="s">
        <v>140</v>
      </c>
      <c r="B136" s="210" t="s">
        <v>141</v>
      </c>
      <c r="C136" s="59">
        <v>119829</v>
      </c>
      <c r="D136" s="151">
        <v>1639</v>
      </c>
      <c r="E136" s="120">
        <v>2223</v>
      </c>
      <c r="F136" s="61">
        <v>583</v>
      </c>
      <c r="G136" s="61">
        <v>1634</v>
      </c>
      <c r="H136" s="61">
        <v>3600</v>
      </c>
      <c r="I136" s="61">
        <f t="shared" ref="I136" si="81">3600+1000</f>
        <v>4600</v>
      </c>
      <c r="J136" s="61">
        <v>3600</v>
      </c>
      <c r="K136" s="61">
        <v>3600</v>
      </c>
      <c r="L136" s="61">
        <v>3600</v>
      </c>
      <c r="M136" s="1"/>
    </row>
    <row r="137" spans="1:18" x14ac:dyDescent="0.25">
      <c r="A137" s="209" t="s">
        <v>142</v>
      </c>
      <c r="B137" s="210" t="s">
        <v>143</v>
      </c>
      <c r="C137" s="59">
        <v>10957</v>
      </c>
      <c r="D137" s="151">
        <v>20690</v>
      </c>
      <c r="E137" s="120">
        <v>26156</v>
      </c>
      <c r="F137" s="61">
        <v>21780</v>
      </c>
      <c r="G137" s="61">
        <v>17924</v>
      </c>
      <c r="H137" s="61">
        <v>32330</v>
      </c>
      <c r="I137" s="61">
        <v>32330</v>
      </c>
      <c r="J137" s="61">
        <v>29400</v>
      </c>
      <c r="K137" s="61">
        <v>29400</v>
      </c>
      <c r="L137" s="61">
        <v>29400</v>
      </c>
      <c r="M137" s="1"/>
    </row>
    <row r="138" spans="1:18" x14ac:dyDescent="0.25">
      <c r="A138" s="209" t="s">
        <v>144</v>
      </c>
      <c r="B138" s="210" t="s">
        <v>145</v>
      </c>
      <c r="C138" s="59">
        <v>16441</v>
      </c>
      <c r="D138" s="151">
        <v>31538</v>
      </c>
      <c r="E138" s="152">
        <v>34790</v>
      </c>
      <c r="F138" s="60">
        <v>22889</v>
      </c>
      <c r="G138" s="60">
        <v>24312</v>
      </c>
      <c r="H138" s="60">
        <v>31830</v>
      </c>
      <c r="I138" s="60">
        <v>31830</v>
      </c>
      <c r="J138" s="60">
        <v>32800</v>
      </c>
      <c r="K138" s="60">
        <v>32800</v>
      </c>
      <c r="L138" s="60">
        <v>32800</v>
      </c>
      <c r="M138" s="1"/>
    </row>
    <row r="139" spans="1:18" x14ac:dyDescent="0.25">
      <c r="A139" s="209" t="s">
        <v>146</v>
      </c>
      <c r="B139" s="210" t="s">
        <v>230</v>
      </c>
      <c r="C139" s="59">
        <v>16441</v>
      </c>
      <c r="D139" s="151">
        <v>31538</v>
      </c>
      <c r="E139" s="152">
        <v>41280</v>
      </c>
      <c r="F139" s="60">
        <v>95466</v>
      </c>
      <c r="G139" s="60">
        <v>99502</v>
      </c>
      <c r="H139" s="60">
        <v>131840</v>
      </c>
      <c r="I139" s="60">
        <f t="shared" ref="I139" si="82">131840+2735+2500</f>
        <v>137075</v>
      </c>
      <c r="J139" s="60">
        <f>147700</f>
        <v>147700</v>
      </c>
      <c r="K139" s="60">
        <v>141800</v>
      </c>
      <c r="L139" s="60">
        <v>141800</v>
      </c>
      <c r="M139" s="27">
        <f>SUM(J137:J139)</f>
        <v>209900</v>
      </c>
      <c r="N139" s="27"/>
      <c r="O139" s="27"/>
    </row>
    <row r="140" spans="1:18" x14ac:dyDescent="0.25">
      <c r="A140" s="211" t="s">
        <v>147</v>
      </c>
      <c r="B140" s="210" t="s">
        <v>231</v>
      </c>
      <c r="C140" s="212">
        <v>37289</v>
      </c>
      <c r="D140" s="213">
        <v>42027</v>
      </c>
      <c r="E140" s="214">
        <v>45408</v>
      </c>
      <c r="F140" s="215">
        <v>10455</v>
      </c>
      <c r="G140" s="215">
        <v>10450</v>
      </c>
      <c r="H140" s="215">
        <v>11300</v>
      </c>
      <c r="I140" s="215">
        <f t="shared" ref="I140" si="83">11300+110</f>
        <v>11410</v>
      </c>
      <c r="J140" s="215">
        <v>13000</v>
      </c>
      <c r="K140" s="215">
        <v>13000</v>
      </c>
      <c r="L140" s="215">
        <v>13000</v>
      </c>
      <c r="M140" s="1"/>
    </row>
    <row r="141" spans="1:18" ht="15.75" thickBot="1" x14ac:dyDescent="0.3">
      <c r="A141" s="209" t="s">
        <v>148</v>
      </c>
      <c r="B141" s="210" t="s">
        <v>253</v>
      </c>
      <c r="C141" s="212">
        <v>2594</v>
      </c>
      <c r="D141" s="213">
        <v>2693</v>
      </c>
      <c r="E141" s="214">
        <v>3201</v>
      </c>
      <c r="F141" s="215">
        <v>3537</v>
      </c>
      <c r="G141" s="215">
        <v>4193</v>
      </c>
      <c r="H141" s="215">
        <v>6050</v>
      </c>
      <c r="I141" s="215">
        <v>6050</v>
      </c>
      <c r="J141" s="215">
        <v>7000</v>
      </c>
      <c r="K141" s="215">
        <v>7000</v>
      </c>
      <c r="L141" s="215">
        <v>7000</v>
      </c>
      <c r="M141" s="1"/>
    </row>
    <row r="142" spans="1:18" ht="15.75" thickBot="1" x14ac:dyDescent="0.3">
      <c r="A142" s="108" t="s">
        <v>149</v>
      </c>
      <c r="B142" s="109"/>
      <c r="C142" s="110">
        <f t="shared" ref="C142:G142" si="84">SUM(C143:C147)</f>
        <v>144398</v>
      </c>
      <c r="D142" s="111">
        <f t="shared" si="84"/>
        <v>164319</v>
      </c>
      <c r="E142" s="110">
        <f t="shared" si="84"/>
        <v>208490</v>
      </c>
      <c r="F142" s="112">
        <f t="shared" ref="F142" si="85">SUM(F143:F147)</f>
        <v>225543</v>
      </c>
      <c r="G142" s="112">
        <f t="shared" si="84"/>
        <v>226265</v>
      </c>
      <c r="H142" s="112">
        <f t="shared" ref="H142" si="86">SUM(H143:H147)</f>
        <v>286950</v>
      </c>
      <c r="I142" s="112">
        <f t="shared" ref="I142" si="87">SUM(I143:I147)</f>
        <v>329960</v>
      </c>
      <c r="J142" s="112">
        <f t="shared" ref="J142:L142" si="88">SUM(J143:J147)</f>
        <v>380400</v>
      </c>
      <c r="K142" s="112">
        <f t="shared" si="88"/>
        <v>339100</v>
      </c>
      <c r="L142" s="112">
        <f t="shared" si="88"/>
        <v>339100</v>
      </c>
      <c r="M142" s="1"/>
    </row>
    <row r="143" spans="1:18" ht="15.75" thickBot="1" x14ac:dyDescent="0.3">
      <c r="A143" s="196" t="s">
        <v>150</v>
      </c>
      <c r="B143" s="85" t="s">
        <v>270</v>
      </c>
      <c r="C143" s="114">
        <v>110782</v>
      </c>
      <c r="D143" s="199">
        <v>133003</v>
      </c>
      <c r="E143" s="148">
        <v>192284</v>
      </c>
      <c r="F143" s="55">
        <v>211686</v>
      </c>
      <c r="G143" s="55">
        <v>216037</v>
      </c>
      <c r="H143" s="55">
        <f>268900</f>
        <v>268900</v>
      </c>
      <c r="I143" s="55">
        <f t="shared" ref="I143" si="89">268900+800+1000+100+3000+500+700+2000+300+11800+13510</f>
        <v>302610</v>
      </c>
      <c r="J143" s="55">
        <v>322000</v>
      </c>
      <c r="K143" s="55">
        <v>321200</v>
      </c>
      <c r="L143" s="55">
        <v>321200</v>
      </c>
      <c r="M143" s="1"/>
      <c r="N143" s="404"/>
      <c r="O143" s="404"/>
      <c r="R143" s="459"/>
    </row>
    <row r="144" spans="1:18" x14ac:dyDescent="0.25">
      <c r="A144" s="196" t="s">
        <v>151</v>
      </c>
      <c r="B144" s="85" t="s">
        <v>152</v>
      </c>
      <c r="C144" s="114">
        <v>6436</v>
      </c>
      <c r="D144" s="199">
        <v>3638</v>
      </c>
      <c r="E144" s="148">
        <v>3241</v>
      </c>
      <c r="F144" s="55">
        <v>490</v>
      </c>
      <c r="G144" s="55">
        <v>174</v>
      </c>
      <c r="H144" s="55">
        <v>450</v>
      </c>
      <c r="I144" s="55">
        <f>450+100</f>
        <v>550</v>
      </c>
      <c r="J144" s="55">
        <v>500</v>
      </c>
      <c r="K144" s="55">
        <v>500</v>
      </c>
      <c r="L144" s="55">
        <v>500</v>
      </c>
      <c r="M144" s="1"/>
      <c r="N144" s="404"/>
      <c r="O144" s="404"/>
    </row>
    <row r="145" spans="1:15" x14ac:dyDescent="0.25">
      <c r="A145" s="121" t="s">
        <v>153</v>
      </c>
      <c r="B145" s="118" t="s">
        <v>154</v>
      </c>
      <c r="C145" s="62">
        <v>27180</v>
      </c>
      <c r="D145" s="149">
        <v>27678</v>
      </c>
      <c r="E145" s="150">
        <v>12665</v>
      </c>
      <c r="F145" s="60">
        <v>13300</v>
      </c>
      <c r="G145" s="60">
        <v>10054</v>
      </c>
      <c r="H145" s="60">
        <v>16600</v>
      </c>
      <c r="I145" s="60">
        <f t="shared" ref="I145" si="90">16600+200</f>
        <v>16800</v>
      </c>
      <c r="J145" s="60">
        <v>56900</v>
      </c>
      <c r="K145" s="60">
        <v>16400</v>
      </c>
      <c r="L145" s="60">
        <v>16400</v>
      </c>
      <c r="M145" s="1"/>
    </row>
    <row r="146" spans="1:15" x14ac:dyDescent="0.25">
      <c r="A146" s="121" t="s">
        <v>155</v>
      </c>
      <c r="B146" s="118" t="s">
        <v>156</v>
      </c>
      <c r="C146" s="62">
        <v>0</v>
      </c>
      <c r="D146" s="149">
        <v>0</v>
      </c>
      <c r="E146" s="150">
        <v>0</v>
      </c>
      <c r="F146" s="60">
        <v>67</v>
      </c>
      <c r="G146" s="60">
        <v>0</v>
      </c>
      <c r="H146" s="60">
        <v>500</v>
      </c>
      <c r="I146" s="60">
        <f t="shared" ref="I146" si="91">500+9000</f>
        <v>9500</v>
      </c>
      <c r="J146" s="60">
        <v>500</v>
      </c>
      <c r="K146" s="60">
        <v>500</v>
      </c>
      <c r="L146" s="60">
        <v>500</v>
      </c>
      <c r="M146" s="1"/>
    </row>
    <row r="147" spans="1:15" ht="15.75" thickBot="1" x14ac:dyDescent="0.3">
      <c r="A147" s="164" t="s">
        <v>157</v>
      </c>
      <c r="B147" s="165" t="s">
        <v>158</v>
      </c>
      <c r="C147" s="185">
        <v>0</v>
      </c>
      <c r="D147" s="167">
        <v>0</v>
      </c>
      <c r="E147" s="168">
        <v>300</v>
      </c>
      <c r="F147" s="186">
        <v>0</v>
      </c>
      <c r="G147" s="186">
        <v>0</v>
      </c>
      <c r="H147" s="186">
        <v>500</v>
      </c>
      <c r="I147" s="186">
        <v>500</v>
      </c>
      <c r="J147" s="186">
        <v>500</v>
      </c>
      <c r="K147" s="186">
        <v>500</v>
      </c>
      <c r="L147" s="186">
        <v>500</v>
      </c>
      <c r="M147" s="1"/>
    </row>
    <row r="148" spans="1:15" ht="16.5" thickBot="1" x14ac:dyDescent="0.3">
      <c r="A148" s="216" t="s">
        <v>159</v>
      </c>
      <c r="B148" s="176"/>
      <c r="C148" s="217">
        <f t="shared" ref="C148:L148" si="92">SUM(C97+C103+C105+C108+C112+C117+C121+C126+C132+C142)</f>
        <v>975419</v>
      </c>
      <c r="D148" s="218">
        <f t="shared" si="92"/>
        <v>987361</v>
      </c>
      <c r="E148" s="217">
        <f t="shared" si="92"/>
        <v>1162210</v>
      </c>
      <c r="F148" s="217">
        <f t="shared" si="92"/>
        <v>1125738.3999999999</v>
      </c>
      <c r="G148" s="219">
        <f t="shared" si="92"/>
        <v>1255455</v>
      </c>
      <c r="H148" s="219">
        <f>SUM(H97+H103+H105+H108+H112+H117+H121+H126+H132+H142)</f>
        <v>1504568</v>
      </c>
      <c r="I148" s="219">
        <f>SUM(I97+I103+I105+I108+I112+I117+I121+I126+I132+I142)</f>
        <v>1577536</v>
      </c>
      <c r="J148" s="219">
        <f t="shared" si="92"/>
        <v>1766360</v>
      </c>
      <c r="K148" s="219">
        <f t="shared" si="92"/>
        <v>1704490</v>
      </c>
      <c r="L148" s="219">
        <f t="shared" si="92"/>
        <v>1693850</v>
      </c>
      <c r="M148" s="1"/>
    </row>
    <row r="149" spans="1:15" x14ac:dyDescent="0.25">
      <c r="A149" s="220" t="s">
        <v>160</v>
      </c>
      <c r="B149" s="221" t="s">
        <v>161</v>
      </c>
      <c r="C149" s="222">
        <f t="shared" ref="C149:L149" si="93">C82</f>
        <v>438144</v>
      </c>
      <c r="D149" s="223">
        <f t="shared" si="93"/>
        <v>446556</v>
      </c>
      <c r="E149" s="395">
        <f t="shared" si="93"/>
        <v>486612</v>
      </c>
      <c r="F149" s="395">
        <f t="shared" si="93"/>
        <v>549196</v>
      </c>
      <c r="G149" s="224">
        <f t="shared" si="93"/>
        <v>565776</v>
      </c>
      <c r="H149" s="224">
        <f>H82</f>
        <v>534950</v>
      </c>
      <c r="I149" s="224">
        <f t="shared" ref="I149" si="94">I82</f>
        <v>594559</v>
      </c>
      <c r="J149" s="224">
        <f t="shared" si="93"/>
        <v>571450</v>
      </c>
      <c r="K149" s="224">
        <f t="shared" si="93"/>
        <v>571450</v>
      </c>
      <c r="L149" s="224">
        <f t="shared" si="93"/>
        <v>571450</v>
      </c>
      <c r="M149" s="1"/>
    </row>
    <row r="150" spans="1:15" x14ac:dyDescent="0.25">
      <c r="A150" s="225" t="s">
        <v>160</v>
      </c>
      <c r="B150" s="226" t="s">
        <v>162</v>
      </c>
      <c r="C150" s="227">
        <f>C84</f>
        <v>5446</v>
      </c>
      <c r="D150" s="228">
        <f>D84+100</f>
        <v>7693</v>
      </c>
      <c r="E150" s="396">
        <f t="shared" ref="E150:J150" si="95">E84</f>
        <v>7551</v>
      </c>
      <c r="F150" s="396">
        <f t="shared" si="95"/>
        <v>355</v>
      </c>
      <c r="G150" s="229">
        <f t="shared" si="95"/>
        <v>1801</v>
      </c>
      <c r="H150" s="229">
        <f>H84</f>
        <v>2450</v>
      </c>
      <c r="I150" s="229">
        <f t="shared" ref="I150" si="96">I84</f>
        <v>4534</v>
      </c>
      <c r="J150" s="229">
        <f t="shared" si="95"/>
        <v>2450</v>
      </c>
      <c r="K150" s="229">
        <f t="shared" ref="K150:L150" si="97">K84</f>
        <v>2450</v>
      </c>
      <c r="L150" s="229">
        <f t="shared" si="97"/>
        <v>2450</v>
      </c>
      <c r="M150" s="1"/>
    </row>
    <row r="151" spans="1:15" x14ac:dyDescent="0.25">
      <c r="A151" s="225" t="s">
        <v>160</v>
      </c>
      <c r="B151" s="226" t="s">
        <v>163</v>
      </c>
      <c r="C151" s="227">
        <v>0</v>
      </c>
      <c r="D151" s="228">
        <v>0</v>
      </c>
      <c r="E151" s="396">
        <v>50402</v>
      </c>
      <c r="F151" s="396">
        <v>28608</v>
      </c>
      <c r="G151" s="229">
        <v>8097</v>
      </c>
      <c r="H151" s="229">
        <f>H86</f>
        <v>0</v>
      </c>
      <c r="I151" s="229">
        <f>I86</f>
        <v>0</v>
      </c>
      <c r="J151" s="229">
        <f>J86</f>
        <v>0</v>
      </c>
      <c r="K151" s="229">
        <f t="shared" ref="K151:L151" si="98">K86</f>
        <v>0</v>
      </c>
      <c r="L151" s="229">
        <f t="shared" si="98"/>
        <v>0</v>
      </c>
      <c r="M151" s="1"/>
    </row>
    <row r="152" spans="1:15" ht="15.75" thickBot="1" x14ac:dyDescent="0.3">
      <c r="A152" s="230" t="s">
        <v>160</v>
      </c>
      <c r="B152" s="231" t="s">
        <v>164</v>
      </c>
      <c r="C152" s="232">
        <v>0</v>
      </c>
      <c r="D152" s="233">
        <v>0</v>
      </c>
      <c r="E152" s="397">
        <v>2702</v>
      </c>
      <c r="F152" s="397">
        <v>1605</v>
      </c>
      <c r="G152" s="234">
        <v>765</v>
      </c>
      <c r="H152" s="234">
        <v>0</v>
      </c>
      <c r="I152" s="234">
        <v>0</v>
      </c>
      <c r="J152" s="234">
        <v>0</v>
      </c>
      <c r="K152" s="234">
        <v>0</v>
      </c>
      <c r="L152" s="234">
        <v>0</v>
      </c>
      <c r="M152" s="27"/>
      <c r="N152" s="27"/>
      <c r="O152" s="27"/>
    </row>
    <row r="153" spans="1:15" x14ac:dyDescent="0.25">
      <c r="A153" s="235" t="s">
        <v>140</v>
      </c>
      <c r="B153" s="236" t="s">
        <v>165</v>
      </c>
      <c r="C153" s="237">
        <v>19000</v>
      </c>
      <c r="D153" s="238">
        <f>22500-2500</f>
        <v>20000</v>
      </c>
      <c r="E153" s="398">
        <v>22500</v>
      </c>
      <c r="F153" s="398">
        <v>32600</v>
      </c>
      <c r="G153" s="239">
        <v>32600</v>
      </c>
      <c r="H153" s="239">
        <v>32600</v>
      </c>
      <c r="I153" s="239">
        <v>33600</v>
      </c>
      <c r="J153" s="239">
        <v>35400</v>
      </c>
      <c r="K153" s="239">
        <v>35400</v>
      </c>
      <c r="L153" s="239">
        <v>35400</v>
      </c>
      <c r="M153" s="27"/>
      <c r="N153" s="27"/>
      <c r="O153" s="27"/>
    </row>
    <row r="154" spans="1:15" ht="15.75" thickBot="1" x14ac:dyDescent="0.3">
      <c r="A154" s="225" t="s">
        <v>140</v>
      </c>
      <c r="B154" s="226" t="s">
        <v>166</v>
      </c>
      <c r="C154" s="227">
        <f t="shared" ref="C154:J154" si="99">C85</f>
        <v>1300</v>
      </c>
      <c r="D154" s="228">
        <f t="shared" si="99"/>
        <v>1300</v>
      </c>
      <c r="E154" s="396">
        <f t="shared" si="99"/>
        <v>1308</v>
      </c>
      <c r="F154" s="396">
        <f t="shared" si="99"/>
        <v>1250</v>
      </c>
      <c r="G154" s="229">
        <f t="shared" si="99"/>
        <v>1468</v>
      </c>
      <c r="H154" s="229">
        <f>H85</f>
        <v>2000</v>
      </c>
      <c r="I154" s="229">
        <f t="shared" ref="I154" si="100">I85</f>
        <v>2000</v>
      </c>
      <c r="J154" s="229">
        <f t="shared" si="99"/>
        <v>2600</v>
      </c>
      <c r="K154" s="229">
        <f t="shared" ref="K154:L154" si="101">K85</f>
        <v>2600</v>
      </c>
      <c r="L154" s="229">
        <f t="shared" si="101"/>
        <v>2600</v>
      </c>
      <c r="M154" s="27">
        <f>SUM(J153:J154)</f>
        <v>38000</v>
      </c>
      <c r="N154" s="27"/>
      <c r="O154" s="27"/>
    </row>
    <row r="155" spans="1:15" ht="15.75" thickBot="1" x14ac:dyDescent="0.3">
      <c r="A155" s="891" t="s">
        <v>167</v>
      </c>
      <c r="B155" s="892"/>
      <c r="C155" s="240">
        <f t="shared" ref="C155:H155" si="102">SUM(C149:C154)</f>
        <v>463890</v>
      </c>
      <c r="D155" s="241">
        <f t="shared" si="102"/>
        <v>475549</v>
      </c>
      <c r="E155" s="399">
        <f t="shared" si="102"/>
        <v>571075</v>
      </c>
      <c r="F155" s="399">
        <f t="shared" si="102"/>
        <v>613614</v>
      </c>
      <c r="G155" s="242">
        <f t="shared" si="102"/>
        <v>610507</v>
      </c>
      <c r="H155" s="242">
        <f t="shared" si="102"/>
        <v>572000</v>
      </c>
      <c r="I155" s="242">
        <f t="shared" ref="I155" si="103">SUM(I149:I154)</f>
        <v>634693</v>
      </c>
      <c r="J155" s="242">
        <f t="shared" ref="J155:L155" si="104">SUM(J149:J154)</f>
        <v>611900</v>
      </c>
      <c r="K155" s="242">
        <f t="shared" si="104"/>
        <v>611900</v>
      </c>
      <c r="L155" s="242">
        <f t="shared" si="104"/>
        <v>611900</v>
      </c>
      <c r="M155" s="1"/>
    </row>
    <row r="156" spans="1:15" x14ac:dyDescent="0.25">
      <c r="A156" s="243" t="s">
        <v>140</v>
      </c>
      <c r="B156" s="244" t="s">
        <v>168</v>
      </c>
      <c r="C156" s="245">
        <f>69000-4930</f>
        <v>64070</v>
      </c>
      <c r="D156" s="246">
        <f>190500+13510-9254</f>
        <v>194756</v>
      </c>
      <c r="E156" s="245">
        <f t="shared" ref="E156" si="105">190500+13510</f>
        <v>204010</v>
      </c>
      <c r="F156" s="425">
        <v>247438</v>
      </c>
      <c r="G156" s="247">
        <v>217828</v>
      </c>
      <c r="H156" s="247">
        <f>264110-H158</f>
        <v>252640</v>
      </c>
      <c r="I156" s="247">
        <f>264110-I158+5000</f>
        <v>257640</v>
      </c>
      <c r="J156" s="247">
        <f>278720+13000</f>
        <v>291720</v>
      </c>
      <c r="K156" s="247">
        <v>283920</v>
      </c>
      <c r="L156" s="247">
        <v>283920</v>
      </c>
      <c r="M156" s="27"/>
      <c r="N156" s="27"/>
      <c r="O156" s="27"/>
    </row>
    <row r="157" spans="1:15" x14ac:dyDescent="0.25">
      <c r="A157" s="248" t="s">
        <v>140</v>
      </c>
      <c r="B157" s="249" t="s">
        <v>332</v>
      </c>
      <c r="C157" s="250"/>
      <c r="D157" s="251">
        <v>0</v>
      </c>
      <c r="E157" s="250">
        <v>0</v>
      </c>
      <c r="F157" s="426">
        <v>0</v>
      </c>
      <c r="G157" s="93">
        <f>35981+420</f>
        <v>36401</v>
      </c>
      <c r="H157" s="93">
        <v>0</v>
      </c>
      <c r="I157" s="93">
        <v>0</v>
      </c>
      <c r="J157" s="93">
        <v>0</v>
      </c>
      <c r="K157" s="93">
        <v>0</v>
      </c>
      <c r="L157" s="93">
        <v>0</v>
      </c>
      <c r="M157" s="1"/>
    </row>
    <row r="158" spans="1:15" ht="15.75" thickBot="1" x14ac:dyDescent="0.3">
      <c r="A158" s="248" t="s">
        <v>140</v>
      </c>
      <c r="B158" s="249" t="s">
        <v>169</v>
      </c>
      <c r="C158" s="250">
        <f>C89</f>
        <v>4930</v>
      </c>
      <c r="D158" s="251">
        <f>D89</f>
        <v>10244</v>
      </c>
      <c r="E158" s="250">
        <f>E89</f>
        <v>11710</v>
      </c>
      <c r="F158" s="426">
        <v>11266</v>
      </c>
      <c r="G158" s="93">
        <f>G89</f>
        <v>11355</v>
      </c>
      <c r="H158" s="93">
        <f>H89</f>
        <v>11470</v>
      </c>
      <c r="I158" s="93">
        <f>I89</f>
        <v>11470</v>
      </c>
      <c r="J158" s="93">
        <f>J89</f>
        <v>10980</v>
      </c>
      <c r="K158" s="93">
        <f t="shared" ref="K158:L158" si="106">K89</f>
        <v>11520</v>
      </c>
      <c r="L158" s="93">
        <f t="shared" si="106"/>
        <v>11520</v>
      </c>
      <c r="M158" s="1"/>
    </row>
    <row r="159" spans="1:15" ht="15.75" thickBot="1" x14ac:dyDescent="0.3">
      <c r="A159" s="874" t="s">
        <v>170</v>
      </c>
      <c r="B159" s="875"/>
      <c r="C159" s="252">
        <f t="shared" ref="C159:D159" si="107">SUM(C156:C158)</f>
        <v>69000</v>
      </c>
      <c r="D159" s="253">
        <f t="shared" si="107"/>
        <v>205000</v>
      </c>
      <c r="E159" s="252">
        <f t="shared" ref="E159:H159" si="108">SUM(E156:E158)</f>
        <v>215720</v>
      </c>
      <c r="F159" s="252">
        <f t="shared" ref="F159" si="109">SUM(F156:F158)</f>
        <v>258704</v>
      </c>
      <c r="G159" s="254">
        <f t="shared" si="108"/>
        <v>265584</v>
      </c>
      <c r="H159" s="254">
        <f t="shared" si="108"/>
        <v>264110</v>
      </c>
      <c r="I159" s="254">
        <f t="shared" ref="I159" si="110">SUM(I156:I158)</f>
        <v>269110</v>
      </c>
      <c r="J159" s="254">
        <f t="shared" ref="J159:L159" si="111">SUM(J156:J158)</f>
        <v>302700</v>
      </c>
      <c r="K159" s="254">
        <f t="shared" si="111"/>
        <v>295440</v>
      </c>
      <c r="L159" s="254">
        <f t="shared" si="111"/>
        <v>295440</v>
      </c>
      <c r="M159" s="1"/>
    </row>
    <row r="160" spans="1:15" ht="15.75" thickBot="1" x14ac:dyDescent="0.3">
      <c r="A160" s="860" t="s">
        <v>171</v>
      </c>
      <c r="B160" s="861"/>
      <c r="C160" s="255">
        <f t="shared" ref="C160:H160" si="112">C155+C159</f>
        <v>532890</v>
      </c>
      <c r="D160" s="256">
        <f t="shared" si="112"/>
        <v>680549</v>
      </c>
      <c r="E160" s="255">
        <f t="shared" si="112"/>
        <v>786795</v>
      </c>
      <c r="F160" s="255">
        <f t="shared" ref="F160" si="113">F155+F159</f>
        <v>872318</v>
      </c>
      <c r="G160" s="257">
        <f t="shared" si="112"/>
        <v>876091</v>
      </c>
      <c r="H160" s="257">
        <f t="shared" si="112"/>
        <v>836110</v>
      </c>
      <c r="I160" s="257">
        <f t="shared" ref="I160" si="114">I155+I159</f>
        <v>903803</v>
      </c>
      <c r="J160" s="257">
        <f t="shared" ref="J160:L160" si="115">J155+J159</f>
        <v>914600</v>
      </c>
      <c r="K160" s="257">
        <f t="shared" si="115"/>
        <v>907340</v>
      </c>
      <c r="L160" s="257">
        <f t="shared" si="115"/>
        <v>907340</v>
      </c>
      <c r="M160" s="1"/>
    </row>
    <row r="161" spans="1:13" ht="16.5" thickBot="1" x14ac:dyDescent="0.3">
      <c r="A161" s="258" t="s">
        <v>172</v>
      </c>
      <c r="B161" s="144"/>
      <c r="C161" s="259">
        <f t="shared" ref="C161:L161" si="116">C148+C160</f>
        <v>1508309</v>
      </c>
      <c r="D161" s="260">
        <f t="shared" si="116"/>
        <v>1667910</v>
      </c>
      <c r="E161" s="259">
        <f t="shared" si="116"/>
        <v>1949005</v>
      </c>
      <c r="F161" s="259">
        <f t="shared" ref="F161" si="117">F148+F160</f>
        <v>1998056.4</v>
      </c>
      <c r="G161" s="261">
        <f t="shared" si="116"/>
        <v>2131546</v>
      </c>
      <c r="H161" s="261">
        <f t="shared" si="116"/>
        <v>2340678</v>
      </c>
      <c r="I161" s="261">
        <f t="shared" si="116"/>
        <v>2481339</v>
      </c>
      <c r="J161" s="261">
        <f t="shared" si="116"/>
        <v>2680960</v>
      </c>
      <c r="K161" s="261">
        <f t="shared" si="116"/>
        <v>2611830</v>
      </c>
      <c r="L161" s="261">
        <f t="shared" si="116"/>
        <v>2601190</v>
      </c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8.75" thickBot="1" x14ac:dyDescent="0.3">
      <c r="A164" s="520" t="s">
        <v>173</v>
      </c>
      <c r="B164" s="521"/>
      <c r="C164" s="521"/>
      <c r="D164" s="521"/>
      <c r="E164" s="521"/>
      <c r="F164" s="521"/>
      <c r="G164" s="521"/>
      <c r="H164" s="521"/>
      <c r="I164" s="521"/>
      <c r="J164" s="521"/>
      <c r="K164" s="521"/>
      <c r="L164" s="521"/>
      <c r="M164" s="1"/>
    </row>
    <row r="165" spans="1:13" ht="36.75" customHeight="1" thickBot="1" x14ac:dyDescent="0.3">
      <c r="A165" s="864" t="s">
        <v>1</v>
      </c>
      <c r="B165" s="865"/>
      <c r="C165" s="414" t="s">
        <v>2</v>
      </c>
      <c r="D165" s="414" t="s">
        <v>3</v>
      </c>
      <c r="E165" s="414" t="s">
        <v>218</v>
      </c>
      <c r="F165" s="414" t="s">
        <v>244</v>
      </c>
      <c r="G165" s="555" t="s">
        <v>299</v>
      </c>
      <c r="H165" s="413" t="s">
        <v>297</v>
      </c>
      <c r="I165" s="413" t="s">
        <v>298</v>
      </c>
      <c r="J165" s="413" t="s">
        <v>300</v>
      </c>
      <c r="K165" s="413" t="s">
        <v>301</v>
      </c>
      <c r="L165" s="413" t="s">
        <v>302</v>
      </c>
      <c r="M165" s="1"/>
    </row>
    <row r="166" spans="1:13" ht="16.5" thickBot="1" x14ac:dyDescent="0.3">
      <c r="A166" s="866" t="s">
        <v>174</v>
      </c>
      <c r="B166" s="867"/>
      <c r="C166" s="262">
        <f t="shared" ref="C166:H166" si="118">SUM(C167:C180)</f>
        <v>10502</v>
      </c>
      <c r="D166" s="262">
        <f t="shared" si="118"/>
        <v>60445</v>
      </c>
      <c r="E166" s="262">
        <f t="shared" si="118"/>
        <v>312996</v>
      </c>
      <c r="F166" s="262">
        <f t="shared" si="118"/>
        <v>118970</v>
      </c>
      <c r="G166" s="262">
        <f t="shared" si="118"/>
        <v>93063</v>
      </c>
      <c r="H166" s="262">
        <f t="shared" si="118"/>
        <v>774720</v>
      </c>
      <c r="I166" s="262">
        <f t="shared" ref="I166" si="119">SUM(I167:I180)</f>
        <v>784210</v>
      </c>
      <c r="J166" s="262">
        <f t="shared" ref="J166" si="120">SUM(J167:J180)</f>
        <v>869220</v>
      </c>
      <c r="K166" s="262">
        <f t="shared" ref="K166" si="121">SUM(K167:K180)</f>
        <v>0</v>
      </c>
      <c r="L166" s="262">
        <f t="shared" ref="L166" si="122">SUM(L167:L180)</f>
        <v>0</v>
      </c>
      <c r="M166" s="1"/>
    </row>
    <row r="167" spans="1:13" ht="15.75" thickBot="1" x14ac:dyDescent="0.3">
      <c r="A167" s="77">
        <v>231</v>
      </c>
      <c r="B167" s="526" t="s">
        <v>306</v>
      </c>
      <c r="C167" s="263">
        <v>5251</v>
      </c>
      <c r="D167" s="263">
        <v>0</v>
      </c>
      <c r="E167" s="263">
        <v>0</v>
      </c>
      <c r="F167" s="263">
        <v>0</v>
      </c>
      <c r="G167" s="264">
        <v>0</v>
      </c>
      <c r="H167" s="264">
        <v>0</v>
      </c>
      <c r="I167" s="264">
        <v>4000</v>
      </c>
      <c r="J167" s="264">
        <v>0</v>
      </c>
      <c r="K167" s="264"/>
      <c r="L167" s="264"/>
      <c r="M167" s="1"/>
    </row>
    <row r="168" spans="1:13" ht="15.75" thickBot="1" x14ac:dyDescent="0.3">
      <c r="A168" s="77">
        <v>233</v>
      </c>
      <c r="B168" s="78" t="s">
        <v>175</v>
      </c>
      <c r="C168" s="263">
        <v>5251</v>
      </c>
      <c r="D168" s="263">
        <v>445</v>
      </c>
      <c r="E168" s="263">
        <v>3091</v>
      </c>
      <c r="F168" s="263">
        <v>56</v>
      </c>
      <c r="G168" s="264">
        <v>2912</v>
      </c>
      <c r="H168" s="264">
        <v>3000</v>
      </c>
      <c r="I168" s="264">
        <v>5990</v>
      </c>
      <c r="J168" s="264">
        <v>5000</v>
      </c>
      <c r="K168" s="264"/>
      <c r="L168" s="264"/>
      <c r="M168" s="1"/>
    </row>
    <row r="169" spans="1:13" ht="15.75" thickBot="1" x14ac:dyDescent="0.3">
      <c r="A169" s="436">
        <v>321</v>
      </c>
      <c r="B169" s="437" t="s">
        <v>254</v>
      </c>
      <c r="C169" s="266"/>
      <c r="D169" s="451">
        <v>0</v>
      </c>
      <c r="E169" s="451">
        <v>0</v>
      </c>
      <c r="F169" s="451">
        <v>0</v>
      </c>
      <c r="G169" s="452">
        <v>766</v>
      </c>
      <c r="H169" s="452">
        <v>5000</v>
      </c>
      <c r="I169" s="452">
        <v>5000</v>
      </c>
      <c r="J169" s="452">
        <v>0</v>
      </c>
      <c r="K169" s="452"/>
      <c r="L169" s="452"/>
      <c r="M169" s="27"/>
    </row>
    <row r="170" spans="1:13" x14ac:dyDescent="0.25">
      <c r="A170" s="265">
        <v>322</v>
      </c>
      <c r="B170" s="292" t="s">
        <v>247</v>
      </c>
      <c r="C170" s="266"/>
      <c r="D170" s="450"/>
      <c r="E170" s="450"/>
      <c r="F170" s="450">
        <v>0</v>
      </c>
      <c r="G170" s="409"/>
      <c r="H170" s="409"/>
      <c r="I170" s="409"/>
      <c r="J170" s="409"/>
      <c r="K170" s="409"/>
      <c r="L170" s="409"/>
      <c r="M170" s="1"/>
    </row>
    <row r="171" spans="1:13" x14ac:dyDescent="0.25">
      <c r="A171" s="268">
        <v>322</v>
      </c>
      <c r="B171" s="72" t="s">
        <v>179</v>
      </c>
      <c r="C171" s="269"/>
      <c r="D171" s="269"/>
      <c r="E171" s="269">
        <v>193252</v>
      </c>
      <c r="F171" s="269"/>
      <c r="G171" s="270"/>
      <c r="H171" s="270">
        <v>300000</v>
      </c>
      <c r="I171" s="270">
        <v>300000</v>
      </c>
      <c r="J171" s="270">
        <v>300000</v>
      </c>
      <c r="K171" s="270"/>
      <c r="L171" s="270"/>
      <c r="M171" s="1"/>
    </row>
    <row r="172" spans="1:13" x14ac:dyDescent="0.25">
      <c r="A172" s="265">
        <v>322</v>
      </c>
      <c r="B172" s="72" t="s">
        <v>255</v>
      </c>
      <c r="C172" s="266"/>
      <c r="D172" s="269"/>
      <c r="E172" s="269"/>
      <c r="F172" s="269"/>
      <c r="G172" s="270"/>
      <c r="H172" s="270">
        <v>15000</v>
      </c>
      <c r="I172" s="270">
        <v>15000</v>
      </c>
      <c r="J172" s="267"/>
      <c r="K172" s="267"/>
      <c r="L172" s="267"/>
      <c r="M172" s="1"/>
    </row>
    <row r="173" spans="1:13" x14ac:dyDescent="0.25">
      <c r="A173" s="271">
        <v>322</v>
      </c>
      <c r="B173" s="274" t="s">
        <v>243</v>
      </c>
      <c r="C173" s="272"/>
      <c r="D173" s="272"/>
      <c r="E173" s="272"/>
      <c r="F173" s="272"/>
      <c r="G173" s="273"/>
      <c r="H173" s="273">
        <v>19000</v>
      </c>
      <c r="I173" s="273">
        <v>19000</v>
      </c>
      <c r="J173" s="270">
        <v>19000</v>
      </c>
      <c r="K173" s="270"/>
      <c r="L173" s="267"/>
      <c r="M173" s="1"/>
    </row>
    <row r="174" spans="1:13" x14ac:dyDescent="0.25">
      <c r="A174" s="271">
        <v>322</v>
      </c>
      <c r="B174" s="85" t="s">
        <v>303</v>
      </c>
      <c r="C174" s="272"/>
      <c r="D174" s="272"/>
      <c r="E174" s="272"/>
      <c r="F174" s="272"/>
      <c r="G174" s="273"/>
      <c r="H174" s="273"/>
      <c r="I174" s="273"/>
      <c r="J174" s="273">
        <v>190000</v>
      </c>
      <c r="K174" s="270"/>
      <c r="L174" s="267"/>
      <c r="M174" s="1"/>
    </row>
    <row r="175" spans="1:13" x14ac:dyDescent="0.25">
      <c r="A175" s="271">
        <v>322</v>
      </c>
      <c r="B175" s="76" t="s">
        <v>237</v>
      </c>
      <c r="C175" s="272"/>
      <c r="D175" s="272"/>
      <c r="E175" s="272"/>
      <c r="F175" s="272"/>
      <c r="G175" s="273"/>
      <c r="H175" s="273">
        <v>355220</v>
      </c>
      <c r="I175" s="273">
        <v>355220</v>
      </c>
      <c r="J175" s="273">
        <v>355220</v>
      </c>
      <c r="K175" s="270"/>
      <c r="L175" s="267"/>
      <c r="M175" s="1"/>
    </row>
    <row r="176" spans="1:13" x14ac:dyDescent="0.25">
      <c r="A176" s="268">
        <v>322</v>
      </c>
      <c r="B176" s="72" t="s">
        <v>238</v>
      </c>
      <c r="C176" s="269"/>
      <c r="D176" s="269"/>
      <c r="E176" s="269">
        <v>0</v>
      </c>
      <c r="F176" s="269"/>
      <c r="G176" s="270">
        <v>89385</v>
      </c>
      <c r="H176" s="270">
        <f>166800-89300</f>
        <v>77500</v>
      </c>
      <c r="I176" s="270">
        <v>80000</v>
      </c>
      <c r="J176" s="409"/>
      <c r="K176" s="409"/>
      <c r="L176" s="267"/>
      <c r="M176" s="1"/>
    </row>
    <row r="177" spans="1:24" x14ac:dyDescent="0.25">
      <c r="A177" s="265">
        <v>322</v>
      </c>
      <c r="B177" s="80" t="s">
        <v>176</v>
      </c>
      <c r="C177" s="266"/>
      <c r="D177" s="266">
        <v>60000</v>
      </c>
      <c r="E177" s="266"/>
      <c r="F177" s="266"/>
      <c r="G177" s="267">
        <v>0</v>
      </c>
      <c r="H177" s="267"/>
      <c r="I177" s="267"/>
      <c r="J177" s="267"/>
      <c r="K177" s="267"/>
      <c r="L177" s="267"/>
      <c r="M177" s="1"/>
    </row>
    <row r="178" spans="1:24" x14ac:dyDescent="0.25">
      <c r="A178" s="268">
        <v>322</v>
      </c>
      <c r="B178" s="72" t="s">
        <v>177</v>
      </c>
      <c r="C178" s="269"/>
      <c r="D178" s="269"/>
      <c r="E178" s="269"/>
      <c r="F178" s="269"/>
      <c r="G178" s="270">
        <v>0</v>
      </c>
      <c r="H178" s="270"/>
      <c r="I178" s="270"/>
      <c r="J178" s="270"/>
      <c r="K178" s="270"/>
      <c r="L178" s="270"/>
      <c r="M178" s="1"/>
    </row>
    <row r="179" spans="1:24" x14ac:dyDescent="0.25">
      <c r="A179" s="271">
        <v>322</v>
      </c>
      <c r="B179" s="76" t="s">
        <v>178</v>
      </c>
      <c r="C179" s="272"/>
      <c r="D179" s="272"/>
      <c r="E179" s="272">
        <v>0</v>
      </c>
      <c r="F179" s="272">
        <v>118914</v>
      </c>
      <c r="G179" s="273">
        <v>0</v>
      </c>
      <c r="H179" s="273"/>
      <c r="I179" s="273"/>
      <c r="J179" s="273"/>
      <c r="K179" s="273"/>
      <c r="L179" s="273"/>
      <c r="M179" s="1"/>
    </row>
    <row r="180" spans="1:24" ht="15.75" thickBot="1" x14ac:dyDescent="0.3">
      <c r="A180" s="268">
        <v>322</v>
      </c>
      <c r="B180" s="275" t="s">
        <v>239</v>
      </c>
      <c r="C180" s="269"/>
      <c r="D180" s="269"/>
      <c r="E180" s="269">
        <v>116653</v>
      </c>
      <c r="F180" s="269">
        <v>0</v>
      </c>
      <c r="G180" s="270">
        <v>0</v>
      </c>
      <c r="H180" s="270"/>
      <c r="I180" s="270"/>
      <c r="J180" s="270"/>
      <c r="K180" s="270"/>
      <c r="L180" s="270"/>
      <c r="M180" s="27">
        <f>SUM(J170:J180)</f>
        <v>864220</v>
      </c>
      <c r="V180" s="458"/>
    </row>
    <row r="181" spans="1:24" ht="16.5" thickBot="1" x14ac:dyDescent="0.3">
      <c r="A181" s="866" t="s">
        <v>180</v>
      </c>
      <c r="B181" s="867"/>
      <c r="C181" s="262">
        <f>SUM(C182:C219)</f>
        <v>171050</v>
      </c>
      <c r="D181" s="262">
        <f>SUM(D182:D219)</f>
        <v>199887</v>
      </c>
      <c r="E181" s="262">
        <f>SUM(E182:E219)</f>
        <v>452163</v>
      </c>
      <c r="F181" s="262">
        <f t="shared" ref="F181:L181" si="123">SUM(F182:F219)</f>
        <v>211426</v>
      </c>
      <c r="G181" s="262">
        <f t="shared" si="123"/>
        <v>247102</v>
      </c>
      <c r="H181" s="262">
        <f t="shared" si="123"/>
        <v>1267700</v>
      </c>
      <c r="I181" s="262">
        <f t="shared" si="123"/>
        <v>1275076</v>
      </c>
      <c r="J181" s="262">
        <f t="shared" si="123"/>
        <v>1445946</v>
      </c>
      <c r="K181" s="262">
        <f t="shared" si="123"/>
        <v>0</v>
      </c>
      <c r="L181" s="262">
        <f t="shared" si="123"/>
        <v>0</v>
      </c>
      <c r="M181" s="27"/>
      <c r="N181" s="27"/>
      <c r="O181" s="27"/>
      <c r="V181" s="458"/>
      <c r="W181" s="458"/>
      <c r="X181" s="458"/>
    </row>
    <row r="182" spans="1:24" x14ac:dyDescent="0.25">
      <c r="A182" s="276" t="s">
        <v>75</v>
      </c>
      <c r="B182" s="277" t="s">
        <v>181</v>
      </c>
      <c r="C182" s="278"/>
      <c r="D182" s="278"/>
      <c r="E182" s="278">
        <v>0</v>
      </c>
      <c r="F182" s="278">
        <v>131248</v>
      </c>
      <c r="G182" s="278"/>
      <c r="H182" s="278"/>
      <c r="I182" s="278"/>
      <c r="J182" s="278"/>
      <c r="K182" s="278"/>
      <c r="L182" s="278"/>
      <c r="M182" s="1"/>
    </row>
    <row r="183" spans="1:24" x14ac:dyDescent="0.25">
      <c r="A183" s="279" t="s">
        <v>75</v>
      </c>
      <c r="B183" s="280" t="s">
        <v>182</v>
      </c>
      <c r="C183" s="281"/>
      <c r="D183" s="281"/>
      <c r="E183" s="281">
        <v>24255</v>
      </c>
      <c r="F183" s="281">
        <v>0</v>
      </c>
      <c r="G183" s="281"/>
      <c r="H183" s="281"/>
      <c r="I183" s="281"/>
      <c r="J183" s="281"/>
      <c r="K183" s="281"/>
      <c r="L183" s="281"/>
      <c r="M183" s="1"/>
    </row>
    <row r="184" spans="1:24" ht="15.75" thickBot="1" x14ac:dyDescent="0.3">
      <c r="A184" s="282" t="s">
        <v>75</v>
      </c>
      <c r="B184" s="283" t="s">
        <v>223</v>
      </c>
      <c r="C184" s="284"/>
      <c r="D184" s="284"/>
      <c r="E184" s="284">
        <v>26434</v>
      </c>
      <c r="F184" s="284">
        <v>3587</v>
      </c>
      <c r="G184" s="284"/>
      <c r="H184" s="284"/>
      <c r="I184" s="284"/>
      <c r="J184" s="284"/>
      <c r="K184" s="284"/>
      <c r="L184" s="284"/>
      <c r="M184" s="1"/>
    </row>
    <row r="185" spans="1:24" ht="15.75" thickBot="1" x14ac:dyDescent="0.3">
      <c r="A185" s="406" t="s">
        <v>87</v>
      </c>
      <c r="B185" s="407" t="s">
        <v>183</v>
      </c>
      <c r="C185" s="408"/>
      <c r="D185" s="408">
        <v>76359</v>
      </c>
      <c r="E185" s="408">
        <v>0</v>
      </c>
      <c r="F185" s="408">
        <v>0</v>
      </c>
      <c r="G185" s="408"/>
      <c r="H185" s="408"/>
      <c r="I185" s="408"/>
      <c r="J185" s="408"/>
      <c r="K185" s="408"/>
      <c r="L185" s="408"/>
      <c r="M185" s="1"/>
    </row>
    <row r="186" spans="1:24" x14ac:dyDescent="0.25">
      <c r="A186" s="286" t="s">
        <v>94</v>
      </c>
      <c r="B186" s="275" t="s">
        <v>184</v>
      </c>
      <c r="C186" s="287"/>
      <c r="D186" s="287"/>
      <c r="E186" s="287">
        <v>0</v>
      </c>
      <c r="F186" s="287">
        <v>0</v>
      </c>
      <c r="G186" s="287">
        <v>5400</v>
      </c>
      <c r="H186" s="287">
        <v>1500</v>
      </c>
      <c r="I186" s="287">
        <v>1500</v>
      </c>
      <c r="J186" s="287">
        <v>1500</v>
      </c>
      <c r="K186" s="287"/>
      <c r="L186" s="287"/>
      <c r="M186" s="1"/>
    </row>
    <row r="187" spans="1:24" x14ac:dyDescent="0.25">
      <c r="A187" s="438" t="s">
        <v>96</v>
      </c>
      <c r="B187" s="280" t="s">
        <v>185</v>
      </c>
      <c r="C187" s="281"/>
      <c r="D187" s="281">
        <f>21840+3926+35385</f>
        <v>61151</v>
      </c>
      <c r="E187" s="281">
        <v>0</v>
      </c>
      <c r="F187" s="281"/>
      <c r="G187" s="281"/>
      <c r="H187" s="281"/>
      <c r="I187" s="281"/>
      <c r="J187" s="281"/>
      <c r="K187" s="281"/>
      <c r="L187" s="281"/>
      <c r="M187" s="1"/>
    </row>
    <row r="188" spans="1:24" x14ac:dyDescent="0.25">
      <c r="A188" s="288" t="s">
        <v>96</v>
      </c>
      <c r="B188" s="561" t="s">
        <v>347</v>
      </c>
      <c r="C188" s="290"/>
      <c r="D188" s="290"/>
      <c r="E188" s="290"/>
      <c r="F188" s="290"/>
      <c r="G188" s="290"/>
      <c r="H188" s="290"/>
      <c r="I188" s="290"/>
      <c r="J188" s="290">
        <v>5000</v>
      </c>
      <c r="K188" s="290"/>
      <c r="L188" s="290"/>
      <c r="M188" s="1"/>
    </row>
    <row r="189" spans="1:24" ht="15.75" thickBot="1" x14ac:dyDescent="0.3">
      <c r="A189" s="282" t="s">
        <v>96</v>
      </c>
      <c r="B189" s="405" t="s">
        <v>240</v>
      </c>
      <c r="C189" s="284"/>
      <c r="D189" s="284"/>
      <c r="E189" s="284">
        <v>0</v>
      </c>
      <c r="F189" s="284">
        <v>6813</v>
      </c>
      <c r="G189" s="284"/>
      <c r="H189" s="284">
        <v>20600</v>
      </c>
      <c r="I189" s="284">
        <v>20600</v>
      </c>
      <c r="J189" s="284"/>
      <c r="K189" s="284"/>
      <c r="L189" s="284"/>
      <c r="M189" s="27"/>
    </row>
    <row r="190" spans="1:24" x14ac:dyDescent="0.25">
      <c r="A190" s="291" t="s">
        <v>99</v>
      </c>
      <c r="B190" s="289" t="s">
        <v>186</v>
      </c>
      <c r="C190" s="293"/>
      <c r="D190" s="293">
        <v>2305</v>
      </c>
      <c r="E190" s="293"/>
      <c r="F190" s="293"/>
      <c r="G190" s="293"/>
      <c r="H190" s="293"/>
      <c r="I190" s="293"/>
      <c r="J190" s="293"/>
      <c r="K190" s="293"/>
      <c r="L190" s="293"/>
      <c r="M190" s="1"/>
    </row>
    <row r="191" spans="1:24" x14ac:dyDescent="0.25">
      <c r="A191" s="291" t="s">
        <v>99</v>
      </c>
      <c r="B191" s="292" t="s">
        <v>241</v>
      </c>
      <c r="C191" s="293"/>
      <c r="D191" s="293"/>
      <c r="E191" s="293"/>
      <c r="F191" s="293"/>
      <c r="G191" s="293"/>
      <c r="H191" s="293"/>
      <c r="I191" s="293"/>
      <c r="J191" s="293"/>
      <c r="K191" s="293"/>
      <c r="L191" s="293"/>
      <c r="M191" s="1"/>
    </row>
    <row r="192" spans="1:24" x14ac:dyDescent="0.25">
      <c r="A192" s="291" t="s">
        <v>101</v>
      </c>
      <c r="B192" s="292" t="s">
        <v>256</v>
      </c>
      <c r="C192" s="293"/>
      <c r="D192" s="293"/>
      <c r="E192" s="293"/>
      <c r="F192" s="293"/>
      <c r="G192" s="293">
        <v>15200</v>
      </c>
      <c r="H192" s="293"/>
      <c r="I192" s="293"/>
      <c r="J192" s="293"/>
      <c r="K192" s="293"/>
      <c r="L192" s="293"/>
      <c r="M192" s="1"/>
    </row>
    <row r="193" spans="1:13" x14ac:dyDescent="0.25">
      <c r="A193" s="279" t="s">
        <v>101</v>
      </c>
      <c r="B193" s="294" t="s">
        <v>236</v>
      </c>
      <c r="C193" s="281"/>
      <c r="D193" s="281"/>
      <c r="E193" s="281">
        <v>213721</v>
      </c>
      <c r="F193" s="281"/>
      <c r="G193" s="281">
        <f>390</f>
        <v>390</v>
      </c>
      <c r="H193" s="281">
        <v>325000</v>
      </c>
      <c r="I193" s="281">
        <v>325000</v>
      </c>
      <c r="J193" s="281">
        <v>390000</v>
      </c>
      <c r="K193" s="281"/>
      <c r="L193" s="281"/>
      <c r="M193" s="1"/>
    </row>
    <row r="194" spans="1:13" x14ac:dyDescent="0.25">
      <c r="A194" s="291" t="s">
        <v>101</v>
      </c>
      <c r="B194" s="292" t="s">
        <v>257</v>
      </c>
      <c r="C194" s="290"/>
      <c r="D194" s="281"/>
      <c r="E194" s="281"/>
      <c r="F194" s="281"/>
      <c r="G194" s="281">
        <v>38416</v>
      </c>
      <c r="H194" s="281"/>
      <c r="I194" s="281"/>
      <c r="J194" s="281"/>
      <c r="K194" s="281"/>
      <c r="L194" s="281"/>
      <c r="M194" s="1"/>
    </row>
    <row r="195" spans="1:13" x14ac:dyDescent="0.25">
      <c r="A195" s="438" t="s">
        <v>105</v>
      </c>
      <c r="B195" s="428" t="s">
        <v>258</v>
      </c>
      <c r="C195" s="290"/>
      <c r="D195" s="281"/>
      <c r="E195" s="281"/>
      <c r="F195" s="281"/>
      <c r="G195" s="281">
        <v>3547</v>
      </c>
      <c r="H195" s="281"/>
      <c r="I195" s="281"/>
      <c r="J195" s="281"/>
      <c r="K195" s="281"/>
      <c r="L195" s="281"/>
      <c r="M195" s="1"/>
    </row>
    <row r="196" spans="1:13" ht="15.75" thickBot="1" x14ac:dyDescent="0.3">
      <c r="A196" s="295" t="s">
        <v>105</v>
      </c>
      <c r="B196" s="296" t="s">
        <v>187</v>
      </c>
      <c r="C196" s="285"/>
      <c r="D196" s="285">
        <v>7773</v>
      </c>
      <c r="E196" s="285">
        <v>0</v>
      </c>
      <c r="F196" s="285"/>
      <c r="G196" s="285">
        <v>0</v>
      </c>
      <c r="H196" s="285"/>
      <c r="I196" s="285"/>
      <c r="J196" s="285"/>
      <c r="K196" s="285"/>
      <c r="L196" s="285"/>
      <c r="M196" s="1"/>
    </row>
    <row r="197" spans="1:13" x14ac:dyDescent="0.25">
      <c r="A197" s="288" t="s">
        <v>188</v>
      </c>
      <c r="B197" s="289" t="s">
        <v>189</v>
      </c>
      <c r="C197" s="290">
        <v>2107</v>
      </c>
      <c r="D197" s="290">
        <v>114</v>
      </c>
      <c r="E197" s="290">
        <v>0</v>
      </c>
      <c r="F197" s="290">
        <v>0</v>
      </c>
      <c r="G197" s="290">
        <v>140</v>
      </c>
      <c r="H197" s="290">
        <v>43000</v>
      </c>
      <c r="I197" s="290">
        <v>25000</v>
      </c>
      <c r="J197" s="290">
        <v>25000</v>
      </c>
      <c r="K197" s="290"/>
      <c r="L197" s="290"/>
      <c r="M197" s="1"/>
    </row>
    <row r="198" spans="1:13" x14ac:dyDescent="0.25">
      <c r="A198" s="297" t="s">
        <v>188</v>
      </c>
      <c r="B198" s="294" t="s">
        <v>242</v>
      </c>
      <c r="C198" s="281">
        <v>49262</v>
      </c>
      <c r="D198" s="281">
        <v>19728</v>
      </c>
      <c r="E198" s="281">
        <v>10645</v>
      </c>
      <c r="F198" s="281">
        <v>20733</v>
      </c>
      <c r="G198" s="281">
        <v>21493</v>
      </c>
      <c r="H198" s="281">
        <v>29000</v>
      </c>
      <c r="I198" s="281">
        <v>30990</v>
      </c>
      <c r="J198" s="281">
        <v>30000</v>
      </c>
      <c r="K198" s="281"/>
      <c r="L198" s="281"/>
      <c r="M198" s="27"/>
    </row>
    <row r="199" spans="1:13" x14ac:dyDescent="0.25">
      <c r="A199" s="297" t="s">
        <v>108</v>
      </c>
      <c r="B199" s="428" t="s">
        <v>227</v>
      </c>
      <c r="C199" s="281"/>
      <c r="D199" s="281"/>
      <c r="E199" s="281"/>
      <c r="F199" s="281"/>
      <c r="G199" s="281">
        <v>0</v>
      </c>
      <c r="H199" s="281">
        <v>15800</v>
      </c>
      <c r="I199" s="281">
        <v>15300</v>
      </c>
      <c r="J199" s="281"/>
      <c r="K199" s="281"/>
      <c r="L199" s="281"/>
      <c r="M199" s="27"/>
    </row>
    <row r="200" spans="1:13" x14ac:dyDescent="0.25">
      <c r="A200" s="300" t="s">
        <v>108</v>
      </c>
      <c r="B200" s="298" t="s">
        <v>248</v>
      </c>
      <c r="C200" s="281"/>
      <c r="D200" s="281">
        <v>2600</v>
      </c>
      <c r="E200" s="281">
        <v>0</v>
      </c>
      <c r="F200" s="281">
        <v>35581</v>
      </c>
      <c r="G200" s="281">
        <v>11503</v>
      </c>
      <c r="H200" s="281"/>
      <c r="I200" s="281"/>
      <c r="J200" s="281">
        <v>10000</v>
      </c>
      <c r="K200" s="281"/>
      <c r="L200" s="281"/>
      <c r="M200" s="1"/>
    </row>
    <row r="201" spans="1:13" x14ac:dyDescent="0.25">
      <c r="A201" s="301" t="s">
        <v>108</v>
      </c>
      <c r="B201" s="453" t="s">
        <v>267</v>
      </c>
      <c r="C201" s="281"/>
      <c r="D201" s="281"/>
      <c r="E201" s="281"/>
      <c r="F201" s="281"/>
      <c r="G201" s="281">
        <v>2136</v>
      </c>
      <c r="H201" s="281"/>
      <c r="I201" s="281"/>
      <c r="J201" s="281"/>
      <c r="K201" s="281"/>
      <c r="L201" s="281"/>
      <c r="M201" s="1"/>
    </row>
    <row r="202" spans="1:13" x14ac:dyDescent="0.25">
      <c r="A202" s="297" t="s">
        <v>108</v>
      </c>
      <c r="B202" s="294" t="s">
        <v>219</v>
      </c>
      <c r="C202" s="281"/>
      <c r="D202" s="281"/>
      <c r="E202" s="281">
        <v>36425</v>
      </c>
      <c r="F202" s="281">
        <v>0</v>
      </c>
      <c r="G202" s="281">
        <v>0</v>
      </c>
      <c r="H202" s="281"/>
      <c r="I202" s="281"/>
      <c r="J202" s="281"/>
      <c r="K202" s="281"/>
      <c r="L202" s="281"/>
      <c r="M202" s="1"/>
    </row>
    <row r="203" spans="1:13" ht="15.75" thickBot="1" x14ac:dyDescent="0.3">
      <c r="A203" s="299" t="s">
        <v>108</v>
      </c>
      <c r="B203" s="439" t="s">
        <v>235</v>
      </c>
      <c r="C203" s="284"/>
      <c r="D203" s="284"/>
      <c r="E203" s="284"/>
      <c r="F203" s="284">
        <v>0</v>
      </c>
      <c r="G203" s="284">
        <v>6363</v>
      </c>
      <c r="H203" s="284">
        <v>30000</v>
      </c>
      <c r="I203" s="284">
        <v>30000</v>
      </c>
      <c r="J203" s="284">
        <v>100000</v>
      </c>
      <c r="K203" s="284"/>
      <c r="L203" s="284"/>
      <c r="M203" s="27"/>
    </row>
    <row r="204" spans="1:13" x14ac:dyDescent="0.25">
      <c r="A204" s="300" t="s">
        <v>123</v>
      </c>
      <c r="B204" s="298" t="s">
        <v>190</v>
      </c>
      <c r="C204" s="287"/>
      <c r="D204" s="287"/>
      <c r="E204" s="287">
        <v>0</v>
      </c>
      <c r="F204" s="287">
        <v>0</v>
      </c>
      <c r="G204" s="287">
        <v>38201</v>
      </c>
      <c r="H204" s="287"/>
      <c r="I204" s="287">
        <v>2500</v>
      </c>
      <c r="J204" s="287"/>
      <c r="K204" s="287"/>
      <c r="L204" s="287"/>
      <c r="M204" s="27"/>
    </row>
    <row r="205" spans="1:13" x14ac:dyDescent="0.25">
      <c r="A205" s="301" t="s">
        <v>123</v>
      </c>
      <c r="B205" s="302" t="s">
        <v>191</v>
      </c>
      <c r="C205" s="290">
        <f>51725+9953+44705</f>
        <v>106383</v>
      </c>
      <c r="D205" s="290">
        <v>3568</v>
      </c>
      <c r="E205" s="290">
        <v>0</v>
      </c>
      <c r="F205" s="290"/>
      <c r="G205" s="290">
        <v>0</v>
      </c>
      <c r="H205" s="290"/>
      <c r="I205" s="290"/>
      <c r="J205" s="290"/>
      <c r="K205" s="290"/>
      <c r="L205" s="290"/>
      <c r="M205" s="27"/>
    </row>
    <row r="206" spans="1:13" x14ac:dyDescent="0.25">
      <c r="A206" s="303" t="s">
        <v>123</v>
      </c>
      <c r="B206" s="304" t="s">
        <v>193</v>
      </c>
      <c r="C206" s="293"/>
      <c r="D206" s="293"/>
      <c r="E206" s="293">
        <v>0</v>
      </c>
      <c r="F206" s="293">
        <v>0</v>
      </c>
      <c r="G206" s="293">
        <v>0</v>
      </c>
      <c r="H206" s="293">
        <v>21000</v>
      </c>
      <c r="I206" s="293">
        <v>21000</v>
      </c>
      <c r="J206" s="293">
        <v>21000</v>
      </c>
      <c r="K206" s="290"/>
      <c r="L206" s="290"/>
      <c r="M206" s="27"/>
    </row>
    <row r="207" spans="1:13" x14ac:dyDescent="0.25">
      <c r="A207" s="303" t="s">
        <v>123</v>
      </c>
      <c r="B207" s="304" t="s">
        <v>304</v>
      </c>
      <c r="C207" s="293"/>
      <c r="D207" s="293"/>
      <c r="E207" s="293">
        <v>0</v>
      </c>
      <c r="F207" s="293"/>
      <c r="G207" s="293">
        <v>0</v>
      </c>
      <c r="H207" s="293">
        <v>8000</v>
      </c>
      <c r="I207" s="293">
        <v>8000</v>
      </c>
      <c r="J207" s="293">
        <v>8000</v>
      </c>
      <c r="K207" s="293"/>
      <c r="L207" s="293"/>
      <c r="M207" s="1"/>
    </row>
    <row r="208" spans="1:13" x14ac:dyDescent="0.25">
      <c r="A208" s="303" t="s">
        <v>123</v>
      </c>
      <c r="B208" s="304" t="s">
        <v>192</v>
      </c>
      <c r="C208" s="293"/>
      <c r="D208" s="293"/>
      <c r="E208" s="293">
        <v>3300</v>
      </c>
      <c r="F208" s="293"/>
      <c r="G208" s="293">
        <v>0</v>
      </c>
      <c r="H208" s="293"/>
      <c r="I208" s="293"/>
      <c r="J208" s="293"/>
      <c r="K208" s="293"/>
      <c r="L208" s="293"/>
      <c r="M208" s="1"/>
    </row>
    <row r="209" spans="1:13" x14ac:dyDescent="0.25">
      <c r="A209" s="303" t="s">
        <v>125</v>
      </c>
      <c r="B209" s="294" t="s">
        <v>259</v>
      </c>
      <c r="C209" s="293"/>
      <c r="D209" s="293"/>
      <c r="E209" s="293"/>
      <c r="F209" s="293"/>
      <c r="G209" s="293">
        <v>0</v>
      </c>
      <c r="H209" s="293">
        <v>200000</v>
      </c>
      <c r="I209" s="293">
        <v>200000</v>
      </c>
      <c r="J209" s="293">
        <v>200000</v>
      </c>
      <c r="K209" s="293"/>
      <c r="L209" s="293"/>
      <c r="M209" s="1"/>
    </row>
    <row r="210" spans="1:13" x14ac:dyDescent="0.25">
      <c r="A210" s="303" t="s">
        <v>125</v>
      </c>
      <c r="B210" s="304" t="s">
        <v>234</v>
      </c>
      <c r="C210" s="293">
        <v>2698</v>
      </c>
      <c r="D210" s="293"/>
      <c r="E210" s="293">
        <v>0</v>
      </c>
      <c r="F210" s="293"/>
      <c r="G210" s="293">
        <v>0</v>
      </c>
      <c r="H210" s="293">
        <v>100000</v>
      </c>
      <c r="I210" s="293">
        <v>100886</v>
      </c>
      <c r="J210" s="293">
        <v>160886</v>
      </c>
      <c r="K210" s="293"/>
      <c r="L210" s="293"/>
      <c r="M210" s="1"/>
    </row>
    <row r="211" spans="1:13" ht="15.75" thickBot="1" x14ac:dyDescent="0.3">
      <c r="A211" s="305" t="s">
        <v>129</v>
      </c>
      <c r="B211" s="280" t="s">
        <v>224</v>
      </c>
      <c r="C211" s="281"/>
      <c r="D211" s="281">
        <v>3847</v>
      </c>
      <c r="E211" s="281">
        <v>0</v>
      </c>
      <c r="F211" s="281">
        <v>0</v>
      </c>
      <c r="G211" s="281"/>
      <c r="H211" s="281"/>
      <c r="I211" s="281"/>
      <c r="J211" s="281"/>
      <c r="K211" s="281"/>
      <c r="L211" s="281"/>
      <c r="M211" s="27"/>
    </row>
    <row r="212" spans="1:13" x14ac:dyDescent="0.25">
      <c r="A212" s="307" t="s">
        <v>134</v>
      </c>
      <c r="B212" s="277" t="s">
        <v>194</v>
      </c>
      <c r="C212" s="278"/>
      <c r="D212" s="278"/>
      <c r="E212" s="278">
        <v>125059</v>
      </c>
      <c r="F212" s="278"/>
      <c r="G212" s="278"/>
      <c r="H212" s="278"/>
      <c r="I212" s="278"/>
      <c r="J212" s="278"/>
      <c r="K212" s="278"/>
      <c r="L212" s="278"/>
      <c r="M212" s="1"/>
    </row>
    <row r="213" spans="1:13" x14ac:dyDescent="0.25">
      <c r="A213" s="305" t="s">
        <v>134</v>
      </c>
      <c r="B213" s="280" t="s">
        <v>260</v>
      </c>
      <c r="C213" s="281"/>
      <c r="D213" s="281">
        <v>2984</v>
      </c>
      <c r="E213" s="281"/>
      <c r="F213" s="281">
        <v>0</v>
      </c>
      <c r="G213" s="281"/>
      <c r="H213" s="281"/>
      <c r="I213" s="281"/>
      <c r="J213" s="281"/>
      <c r="K213" s="281"/>
      <c r="L213" s="281"/>
      <c r="M213" s="1"/>
    </row>
    <row r="214" spans="1:13" x14ac:dyDescent="0.25">
      <c r="A214" s="305" t="s">
        <v>134</v>
      </c>
      <c r="B214" s="280" t="s">
        <v>261</v>
      </c>
      <c r="C214" s="287"/>
      <c r="D214" s="287"/>
      <c r="E214" s="287"/>
      <c r="F214" s="287"/>
      <c r="G214" s="287">
        <v>0</v>
      </c>
      <c r="H214" s="287">
        <v>381000</v>
      </c>
      <c r="I214" s="287">
        <v>381000</v>
      </c>
      <c r="J214" s="287">
        <v>494560</v>
      </c>
      <c r="K214" s="287"/>
      <c r="L214" s="287"/>
      <c r="M214" s="1"/>
    </row>
    <row r="215" spans="1:13" ht="15" customHeight="1" x14ac:dyDescent="0.25">
      <c r="A215" s="308" t="s">
        <v>138</v>
      </c>
      <c r="B215" s="275" t="s">
        <v>225</v>
      </c>
      <c r="C215" s="287"/>
      <c r="D215" s="287">
        <v>16897</v>
      </c>
      <c r="E215" s="287">
        <v>9936</v>
      </c>
      <c r="F215" s="287"/>
      <c r="G215" s="287"/>
      <c r="H215" s="287"/>
      <c r="I215" s="287"/>
      <c r="J215" s="287"/>
      <c r="K215" s="287"/>
      <c r="L215" s="287"/>
      <c r="M215" s="1"/>
    </row>
    <row r="216" spans="1:13" ht="15" customHeight="1" x14ac:dyDescent="0.25">
      <c r="A216" s="303" t="s">
        <v>138</v>
      </c>
      <c r="B216" s="429" t="s">
        <v>249</v>
      </c>
      <c r="C216" s="290"/>
      <c r="D216" s="281"/>
      <c r="E216" s="281"/>
      <c r="F216" s="281">
        <v>2220</v>
      </c>
      <c r="G216" s="281">
        <v>3073</v>
      </c>
      <c r="H216" s="281"/>
      <c r="I216" s="281"/>
      <c r="J216" s="281"/>
      <c r="K216" s="281"/>
      <c r="L216" s="281"/>
      <c r="M216" s="1"/>
    </row>
    <row r="217" spans="1:13" ht="15" customHeight="1" x14ac:dyDescent="0.25">
      <c r="A217" s="430" t="s">
        <v>138</v>
      </c>
      <c r="B217" s="431" t="s">
        <v>250</v>
      </c>
      <c r="C217" s="290"/>
      <c r="D217" s="281"/>
      <c r="E217" s="281"/>
      <c r="F217" s="281">
        <v>11244</v>
      </c>
      <c r="G217" s="281"/>
      <c r="H217" s="281"/>
      <c r="I217" s="281"/>
      <c r="J217" s="281"/>
      <c r="K217" s="281"/>
      <c r="L217" s="281"/>
      <c r="M217" s="1"/>
    </row>
    <row r="218" spans="1:13" ht="15.75" thickBot="1" x14ac:dyDescent="0.3">
      <c r="A218" s="306" t="s">
        <v>147</v>
      </c>
      <c r="B218" s="309" t="s">
        <v>251</v>
      </c>
      <c r="C218" s="285">
        <v>10600</v>
      </c>
      <c r="D218" s="285">
        <v>2561</v>
      </c>
      <c r="E218" s="285">
        <v>2388</v>
      </c>
      <c r="F218" s="285">
        <v>0</v>
      </c>
      <c r="G218" s="285"/>
      <c r="H218" s="285"/>
      <c r="I218" s="285"/>
      <c r="J218" s="285"/>
      <c r="K218" s="285"/>
      <c r="L218" s="285"/>
      <c r="M218" s="27"/>
    </row>
    <row r="219" spans="1:13" ht="15.75" thickBot="1" x14ac:dyDescent="0.3">
      <c r="A219" s="310" t="s">
        <v>150</v>
      </c>
      <c r="B219" s="440" t="s">
        <v>262</v>
      </c>
      <c r="C219" s="284"/>
      <c r="D219" s="284"/>
      <c r="E219" s="284">
        <v>0</v>
      </c>
      <c r="F219" s="284">
        <v>0</v>
      </c>
      <c r="G219" s="284">
        <v>101240</v>
      </c>
      <c r="H219" s="284">
        <f>186800-94000</f>
        <v>92800</v>
      </c>
      <c r="I219" s="284">
        <v>113300</v>
      </c>
      <c r="J219" s="284"/>
      <c r="K219" s="284"/>
      <c r="L219" s="284"/>
      <c r="M219" s="1"/>
    </row>
    <row r="220" spans="1:13" x14ac:dyDescent="0.25">
      <c r="A220" s="311"/>
      <c r="B220" s="312"/>
      <c r="C220" s="312"/>
      <c r="D220" s="312"/>
      <c r="E220" s="313"/>
      <c r="F220" s="313"/>
      <c r="G220" s="313"/>
      <c r="H220" s="313"/>
      <c r="I220" s="313"/>
      <c r="J220" s="313"/>
      <c r="K220" s="313"/>
      <c r="L220" s="313"/>
      <c r="M220" s="313"/>
    </row>
    <row r="221" spans="1:13" x14ac:dyDescent="0.25">
      <c r="A221" s="314"/>
      <c r="B221" s="315"/>
      <c r="C221" s="315"/>
      <c r="D221" s="315"/>
      <c r="E221" s="316"/>
      <c r="F221" s="316"/>
      <c r="G221" s="316"/>
      <c r="H221" s="316"/>
      <c r="I221" s="316"/>
      <c r="J221" s="316"/>
      <c r="K221" s="316"/>
      <c r="L221" s="316"/>
      <c r="M221" s="316"/>
    </row>
    <row r="222" spans="1:13" ht="18.75" thickBot="1" x14ac:dyDescent="0.3">
      <c r="A222" s="522" t="s">
        <v>195</v>
      </c>
      <c r="B222" s="523"/>
      <c r="C222" s="523"/>
      <c r="D222" s="523"/>
      <c r="E222" s="523"/>
      <c r="F222" s="523"/>
      <c r="G222" s="523"/>
      <c r="H222" s="523"/>
      <c r="I222" s="523"/>
      <c r="J222" s="523"/>
      <c r="K222" s="523"/>
      <c r="L222" s="523"/>
      <c r="M222" s="1"/>
    </row>
    <row r="223" spans="1:13" ht="32.25" customHeight="1" thickBot="1" x14ac:dyDescent="0.3">
      <c r="A223" s="864" t="s">
        <v>1</v>
      </c>
      <c r="B223" s="865"/>
      <c r="C223" s="414" t="s">
        <v>2</v>
      </c>
      <c r="D223" s="414" t="s">
        <v>3</v>
      </c>
      <c r="E223" s="414" t="s">
        <v>218</v>
      </c>
      <c r="F223" s="414" t="s">
        <v>244</v>
      </c>
      <c r="G223" s="555" t="s">
        <v>299</v>
      </c>
      <c r="H223" s="413" t="s">
        <v>297</v>
      </c>
      <c r="I223" s="413" t="s">
        <v>298</v>
      </c>
      <c r="J223" s="413" t="s">
        <v>300</v>
      </c>
      <c r="K223" s="413" t="s">
        <v>301</v>
      </c>
      <c r="L223" s="413" t="s">
        <v>302</v>
      </c>
      <c r="M223" s="1"/>
    </row>
    <row r="224" spans="1:13" ht="16.5" thickBot="1" x14ac:dyDescent="0.3">
      <c r="A224" s="441" t="s">
        <v>196</v>
      </c>
      <c r="B224" s="442"/>
      <c r="C224" s="443">
        <f>SUM(C231:C239)</f>
        <v>85625</v>
      </c>
      <c r="D224" s="443">
        <f>SUM(D225:D240)</f>
        <v>129336</v>
      </c>
      <c r="E224" s="443">
        <f t="shared" ref="E224:L224" si="124">SUM(E225:E240)</f>
        <v>137207</v>
      </c>
      <c r="F224" s="443">
        <f t="shared" si="124"/>
        <v>174149</v>
      </c>
      <c r="G224" s="443">
        <f t="shared" si="124"/>
        <v>249113</v>
      </c>
      <c r="H224" s="443">
        <f t="shared" si="124"/>
        <v>586880</v>
      </c>
      <c r="I224" s="443">
        <f t="shared" si="124"/>
        <v>614561</v>
      </c>
      <c r="J224" s="443">
        <f t="shared" si="124"/>
        <v>728546</v>
      </c>
      <c r="K224" s="443">
        <f t="shared" si="124"/>
        <v>1640</v>
      </c>
      <c r="L224" s="443">
        <f t="shared" si="124"/>
        <v>1640</v>
      </c>
      <c r="M224" s="27"/>
    </row>
    <row r="225" spans="1:24" x14ac:dyDescent="0.25">
      <c r="A225" s="317">
        <v>453</v>
      </c>
      <c r="B225" s="318" t="s">
        <v>336</v>
      </c>
      <c r="C225" s="319">
        <v>709</v>
      </c>
      <c r="D225" s="319"/>
      <c r="E225" s="319">
        <v>480</v>
      </c>
      <c r="F225" s="319">
        <v>2009</v>
      </c>
      <c r="G225" s="319">
        <v>251</v>
      </c>
      <c r="H225" s="319">
        <v>1500</v>
      </c>
      <c r="I225" s="319">
        <v>1500</v>
      </c>
      <c r="J225" s="319">
        <v>1500</v>
      </c>
      <c r="K225" s="319">
        <v>1500</v>
      </c>
      <c r="L225" s="319">
        <v>1500</v>
      </c>
      <c r="M225" s="1"/>
    </row>
    <row r="226" spans="1:24" x14ac:dyDescent="0.25">
      <c r="A226" s="317">
        <v>453</v>
      </c>
      <c r="B226" s="318" t="s">
        <v>307</v>
      </c>
      <c r="C226" s="319"/>
      <c r="D226" s="319">
        <v>0</v>
      </c>
      <c r="E226" s="319">
        <v>0</v>
      </c>
      <c r="F226" s="319">
        <v>0</v>
      </c>
      <c r="G226" s="319">
        <v>0</v>
      </c>
      <c r="H226" s="319">
        <v>0</v>
      </c>
      <c r="I226" s="319">
        <v>886</v>
      </c>
      <c r="J226" s="319">
        <v>886</v>
      </c>
      <c r="K226" s="319"/>
      <c r="L226" s="319"/>
      <c r="M226" s="1"/>
    </row>
    <row r="227" spans="1:24" x14ac:dyDescent="0.25">
      <c r="A227" s="432">
        <v>453</v>
      </c>
      <c r="B227" s="433" t="s">
        <v>337</v>
      </c>
      <c r="C227" s="64">
        <v>997</v>
      </c>
      <c r="D227" s="64">
        <v>561</v>
      </c>
      <c r="E227" s="64">
        <v>834</v>
      </c>
      <c r="F227" s="64">
        <v>10439</v>
      </c>
      <c r="G227" s="64">
        <v>18370</v>
      </c>
      <c r="H227" s="64">
        <f>3000+19000</f>
        <v>22000</v>
      </c>
      <c r="I227" s="64">
        <v>24735</v>
      </c>
      <c r="J227" s="64">
        <f>3000+1900</f>
        <v>4900</v>
      </c>
      <c r="K227" s="64"/>
      <c r="L227" s="64"/>
      <c r="M227" s="27"/>
    </row>
    <row r="228" spans="1:24" x14ac:dyDescent="0.25">
      <c r="A228" s="317">
        <v>453</v>
      </c>
      <c r="B228" s="433" t="s">
        <v>346</v>
      </c>
      <c r="C228" s="319"/>
      <c r="D228" s="319">
        <v>0</v>
      </c>
      <c r="E228" s="319">
        <v>0</v>
      </c>
      <c r="F228" s="319">
        <v>0</v>
      </c>
      <c r="G228" s="319">
        <v>0</v>
      </c>
      <c r="H228" s="319">
        <v>0</v>
      </c>
      <c r="I228" s="319">
        <v>0</v>
      </c>
      <c r="J228" s="319">
        <v>2000</v>
      </c>
      <c r="K228" s="319"/>
      <c r="L228" s="319"/>
      <c r="M228" s="27"/>
    </row>
    <row r="229" spans="1:24" x14ac:dyDescent="0.25">
      <c r="A229" s="317">
        <v>453</v>
      </c>
      <c r="B229" s="433" t="s">
        <v>338</v>
      </c>
      <c r="C229" s="319"/>
      <c r="D229" s="319">
        <v>0</v>
      </c>
      <c r="E229" s="319">
        <v>0</v>
      </c>
      <c r="F229" s="319">
        <v>0</v>
      </c>
      <c r="G229" s="319">
        <v>0</v>
      </c>
      <c r="H229" s="319">
        <v>64300</v>
      </c>
      <c r="I229" s="319">
        <v>64340</v>
      </c>
      <c r="J229" s="319">
        <v>29750</v>
      </c>
      <c r="K229" s="319"/>
      <c r="L229" s="319"/>
      <c r="M229" s="27"/>
    </row>
    <row r="230" spans="1:24" x14ac:dyDescent="0.25">
      <c r="A230" s="317">
        <v>453</v>
      </c>
      <c r="B230" s="433" t="s">
        <v>339</v>
      </c>
      <c r="C230" s="319"/>
      <c r="D230" s="319">
        <v>0</v>
      </c>
      <c r="E230" s="319">
        <v>0</v>
      </c>
      <c r="F230" s="319">
        <v>0</v>
      </c>
      <c r="G230" s="319">
        <v>0</v>
      </c>
      <c r="H230" s="319">
        <v>0</v>
      </c>
      <c r="I230" s="319">
        <v>0</v>
      </c>
      <c r="J230" s="319">
        <v>2030</v>
      </c>
      <c r="K230" s="319"/>
      <c r="L230" s="319"/>
      <c r="M230" s="27"/>
    </row>
    <row r="231" spans="1:24" ht="15.75" thickBot="1" x14ac:dyDescent="0.3">
      <c r="A231" s="320">
        <v>453</v>
      </c>
      <c r="B231" s="321" t="s">
        <v>340</v>
      </c>
      <c r="C231" s="322">
        <v>0</v>
      </c>
      <c r="D231" s="322"/>
      <c r="E231" s="322">
        <v>0</v>
      </c>
      <c r="F231" s="322">
        <v>4901</v>
      </c>
      <c r="G231" s="322">
        <v>2349</v>
      </c>
      <c r="H231" s="322">
        <v>6000</v>
      </c>
      <c r="I231" s="322">
        <v>6000</v>
      </c>
      <c r="J231" s="322">
        <v>0</v>
      </c>
      <c r="K231" s="322"/>
      <c r="L231" s="322"/>
      <c r="M231" s="27">
        <f>SUM(J225:J231)</f>
        <v>41066</v>
      </c>
      <c r="N231" s="27"/>
      <c r="O231" s="27"/>
      <c r="V231" s="458"/>
      <c r="W231" s="458"/>
      <c r="X231" s="458"/>
    </row>
    <row r="232" spans="1:24" x14ac:dyDescent="0.25">
      <c r="A232" s="401">
        <v>454</v>
      </c>
      <c r="B232" s="402" t="s">
        <v>341</v>
      </c>
      <c r="C232" s="403">
        <v>85625</v>
      </c>
      <c r="D232" s="403">
        <v>128713</v>
      </c>
      <c r="E232" s="403">
        <v>135867</v>
      </c>
      <c r="F232" s="403">
        <v>92456</v>
      </c>
      <c r="G232" s="403">
        <v>154805</v>
      </c>
      <c r="H232" s="403">
        <v>492980</v>
      </c>
      <c r="I232" s="403">
        <v>489980</v>
      </c>
      <c r="J232" s="403">
        <f>575840</f>
        <v>575840</v>
      </c>
      <c r="K232" s="403"/>
      <c r="L232" s="403"/>
      <c r="M232" s="1"/>
    </row>
    <row r="233" spans="1:24" x14ac:dyDescent="0.25">
      <c r="A233" s="432">
        <v>454</v>
      </c>
      <c r="B233" s="433" t="s">
        <v>342</v>
      </c>
      <c r="C233" s="64"/>
      <c r="D233" s="64"/>
      <c r="E233" s="64"/>
      <c r="F233" s="64">
        <v>0</v>
      </c>
      <c r="G233" s="64">
        <v>65231</v>
      </c>
      <c r="H233" s="64">
        <v>0</v>
      </c>
      <c r="I233" s="64">
        <v>0</v>
      </c>
      <c r="J233" s="64">
        <f>160000-63500-3000</f>
        <v>93500</v>
      </c>
      <c r="K233" s="64"/>
      <c r="L233" s="64"/>
      <c r="M233" s="1"/>
    </row>
    <row r="234" spans="1:24" ht="15.75" thickBot="1" x14ac:dyDescent="0.3">
      <c r="A234" s="558">
        <v>454</v>
      </c>
      <c r="B234" s="559" t="s">
        <v>343</v>
      </c>
      <c r="C234" s="560"/>
      <c r="D234" s="560"/>
      <c r="E234" s="560"/>
      <c r="F234" s="560"/>
      <c r="G234" s="560"/>
      <c r="H234" s="560"/>
      <c r="I234" s="560"/>
      <c r="J234" s="560">
        <v>0</v>
      </c>
      <c r="K234" s="560"/>
      <c r="L234" s="560"/>
      <c r="M234" s="27">
        <f>SUM(J232:J234)</f>
        <v>669340</v>
      </c>
    </row>
    <row r="235" spans="1:24" x14ac:dyDescent="0.25">
      <c r="A235" s="401">
        <v>456</v>
      </c>
      <c r="B235" s="402" t="s">
        <v>344</v>
      </c>
      <c r="C235" s="403"/>
      <c r="D235" s="403">
        <v>62</v>
      </c>
      <c r="E235" s="403">
        <v>26</v>
      </c>
      <c r="F235" s="403">
        <v>28</v>
      </c>
      <c r="G235" s="403">
        <v>10</v>
      </c>
      <c r="H235" s="403">
        <v>100</v>
      </c>
      <c r="I235" s="403">
        <v>100</v>
      </c>
      <c r="J235" s="403">
        <v>100</v>
      </c>
      <c r="K235" s="403">
        <v>100</v>
      </c>
      <c r="L235" s="403">
        <v>100</v>
      </c>
      <c r="M235" s="1"/>
    </row>
    <row r="236" spans="1:24" x14ac:dyDescent="0.25">
      <c r="A236" s="556">
        <v>456</v>
      </c>
      <c r="B236" s="400" t="s">
        <v>308</v>
      </c>
      <c r="C236" s="557"/>
      <c r="D236" s="557">
        <v>0</v>
      </c>
      <c r="E236" s="557">
        <v>0</v>
      </c>
      <c r="F236" s="557">
        <v>0</v>
      </c>
      <c r="G236" s="557">
        <v>0</v>
      </c>
      <c r="H236" s="557">
        <v>0</v>
      </c>
      <c r="I236" s="557">
        <v>27000</v>
      </c>
      <c r="J236" s="557">
        <v>18000</v>
      </c>
      <c r="K236" s="557"/>
      <c r="L236" s="557"/>
      <c r="M236" s="1"/>
    </row>
    <row r="237" spans="1:24" ht="15.75" thickBot="1" x14ac:dyDescent="0.3">
      <c r="A237" s="320">
        <v>456</v>
      </c>
      <c r="B237" s="400" t="s">
        <v>309</v>
      </c>
      <c r="C237" s="322">
        <v>0</v>
      </c>
      <c r="D237" s="322">
        <v>0</v>
      </c>
      <c r="E237" s="322">
        <v>0</v>
      </c>
      <c r="F237" s="322">
        <v>0</v>
      </c>
      <c r="G237" s="322">
        <v>0</v>
      </c>
      <c r="H237" s="322">
        <v>0</v>
      </c>
      <c r="I237" s="322">
        <v>20</v>
      </c>
      <c r="J237" s="322">
        <v>40</v>
      </c>
      <c r="K237" s="322">
        <v>40</v>
      </c>
      <c r="L237" s="322">
        <v>40</v>
      </c>
      <c r="M237" s="27">
        <f>SUM(J235:J237)</f>
        <v>18140</v>
      </c>
      <c r="N237" s="458"/>
      <c r="O237" s="458"/>
      <c r="P237" s="458"/>
    </row>
    <row r="238" spans="1:24" x14ac:dyDescent="0.25">
      <c r="A238" s="401">
        <v>513</v>
      </c>
      <c r="B238" s="402" t="s">
        <v>197</v>
      </c>
      <c r="C238" s="403">
        <v>0</v>
      </c>
      <c r="D238" s="403"/>
      <c r="E238" s="403">
        <v>0</v>
      </c>
      <c r="F238" s="403">
        <v>0</v>
      </c>
      <c r="G238" s="403">
        <v>0</v>
      </c>
      <c r="H238" s="403">
        <v>0</v>
      </c>
      <c r="I238" s="403">
        <v>0</v>
      </c>
      <c r="J238" s="403"/>
      <c r="K238" s="403"/>
      <c r="L238" s="403"/>
      <c r="M238" s="27"/>
      <c r="N238" s="27"/>
      <c r="O238" s="27"/>
    </row>
    <row r="239" spans="1:24" ht="15.75" thickBot="1" x14ac:dyDescent="0.3">
      <c r="A239" s="320">
        <v>514</v>
      </c>
      <c r="B239" s="457" t="s">
        <v>226</v>
      </c>
      <c r="C239" s="322">
        <v>0</v>
      </c>
      <c r="D239" s="322"/>
      <c r="E239" s="322">
        <v>0</v>
      </c>
      <c r="F239" s="322">
        <v>64316</v>
      </c>
      <c r="G239" s="322">
        <v>0</v>
      </c>
      <c r="H239" s="322">
        <v>0</v>
      </c>
      <c r="I239" s="322">
        <v>0</v>
      </c>
      <c r="J239" s="322"/>
      <c r="K239" s="322"/>
      <c r="L239" s="322"/>
      <c r="M239" s="27"/>
    </row>
    <row r="240" spans="1:24" ht="15.75" thickBot="1" x14ac:dyDescent="0.3">
      <c r="A240" s="454">
        <v>453</v>
      </c>
      <c r="B240" s="455" t="s">
        <v>357</v>
      </c>
      <c r="C240" s="456">
        <v>0</v>
      </c>
      <c r="D240" s="456">
        <v>0</v>
      </c>
      <c r="E240" s="456">
        <v>0</v>
      </c>
      <c r="F240" s="456">
        <v>0</v>
      </c>
      <c r="G240" s="456">
        <v>8097</v>
      </c>
      <c r="H240" s="456">
        <v>0</v>
      </c>
      <c r="I240" s="456">
        <v>0</v>
      </c>
      <c r="J240" s="456">
        <v>0</v>
      </c>
      <c r="K240" s="456"/>
      <c r="L240" s="456">
        <v>0</v>
      </c>
      <c r="M240" s="27"/>
    </row>
    <row r="241" spans="1:13" ht="16.5" thickBot="1" x14ac:dyDescent="0.3">
      <c r="A241" s="441" t="s">
        <v>198</v>
      </c>
      <c r="B241" s="442"/>
      <c r="C241" s="443">
        <f>SUM(C242:C246)</f>
        <v>789</v>
      </c>
      <c r="D241" s="443">
        <f>SUM(D242:D246)</f>
        <v>879</v>
      </c>
      <c r="E241" s="443">
        <f t="shared" ref="E241:L241" si="125">SUM(E242:E246)</f>
        <v>882</v>
      </c>
      <c r="F241" s="443">
        <f t="shared" si="125"/>
        <v>916</v>
      </c>
      <c r="G241" s="443">
        <f t="shared" si="125"/>
        <v>940</v>
      </c>
      <c r="H241" s="443">
        <f t="shared" si="125"/>
        <v>1070</v>
      </c>
      <c r="I241" s="443">
        <f t="shared" si="125"/>
        <v>28090</v>
      </c>
      <c r="J241" s="443">
        <f t="shared" si="125"/>
        <v>19140</v>
      </c>
      <c r="K241" s="443">
        <f t="shared" si="125"/>
        <v>17260</v>
      </c>
      <c r="L241" s="443">
        <f t="shared" si="125"/>
        <v>17310</v>
      </c>
      <c r="M241" s="27"/>
    </row>
    <row r="242" spans="1:13" ht="15" customHeight="1" x14ac:dyDescent="0.25">
      <c r="A242" s="323">
        <v>819</v>
      </c>
      <c r="B242" s="324" t="s">
        <v>199</v>
      </c>
      <c r="C242" s="205">
        <v>0</v>
      </c>
      <c r="D242" s="205">
        <v>62</v>
      </c>
      <c r="E242" s="205">
        <v>26</v>
      </c>
      <c r="F242" s="205">
        <v>28</v>
      </c>
      <c r="G242" s="205">
        <v>10</v>
      </c>
      <c r="H242" s="205">
        <v>100</v>
      </c>
      <c r="I242" s="205">
        <v>100</v>
      </c>
      <c r="J242" s="205">
        <v>100</v>
      </c>
      <c r="K242" s="205">
        <v>100</v>
      </c>
      <c r="L242" s="205">
        <v>100</v>
      </c>
      <c r="M242" s="1"/>
    </row>
    <row r="243" spans="1:13" ht="15" customHeight="1" x14ac:dyDescent="0.25">
      <c r="A243" s="325">
        <v>819</v>
      </c>
      <c r="B243" s="326" t="s">
        <v>310</v>
      </c>
      <c r="C243" s="56"/>
      <c r="D243" s="56"/>
      <c r="E243" s="56"/>
      <c r="F243" s="56"/>
      <c r="G243" s="56">
        <v>6</v>
      </c>
      <c r="H243" s="56">
        <v>0</v>
      </c>
      <c r="I243" s="56">
        <v>20</v>
      </c>
      <c r="J243" s="56">
        <v>40</v>
      </c>
      <c r="K243" s="56">
        <v>40</v>
      </c>
      <c r="L243" s="56">
        <v>40</v>
      </c>
      <c r="M243" s="1"/>
    </row>
    <row r="244" spans="1:13" ht="15" customHeight="1" x14ac:dyDescent="0.25">
      <c r="A244" s="325">
        <v>819</v>
      </c>
      <c r="B244" s="527" t="s">
        <v>311</v>
      </c>
      <c r="C244" s="56"/>
      <c r="D244" s="56"/>
      <c r="E244" s="56"/>
      <c r="F244" s="56"/>
      <c r="G244" s="56"/>
      <c r="H244" s="56">
        <v>0</v>
      </c>
      <c r="I244" s="56">
        <v>27000</v>
      </c>
      <c r="J244" s="56">
        <v>18000</v>
      </c>
      <c r="K244" s="56"/>
      <c r="L244" s="56"/>
      <c r="M244" s="1"/>
    </row>
    <row r="245" spans="1:13" x14ac:dyDescent="0.25">
      <c r="A245" s="325">
        <v>821</v>
      </c>
      <c r="B245" s="326" t="s">
        <v>268</v>
      </c>
      <c r="C245" s="56">
        <v>0</v>
      </c>
      <c r="D245" s="56">
        <v>0</v>
      </c>
      <c r="E245" s="56">
        <v>0</v>
      </c>
      <c r="F245" s="56">
        <v>0</v>
      </c>
      <c r="G245" s="56">
        <v>0</v>
      </c>
      <c r="H245" s="56">
        <v>0</v>
      </c>
      <c r="I245" s="56">
        <v>0</v>
      </c>
      <c r="J245" s="56">
        <v>0</v>
      </c>
      <c r="K245" s="56">
        <v>16080</v>
      </c>
      <c r="L245" s="56">
        <v>16080</v>
      </c>
      <c r="M245" s="1"/>
    </row>
    <row r="246" spans="1:13" ht="15.75" thickBot="1" x14ac:dyDescent="0.3">
      <c r="A246" s="327">
        <v>821</v>
      </c>
      <c r="B246" s="328" t="s">
        <v>200</v>
      </c>
      <c r="C246" s="191">
        <v>789</v>
      </c>
      <c r="D246" s="191">
        <v>817</v>
      </c>
      <c r="E246" s="191">
        <v>856</v>
      </c>
      <c r="F246" s="191">
        <v>888</v>
      </c>
      <c r="G246" s="128">
        <v>924</v>
      </c>
      <c r="H246" s="128">
        <v>970</v>
      </c>
      <c r="I246" s="128">
        <v>970</v>
      </c>
      <c r="J246" s="128">
        <v>1000</v>
      </c>
      <c r="K246" s="128">
        <v>1040</v>
      </c>
      <c r="L246" s="128">
        <v>1090</v>
      </c>
      <c r="M246" s="1"/>
    </row>
    <row r="247" spans="1:13" x14ac:dyDescent="0.25">
      <c r="A247" s="314"/>
      <c r="B247" s="329"/>
      <c r="C247" s="329"/>
      <c r="D247" s="329"/>
      <c r="E247" s="161"/>
      <c r="F247" s="161"/>
      <c r="G247" s="161"/>
      <c r="H247" s="161"/>
      <c r="I247" s="161"/>
      <c r="J247" s="161"/>
      <c r="K247" s="161"/>
      <c r="L247" s="161"/>
      <c r="M247" s="161"/>
    </row>
    <row r="248" spans="1:13" ht="15.75" x14ac:dyDescent="0.25">
      <c r="A248" s="105"/>
      <c r="B248" s="312"/>
      <c r="C248" s="312"/>
      <c r="D248" s="312"/>
      <c r="E248" s="312"/>
      <c r="F248" s="312"/>
      <c r="G248" s="312"/>
      <c r="H248" s="312"/>
      <c r="I248" s="312"/>
      <c r="J248" s="312"/>
      <c r="K248" s="312"/>
      <c r="L248" s="312"/>
      <c r="M248" s="312"/>
    </row>
    <row r="249" spans="1:13" ht="18.75" thickBot="1" x14ac:dyDescent="0.3">
      <c r="A249" s="524" t="s">
        <v>201</v>
      </c>
      <c r="B249" s="525"/>
      <c r="C249" s="525"/>
      <c r="D249" s="525"/>
      <c r="E249" s="525"/>
      <c r="F249" s="525"/>
      <c r="G249" s="525"/>
      <c r="H249" s="525"/>
      <c r="I249" s="525"/>
      <c r="J249" s="525"/>
      <c r="K249" s="525"/>
      <c r="L249" s="525"/>
      <c r="M249" s="1"/>
    </row>
    <row r="250" spans="1:13" ht="32.25" customHeight="1" thickBot="1" x14ac:dyDescent="0.3">
      <c r="A250" s="864" t="s">
        <v>1</v>
      </c>
      <c r="B250" s="865"/>
      <c r="C250" s="414" t="s">
        <v>2</v>
      </c>
      <c r="D250" s="414" t="s">
        <v>3</v>
      </c>
      <c r="E250" s="414" t="s">
        <v>218</v>
      </c>
      <c r="F250" s="414" t="s">
        <v>244</v>
      </c>
      <c r="G250" s="555" t="s">
        <v>299</v>
      </c>
      <c r="H250" s="413" t="s">
        <v>297</v>
      </c>
      <c r="I250" s="413" t="s">
        <v>298</v>
      </c>
      <c r="J250" s="413" t="s">
        <v>300</v>
      </c>
      <c r="K250" s="413" t="s">
        <v>301</v>
      </c>
      <c r="L250" s="413" t="s">
        <v>302</v>
      </c>
      <c r="M250" s="1"/>
    </row>
    <row r="251" spans="1:13" ht="15.75" x14ac:dyDescent="0.25">
      <c r="A251" s="330" t="s">
        <v>202</v>
      </c>
      <c r="B251" s="29"/>
      <c r="C251" s="331">
        <f t="shared" ref="C251:J251" si="126">C92</f>
        <v>1786304</v>
      </c>
      <c r="D251" s="331">
        <f t="shared" si="126"/>
        <v>1923989</v>
      </c>
      <c r="E251" s="331">
        <f t="shared" si="126"/>
        <v>2174082</v>
      </c>
      <c r="F251" s="331">
        <f t="shared" si="126"/>
        <v>2242915</v>
      </c>
      <c r="G251" s="331">
        <f t="shared" si="126"/>
        <v>2341113</v>
      </c>
      <c r="H251" s="331">
        <f>H92</f>
        <v>2247848</v>
      </c>
      <c r="I251" s="331">
        <f t="shared" ref="I251" si="127">I92</f>
        <v>2385734</v>
      </c>
      <c r="J251" s="331">
        <f t="shared" si="126"/>
        <v>2548280</v>
      </c>
      <c r="K251" s="331">
        <f t="shared" ref="K251:L251" si="128">K92</f>
        <v>2627450</v>
      </c>
      <c r="L251" s="331">
        <f t="shared" si="128"/>
        <v>2616860</v>
      </c>
      <c r="M251" s="1"/>
    </row>
    <row r="252" spans="1:13" ht="15.75" x14ac:dyDescent="0.25">
      <c r="A252" s="332" t="s">
        <v>203</v>
      </c>
      <c r="B252" s="333"/>
      <c r="C252" s="334">
        <f t="shared" ref="C252:J252" si="129">C161</f>
        <v>1508309</v>
      </c>
      <c r="D252" s="334">
        <f t="shared" si="129"/>
        <v>1667910</v>
      </c>
      <c r="E252" s="334">
        <f t="shared" si="129"/>
        <v>1949005</v>
      </c>
      <c r="F252" s="334">
        <f t="shared" si="129"/>
        <v>1998056.4</v>
      </c>
      <c r="G252" s="334">
        <f t="shared" si="129"/>
        <v>2131546</v>
      </c>
      <c r="H252" s="334">
        <f t="shared" si="129"/>
        <v>2340678</v>
      </c>
      <c r="I252" s="334">
        <f t="shared" ref="I252" si="130">I161</f>
        <v>2481339</v>
      </c>
      <c r="J252" s="334">
        <f t="shared" si="129"/>
        <v>2680960</v>
      </c>
      <c r="K252" s="334">
        <f t="shared" ref="K252:L252" si="131">K161</f>
        <v>2611830</v>
      </c>
      <c r="L252" s="334">
        <f t="shared" si="131"/>
        <v>2601190</v>
      </c>
      <c r="M252" s="1"/>
    </row>
    <row r="253" spans="1:13" ht="15.75" x14ac:dyDescent="0.25">
      <c r="A253" s="872" t="s">
        <v>204</v>
      </c>
      <c r="B253" s="873"/>
      <c r="C253" s="335">
        <f t="shared" ref="C253:H253" si="132">C251-C252</f>
        <v>277995</v>
      </c>
      <c r="D253" s="335">
        <f t="shared" si="132"/>
        <v>256079</v>
      </c>
      <c r="E253" s="335">
        <f t="shared" si="132"/>
        <v>225077</v>
      </c>
      <c r="F253" s="335">
        <f t="shared" ref="F253" si="133">F251-F252</f>
        <v>244858.60000000009</v>
      </c>
      <c r="G253" s="335">
        <f t="shared" si="132"/>
        <v>209567</v>
      </c>
      <c r="H253" s="335">
        <f t="shared" si="132"/>
        <v>-92830</v>
      </c>
      <c r="I253" s="335">
        <f t="shared" ref="I253" si="134">I251-I252</f>
        <v>-95605</v>
      </c>
      <c r="J253" s="335">
        <f t="shared" ref="J253:L253" si="135">J251-J252</f>
        <v>-132680</v>
      </c>
      <c r="K253" s="335">
        <f t="shared" si="135"/>
        <v>15620</v>
      </c>
      <c r="L253" s="335">
        <f t="shared" si="135"/>
        <v>15670</v>
      </c>
      <c r="M253" s="1"/>
    </row>
    <row r="254" spans="1:13" ht="15.75" x14ac:dyDescent="0.25">
      <c r="A254" s="332" t="s">
        <v>205</v>
      </c>
      <c r="B254" s="18"/>
      <c r="C254" s="334">
        <f t="shared" ref="C254:J254" si="136">C166</f>
        <v>10502</v>
      </c>
      <c r="D254" s="334">
        <f t="shared" si="136"/>
        <v>60445</v>
      </c>
      <c r="E254" s="334">
        <f t="shared" si="136"/>
        <v>312996</v>
      </c>
      <c r="F254" s="334">
        <f t="shared" si="136"/>
        <v>118970</v>
      </c>
      <c r="G254" s="334">
        <f t="shared" si="136"/>
        <v>93063</v>
      </c>
      <c r="H254" s="334">
        <f t="shared" si="136"/>
        <v>774720</v>
      </c>
      <c r="I254" s="334">
        <f t="shared" ref="I254" si="137">I166</f>
        <v>784210</v>
      </c>
      <c r="J254" s="334">
        <f t="shared" si="136"/>
        <v>869220</v>
      </c>
      <c r="K254" s="334">
        <f t="shared" ref="K254:L254" si="138">K166</f>
        <v>0</v>
      </c>
      <c r="L254" s="334">
        <f t="shared" si="138"/>
        <v>0</v>
      </c>
      <c r="M254" s="1"/>
    </row>
    <row r="255" spans="1:13" ht="15.75" x14ac:dyDescent="0.25">
      <c r="A255" s="332" t="s">
        <v>206</v>
      </c>
      <c r="B255" s="18"/>
      <c r="C255" s="20">
        <f t="shared" ref="C255:J255" si="139">C181</f>
        <v>171050</v>
      </c>
      <c r="D255" s="20">
        <f t="shared" si="139"/>
        <v>199887</v>
      </c>
      <c r="E255" s="20">
        <f t="shared" si="139"/>
        <v>452163</v>
      </c>
      <c r="F255" s="20">
        <f t="shared" si="139"/>
        <v>211426</v>
      </c>
      <c r="G255" s="20">
        <f t="shared" si="139"/>
        <v>247102</v>
      </c>
      <c r="H255" s="20">
        <f t="shared" si="139"/>
        <v>1267700</v>
      </c>
      <c r="I255" s="20">
        <f t="shared" ref="I255" si="140">I181</f>
        <v>1275076</v>
      </c>
      <c r="J255" s="20">
        <f t="shared" si="139"/>
        <v>1445946</v>
      </c>
      <c r="K255" s="20">
        <f t="shared" ref="K255:L255" si="141">K181</f>
        <v>0</v>
      </c>
      <c r="L255" s="20">
        <f t="shared" si="141"/>
        <v>0</v>
      </c>
      <c r="M255" s="1"/>
    </row>
    <row r="256" spans="1:13" ht="15.75" x14ac:dyDescent="0.25">
      <c r="A256" s="872" t="s">
        <v>207</v>
      </c>
      <c r="B256" s="873"/>
      <c r="C256" s="335">
        <f t="shared" ref="C256:H256" si="142">C254-C255</f>
        <v>-160548</v>
      </c>
      <c r="D256" s="335">
        <f t="shared" si="142"/>
        <v>-139442</v>
      </c>
      <c r="E256" s="335">
        <f t="shared" si="142"/>
        <v>-139167</v>
      </c>
      <c r="F256" s="335">
        <f t="shared" ref="F256" si="143">F254-F255</f>
        <v>-92456</v>
      </c>
      <c r="G256" s="335">
        <f t="shared" si="142"/>
        <v>-154039</v>
      </c>
      <c r="H256" s="335">
        <f t="shared" si="142"/>
        <v>-492980</v>
      </c>
      <c r="I256" s="335">
        <f t="shared" ref="I256" si="144">I254-I255</f>
        <v>-490866</v>
      </c>
      <c r="J256" s="335">
        <f t="shared" ref="J256:L256" si="145">J254-J255</f>
        <v>-576726</v>
      </c>
      <c r="K256" s="335">
        <f t="shared" si="145"/>
        <v>0</v>
      </c>
      <c r="L256" s="335">
        <f t="shared" si="145"/>
        <v>0</v>
      </c>
      <c r="M256" s="1"/>
    </row>
    <row r="257" spans="1:13" ht="15.75" x14ac:dyDescent="0.25">
      <c r="A257" s="336" t="s">
        <v>208</v>
      </c>
      <c r="B257" s="337"/>
      <c r="C257" s="338">
        <f t="shared" ref="C257:J257" si="146">C224</f>
        <v>85625</v>
      </c>
      <c r="D257" s="338">
        <f t="shared" si="146"/>
        <v>129336</v>
      </c>
      <c r="E257" s="338">
        <f t="shared" si="146"/>
        <v>137207</v>
      </c>
      <c r="F257" s="338">
        <f t="shared" si="146"/>
        <v>174149</v>
      </c>
      <c r="G257" s="338">
        <f t="shared" si="146"/>
        <v>249113</v>
      </c>
      <c r="H257" s="338">
        <f t="shared" si="146"/>
        <v>586880</v>
      </c>
      <c r="I257" s="338">
        <f t="shared" ref="I257" si="147">I224</f>
        <v>614561</v>
      </c>
      <c r="J257" s="338">
        <f t="shared" si="146"/>
        <v>728546</v>
      </c>
      <c r="K257" s="338">
        <f t="shared" ref="K257:L257" si="148">K224</f>
        <v>1640</v>
      </c>
      <c r="L257" s="338">
        <f t="shared" si="148"/>
        <v>1640</v>
      </c>
      <c r="M257" s="1"/>
    </row>
    <row r="258" spans="1:13" ht="15.75" x14ac:dyDescent="0.25">
      <c r="A258" s="336" t="s">
        <v>209</v>
      </c>
      <c r="B258" s="337"/>
      <c r="C258" s="338">
        <f t="shared" ref="C258:J258" si="149">C241</f>
        <v>789</v>
      </c>
      <c r="D258" s="338">
        <f t="shared" si="149"/>
        <v>879</v>
      </c>
      <c r="E258" s="338">
        <f t="shared" si="149"/>
        <v>882</v>
      </c>
      <c r="F258" s="338">
        <f t="shared" si="149"/>
        <v>916</v>
      </c>
      <c r="G258" s="338">
        <f t="shared" si="149"/>
        <v>940</v>
      </c>
      <c r="H258" s="338">
        <f t="shared" si="149"/>
        <v>1070</v>
      </c>
      <c r="I258" s="338">
        <f t="shared" ref="I258" si="150">I241</f>
        <v>28090</v>
      </c>
      <c r="J258" s="338">
        <f t="shared" si="149"/>
        <v>19140</v>
      </c>
      <c r="K258" s="338">
        <f t="shared" ref="K258:L258" si="151">K241</f>
        <v>17260</v>
      </c>
      <c r="L258" s="338">
        <f t="shared" si="151"/>
        <v>17310</v>
      </c>
      <c r="M258" s="1"/>
    </row>
    <row r="259" spans="1:13" ht="16.5" thickBot="1" x14ac:dyDescent="0.3">
      <c r="A259" s="858" t="s">
        <v>210</v>
      </c>
      <c r="B259" s="859"/>
      <c r="C259" s="339">
        <f t="shared" ref="C259:H259" si="152">C257-C258</f>
        <v>84836</v>
      </c>
      <c r="D259" s="339">
        <f t="shared" si="152"/>
        <v>128457</v>
      </c>
      <c r="E259" s="339">
        <f t="shared" si="152"/>
        <v>136325</v>
      </c>
      <c r="F259" s="339">
        <f t="shared" ref="F259" si="153">F257-F258</f>
        <v>173233</v>
      </c>
      <c r="G259" s="339">
        <f t="shared" si="152"/>
        <v>248173</v>
      </c>
      <c r="H259" s="339">
        <f t="shared" si="152"/>
        <v>585810</v>
      </c>
      <c r="I259" s="339">
        <f t="shared" ref="I259" si="154">I257-I258</f>
        <v>586471</v>
      </c>
      <c r="J259" s="339">
        <f t="shared" ref="J259:L259" si="155">J257-J258</f>
        <v>709406</v>
      </c>
      <c r="K259" s="339">
        <f t="shared" si="155"/>
        <v>-15620</v>
      </c>
      <c r="L259" s="339">
        <f t="shared" si="155"/>
        <v>-15670</v>
      </c>
      <c r="M259" s="1"/>
    </row>
    <row r="260" spans="1:13" ht="16.5" thickBot="1" x14ac:dyDescent="0.3">
      <c r="A260" s="340" t="s">
        <v>211</v>
      </c>
      <c r="B260" s="341"/>
      <c r="C260" s="342">
        <f t="shared" ref="C260:H260" si="156">C253+C256+C259</f>
        <v>202283</v>
      </c>
      <c r="D260" s="342">
        <f t="shared" si="156"/>
        <v>245094</v>
      </c>
      <c r="E260" s="342">
        <f t="shared" si="156"/>
        <v>222235</v>
      </c>
      <c r="F260" s="342">
        <f t="shared" ref="F260" si="157">F253+F256+F259</f>
        <v>325635.60000000009</v>
      </c>
      <c r="G260" s="342">
        <f t="shared" si="156"/>
        <v>303701</v>
      </c>
      <c r="H260" s="342">
        <f t="shared" si="156"/>
        <v>0</v>
      </c>
      <c r="I260" s="342">
        <f t="shared" ref="I260" si="158">I253+I256+I259</f>
        <v>0</v>
      </c>
      <c r="J260" s="342">
        <f t="shared" ref="J260:L260" si="159">J253+J256+J259</f>
        <v>0</v>
      </c>
      <c r="K260" s="342">
        <f t="shared" si="159"/>
        <v>0</v>
      </c>
      <c r="L260" s="342">
        <f t="shared" si="159"/>
        <v>0</v>
      </c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343" t="s">
        <v>212</v>
      </c>
      <c r="C262" s="27">
        <f t="shared" ref="C262:H263" si="160">C251+C254+C257</f>
        <v>1882431</v>
      </c>
      <c r="D262" s="27">
        <f t="shared" si="160"/>
        <v>2113770</v>
      </c>
      <c r="E262" s="27">
        <f t="shared" si="160"/>
        <v>2624285</v>
      </c>
      <c r="F262" s="27">
        <f t="shared" ref="F262" si="161">F251+F254+F257</f>
        <v>2536034</v>
      </c>
      <c r="G262" s="27">
        <f t="shared" si="160"/>
        <v>2683289</v>
      </c>
      <c r="H262" s="27">
        <f t="shared" si="160"/>
        <v>3609448</v>
      </c>
      <c r="I262" s="27">
        <f t="shared" ref="I262" si="162">I251+I254+I257</f>
        <v>3784505</v>
      </c>
      <c r="J262" s="27">
        <f t="shared" ref="J262" si="163">J251+J254+J257</f>
        <v>4146046</v>
      </c>
      <c r="K262" s="27">
        <f t="shared" ref="K262:L262" si="164">K251+K254+K257</f>
        <v>2629090</v>
      </c>
      <c r="L262" s="27">
        <f t="shared" si="164"/>
        <v>2618500</v>
      </c>
      <c r="M262" s="1"/>
    </row>
    <row r="263" spans="1:13" x14ac:dyDescent="0.25">
      <c r="A263" s="1"/>
      <c r="B263" s="343" t="s">
        <v>213</v>
      </c>
      <c r="C263" s="27">
        <f t="shared" si="160"/>
        <v>1680148</v>
      </c>
      <c r="D263" s="27">
        <f t="shared" si="160"/>
        <v>1868676</v>
      </c>
      <c r="E263" s="27">
        <f t="shared" si="160"/>
        <v>2402050</v>
      </c>
      <c r="F263" s="27">
        <f t="shared" ref="F263" si="165">F252+F255+F258</f>
        <v>2210398.4</v>
      </c>
      <c r="G263" s="27">
        <f t="shared" si="160"/>
        <v>2379588</v>
      </c>
      <c r="H263" s="27">
        <f t="shared" si="160"/>
        <v>3609448</v>
      </c>
      <c r="I263" s="27">
        <f t="shared" ref="I263" si="166">I252+I255+I258</f>
        <v>3784505</v>
      </c>
      <c r="J263" s="27">
        <f t="shared" ref="J263" si="167">J252+J255+J258</f>
        <v>4146046</v>
      </c>
      <c r="K263" s="27">
        <f t="shared" ref="K263:L263" si="168">K252+K255+K258</f>
        <v>2629090</v>
      </c>
      <c r="L263" s="27">
        <f t="shared" si="168"/>
        <v>2618500</v>
      </c>
      <c r="M263" s="1"/>
    </row>
    <row r="264" spans="1:13" x14ac:dyDescent="0.25">
      <c r="A264" s="1"/>
      <c r="B264" s="343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1"/>
    </row>
    <row r="265" spans="1:13" x14ac:dyDescent="0.25">
      <c r="A265" s="1"/>
      <c r="B265" s="343" t="s">
        <v>214</v>
      </c>
      <c r="C265" s="27">
        <f>C262-C91</f>
        <v>1870755</v>
      </c>
      <c r="D265" s="27">
        <f>D262-D91</f>
        <v>2094633</v>
      </c>
      <c r="E265" s="27">
        <f>E262-E91</f>
        <v>2553314</v>
      </c>
      <c r="F265" s="27">
        <f>F262-F91</f>
        <v>2494555</v>
      </c>
      <c r="G265" s="27">
        <f>G262-G91-G240</f>
        <v>2624587</v>
      </c>
      <c r="H265" s="27">
        <f>H262-H91-H240</f>
        <v>3593528</v>
      </c>
      <c r="I265" s="27">
        <f t="shared" ref="I265" si="169">I262-I91-I240</f>
        <v>3766501</v>
      </c>
      <c r="J265" s="27">
        <f t="shared" ref="J265" si="170">J262-J91-J240</f>
        <v>4130016</v>
      </c>
      <c r="K265" s="27">
        <f t="shared" ref="K265:L265" si="171">K262-K91-K240</f>
        <v>2612520</v>
      </c>
      <c r="L265" s="27">
        <f t="shared" si="171"/>
        <v>2601930</v>
      </c>
      <c r="M265" s="1"/>
    </row>
    <row r="266" spans="1:13" x14ac:dyDescent="0.25">
      <c r="A266" s="1"/>
      <c r="B266" s="343" t="s">
        <v>215</v>
      </c>
      <c r="C266" s="27">
        <f t="shared" ref="C266:G266" si="172">C263-C160</f>
        <v>1147258</v>
      </c>
      <c r="D266" s="27">
        <f t="shared" si="172"/>
        <v>1188127</v>
      </c>
      <c r="E266" s="27">
        <f t="shared" si="172"/>
        <v>1615255</v>
      </c>
      <c r="F266" s="27">
        <f t="shared" si="172"/>
        <v>1338080.3999999999</v>
      </c>
      <c r="G266" s="27">
        <f t="shared" si="172"/>
        <v>1503497</v>
      </c>
      <c r="H266" s="27">
        <f t="shared" ref="H266:J266" si="173">H263-H160</f>
        <v>2773338</v>
      </c>
      <c r="I266" s="27">
        <f t="shared" ref="I266" si="174">I263-I160</f>
        <v>2880702</v>
      </c>
      <c r="J266" s="27">
        <f t="shared" si="173"/>
        <v>3231446</v>
      </c>
      <c r="K266" s="27">
        <f t="shared" ref="K266:L266" si="175">K263-K160</f>
        <v>1721750</v>
      </c>
      <c r="L266" s="27">
        <f t="shared" si="175"/>
        <v>1711160</v>
      </c>
      <c r="M266" s="1"/>
    </row>
    <row r="267" spans="1:13" x14ac:dyDescent="0.25">
      <c r="A267" s="1"/>
      <c r="B267" s="343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1"/>
    </row>
    <row r="268" spans="1:13" x14ac:dyDescent="0.25">
      <c r="A268" s="1"/>
      <c r="B268" s="528" t="s">
        <v>312</v>
      </c>
      <c r="C268" s="529">
        <f t="shared" ref="C268:C269" si="176">C261-C264</f>
        <v>0</v>
      </c>
      <c r="D268" s="529">
        <f t="shared" ref="D268:D269" si="177">D262-D265</f>
        <v>19137</v>
      </c>
      <c r="E268" s="529">
        <f t="shared" ref="E268:L268" si="178">E262-E265</f>
        <v>70971</v>
      </c>
      <c r="F268" s="529">
        <f t="shared" si="178"/>
        <v>41479</v>
      </c>
      <c r="G268" s="529">
        <f t="shared" si="178"/>
        <v>58702</v>
      </c>
      <c r="H268" s="529">
        <f t="shared" si="178"/>
        <v>15920</v>
      </c>
      <c r="I268" s="529">
        <f t="shared" si="178"/>
        <v>18004</v>
      </c>
      <c r="J268" s="529">
        <f t="shared" si="178"/>
        <v>16030</v>
      </c>
      <c r="K268" s="529">
        <f t="shared" si="178"/>
        <v>16570</v>
      </c>
      <c r="L268" s="529">
        <f t="shared" si="178"/>
        <v>16570</v>
      </c>
      <c r="M268" s="1"/>
    </row>
    <row r="269" spans="1:13" x14ac:dyDescent="0.25">
      <c r="A269" s="104"/>
      <c r="B269" s="530" t="s">
        <v>313</v>
      </c>
      <c r="C269" s="531">
        <f t="shared" si="176"/>
        <v>11676</v>
      </c>
      <c r="D269" s="531">
        <f t="shared" si="177"/>
        <v>680549</v>
      </c>
      <c r="E269" s="531">
        <f t="shared" ref="E269:L269" si="179">E263-E266</f>
        <v>786795</v>
      </c>
      <c r="F269" s="531">
        <f t="shared" si="179"/>
        <v>872318</v>
      </c>
      <c r="G269" s="531">
        <f t="shared" si="179"/>
        <v>876091</v>
      </c>
      <c r="H269" s="531">
        <f t="shared" si="179"/>
        <v>836110</v>
      </c>
      <c r="I269" s="531">
        <f t="shared" si="179"/>
        <v>903803</v>
      </c>
      <c r="J269" s="531">
        <f t="shared" si="179"/>
        <v>914600</v>
      </c>
      <c r="K269" s="531">
        <f t="shared" si="179"/>
        <v>907340</v>
      </c>
      <c r="L269" s="531">
        <f t="shared" si="179"/>
        <v>907340</v>
      </c>
      <c r="M269" s="1"/>
    </row>
    <row r="270" spans="1:13" x14ac:dyDescent="0.25">
      <c r="A270" s="1"/>
      <c r="B270" s="1"/>
      <c r="C270" s="531">
        <f>C269-C268+C259</f>
        <v>96512</v>
      </c>
      <c r="D270" s="531">
        <f>D269-D268+D260</f>
        <v>906506</v>
      </c>
      <c r="E270" s="531">
        <f t="shared" ref="E270:L270" si="180">E269-E268+E260</f>
        <v>938059</v>
      </c>
      <c r="F270" s="531">
        <f t="shared" si="180"/>
        <v>1156474.6000000001</v>
      </c>
      <c r="G270" s="531">
        <f t="shared" si="180"/>
        <v>1121090</v>
      </c>
      <c r="H270" s="531">
        <f t="shared" si="180"/>
        <v>820190</v>
      </c>
      <c r="I270" s="531">
        <f t="shared" si="180"/>
        <v>885799</v>
      </c>
      <c r="J270" s="531">
        <f t="shared" si="180"/>
        <v>898570</v>
      </c>
      <c r="K270" s="531">
        <f t="shared" si="180"/>
        <v>890770</v>
      </c>
      <c r="L270" s="531">
        <f t="shared" si="180"/>
        <v>890770</v>
      </c>
      <c r="M270" s="1"/>
    </row>
    <row r="271" spans="1:13" x14ac:dyDescent="0.25">
      <c r="A271" s="1"/>
      <c r="B271" s="345" t="s">
        <v>216</v>
      </c>
      <c r="C271" s="345"/>
      <c r="D271" s="345"/>
      <c r="E271" s="345"/>
      <c r="F271" s="345"/>
      <c r="G271" s="345"/>
      <c r="H271" s="345"/>
      <c r="I271" s="345"/>
      <c r="J271" s="554"/>
      <c r="K271" s="345"/>
      <c r="L271" s="345"/>
      <c r="M271" s="1"/>
    </row>
    <row r="272" spans="1:13" x14ac:dyDescent="0.25">
      <c r="A272" s="1"/>
      <c r="B272" s="345" t="s">
        <v>217</v>
      </c>
      <c r="C272" s="345"/>
      <c r="D272" s="345"/>
      <c r="E272" s="345"/>
      <c r="F272" s="345"/>
      <c r="G272" s="345"/>
      <c r="H272" s="345"/>
      <c r="I272" s="345"/>
      <c r="J272" s="345"/>
      <c r="K272" s="345"/>
      <c r="L272" s="345"/>
      <c r="M272" s="1"/>
    </row>
    <row r="273" spans="1:13" x14ac:dyDescent="0.25">
      <c r="A273" s="1"/>
      <c r="B273" s="345"/>
      <c r="C273" s="345"/>
      <c r="D273" s="345"/>
      <c r="E273" s="345"/>
      <c r="F273" s="345"/>
      <c r="G273" s="345"/>
      <c r="H273" s="345"/>
      <c r="I273" s="345"/>
      <c r="J273" s="345"/>
      <c r="K273" s="345"/>
      <c r="L273" s="345"/>
      <c r="M273" s="1"/>
    </row>
    <row r="274" spans="1:13" x14ac:dyDescent="0.25">
      <c r="A274" s="1"/>
      <c r="B274" s="345"/>
      <c r="C274" s="345"/>
      <c r="D274" s="345"/>
      <c r="E274" s="345"/>
      <c r="F274" s="345"/>
      <c r="G274" s="345"/>
      <c r="H274" s="345"/>
      <c r="I274" s="345"/>
      <c r="J274" s="345"/>
      <c r="K274" s="345"/>
      <c r="L274" s="345"/>
      <c r="M274" s="1"/>
    </row>
    <row r="275" spans="1:13" x14ac:dyDescent="0.25">
      <c r="A275" s="1"/>
      <c r="C275" s="345"/>
      <c r="D275" s="345"/>
      <c r="E275" s="345"/>
      <c r="F275" s="345"/>
      <c r="G275" s="345"/>
      <c r="H275" s="345"/>
      <c r="I275" s="345"/>
      <c r="J275" s="345"/>
      <c r="K275" s="345"/>
      <c r="L275" s="345"/>
      <c r="M275" s="1"/>
    </row>
    <row r="276" spans="1:13" x14ac:dyDescent="0.25">
      <c r="A276" s="1"/>
      <c r="B276" s="346" t="s">
        <v>334</v>
      </c>
      <c r="C276" s="346"/>
      <c r="D276" s="346"/>
      <c r="E276" s="345"/>
      <c r="F276" s="345"/>
      <c r="G276" s="410"/>
      <c r="H276" s="345"/>
      <c r="I276" s="345"/>
      <c r="J276" s="345"/>
      <c r="K276" s="345"/>
      <c r="L276" s="345"/>
      <c r="M276" s="1"/>
    </row>
    <row r="277" spans="1:13" x14ac:dyDescent="0.25">
      <c r="A277" s="1"/>
      <c r="C277" s="346"/>
      <c r="D277" s="346"/>
      <c r="E277" s="345"/>
      <c r="F277" s="345"/>
      <c r="G277" s="345"/>
      <c r="H277" s="345"/>
      <c r="I277" s="345"/>
      <c r="J277" s="345"/>
      <c r="K277" s="345"/>
      <c r="L277" s="345"/>
      <c r="M277" s="1"/>
    </row>
    <row r="278" spans="1:13" x14ac:dyDescent="0.25">
      <c r="A278" s="1"/>
      <c r="B278" s="345" t="s">
        <v>348</v>
      </c>
      <c r="C278" s="346"/>
      <c r="D278" s="346"/>
      <c r="E278" s="345"/>
      <c r="F278" s="345"/>
      <c r="G278" s="345"/>
      <c r="H278" s="345"/>
      <c r="I278" s="345"/>
      <c r="J278" s="345"/>
      <c r="K278" s="345"/>
      <c r="L278" s="345"/>
      <c r="M278" s="1"/>
    </row>
    <row r="279" spans="1:13" x14ac:dyDescent="0.25">
      <c r="A279" s="1"/>
      <c r="B279" s="345" t="s">
        <v>358</v>
      </c>
      <c r="C279" s="346"/>
      <c r="D279" s="346"/>
      <c r="E279" s="345"/>
      <c r="F279" s="345"/>
      <c r="G279" s="345"/>
      <c r="H279" s="345"/>
      <c r="I279" s="345"/>
      <c r="J279" s="345"/>
      <c r="K279" s="345"/>
      <c r="L279" s="345"/>
      <c r="M279" s="1"/>
    </row>
    <row r="280" spans="1:13" x14ac:dyDescent="0.25">
      <c r="A280" s="1"/>
      <c r="B280" s="345"/>
      <c r="C280" s="345"/>
      <c r="D280" s="345"/>
      <c r="E280" s="345"/>
      <c r="F280" s="345"/>
      <c r="G280" s="345"/>
      <c r="H280" s="345"/>
      <c r="I280" s="345"/>
      <c r="J280" s="345"/>
      <c r="K280" s="345"/>
      <c r="L280" s="345"/>
      <c r="M280" s="1"/>
    </row>
    <row r="281" spans="1:13" x14ac:dyDescent="0.25">
      <c r="A281" s="1"/>
      <c r="B281" s="347" t="s">
        <v>315</v>
      </c>
      <c r="C281" s="347"/>
      <c r="D281" s="347"/>
      <c r="E281" s="345"/>
      <c r="F281" s="345"/>
      <c r="G281" s="345"/>
      <c r="H281" s="345"/>
      <c r="I281" s="345"/>
      <c r="J281" s="345"/>
      <c r="K281" s="345"/>
      <c r="L281" s="345"/>
      <c r="M281" s="1"/>
    </row>
    <row r="282" spans="1:13" x14ac:dyDescent="0.25">
      <c r="A282" s="1"/>
      <c r="B282" s="347" t="s">
        <v>316</v>
      </c>
      <c r="C282" s="347"/>
      <c r="D282" s="347"/>
      <c r="E282" s="345"/>
      <c r="F282" s="345"/>
      <c r="G282" s="345"/>
      <c r="H282" s="345"/>
      <c r="I282" s="345"/>
      <c r="J282" s="345"/>
      <c r="K282" s="345"/>
      <c r="L282" s="345"/>
      <c r="M282" s="1"/>
    </row>
    <row r="283" spans="1:13" x14ac:dyDescent="0.25">
      <c r="A283" s="1"/>
      <c r="B283" s="347"/>
      <c r="C283" s="347"/>
      <c r="D283" s="347"/>
      <c r="E283" s="345"/>
      <c r="F283" s="345"/>
      <c r="G283" s="345"/>
      <c r="H283" s="345"/>
      <c r="I283" s="345"/>
      <c r="J283" s="345"/>
      <c r="K283" s="345"/>
      <c r="L283" s="345"/>
      <c r="M283" s="1"/>
    </row>
    <row r="284" spans="1:13" x14ac:dyDescent="0.25">
      <c r="A284" s="1"/>
      <c r="B284" s="345" t="s">
        <v>317</v>
      </c>
      <c r="C284" s="345"/>
      <c r="D284" s="345"/>
      <c r="E284" s="345"/>
      <c r="F284" s="345"/>
      <c r="G284" s="345"/>
      <c r="H284" s="345"/>
      <c r="I284" s="345"/>
      <c r="J284" s="345"/>
      <c r="K284" s="345"/>
      <c r="L284" s="345"/>
      <c r="M284" s="1"/>
    </row>
    <row r="285" spans="1:13" x14ac:dyDescent="0.25">
      <c r="A285" s="1"/>
      <c r="B285" s="344"/>
      <c r="C285" s="344"/>
      <c r="D285" s="344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344"/>
      <c r="C286" s="344"/>
      <c r="D286" s="344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344"/>
      <c r="C287" s="344"/>
      <c r="D287" s="344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344"/>
      <c r="C288" s="344"/>
      <c r="D288" s="344"/>
      <c r="E288" s="1"/>
      <c r="F288" s="1"/>
      <c r="G288" s="1"/>
      <c r="H288" s="1"/>
      <c r="I288" s="1"/>
      <c r="J288" s="1"/>
      <c r="K288" s="1"/>
      <c r="L288" s="1"/>
      <c r="M288" s="1"/>
    </row>
  </sheetData>
  <mergeCells count="21">
    <mergeCell ref="A2:B2"/>
    <mergeCell ref="A1:L1"/>
    <mergeCell ref="A3:B3"/>
    <mergeCell ref="A11:B11"/>
    <mergeCell ref="A87:B87"/>
    <mergeCell ref="A253:B253"/>
    <mergeCell ref="A256:B256"/>
    <mergeCell ref="A259:B259"/>
    <mergeCell ref="A166:B166"/>
    <mergeCell ref="A181:B181"/>
    <mergeCell ref="A96:B96"/>
    <mergeCell ref="A165:B165"/>
    <mergeCell ref="A223:B223"/>
    <mergeCell ref="A250:B250"/>
    <mergeCell ref="A90:B90"/>
    <mergeCell ref="A160:B160"/>
    <mergeCell ref="A112:B112"/>
    <mergeCell ref="A155:B155"/>
    <mergeCell ref="A159:B159"/>
    <mergeCell ref="A95:L95"/>
    <mergeCell ref="A91:B9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&amp;CViacročný rozpočet
na roky 2023-2025
NÁVRH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zoomScale="130" zoomScaleNormal="130" workbookViewId="0">
      <selection sqref="A1:E1"/>
    </sheetView>
  </sheetViews>
  <sheetFormatPr defaultRowHeight="15" x14ac:dyDescent="0.25"/>
  <cols>
    <col min="1" max="1" width="14.28515625" customWidth="1"/>
    <col min="2" max="2" width="10.5703125" customWidth="1"/>
    <col min="4" max="4" width="9.85546875" customWidth="1"/>
    <col min="5" max="5" width="17.140625" customWidth="1"/>
    <col min="9" max="9" width="10.5703125" customWidth="1"/>
    <col min="12" max="12" width="12.7109375" customWidth="1"/>
    <col min="16" max="16" width="11.28515625" customWidth="1"/>
    <col min="19" max="19" width="13.140625" customWidth="1"/>
  </cols>
  <sheetData>
    <row r="1" spans="1:20" x14ac:dyDescent="0.25">
      <c r="A1" s="901" t="s">
        <v>349</v>
      </c>
      <c r="B1" s="901"/>
      <c r="C1" s="901"/>
      <c r="D1" s="901"/>
      <c r="E1" s="901"/>
      <c r="H1" s="901" t="s">
        <v>373</v>
      </c>
      <c r="I1" s="901"/>
      <c r="J1" s="901"/>
      <c r="K1" s="901"/>
      <c r="L1" s="901"/>
      <c r="O1" s="901" t="s">
        <v>374</v>
      </c>
      <c r="P1" s="901"/>
      <c r="Q1" s="901"/>
      <c r="R1" s="901"/>
      <c r="S1" s="901"/>
    </row>
    <row r="2" spans="1:20" ht="15.75" thickBot="1" x14ac:dyDescent="0.3"/>
    <row r="3" spans="1:20" ht="15.75" thickBot="1" x14ac:dyDescent="0.3">
      <c r="A3" s="564" t="s">
        <v>350</v>
      </c>
      <c r="B3" s="565" t="s">
        <v>351</v>
      </c>
      <c r="C3" s="565" t="s">
        <v>352</v>
      </c>
      <c r="D3" s="566" t="s">
        <v>353</v>
      </c>
      <c r="E3" s="567" t="s">
        <v>354</v>
      </c>
      <c r="H3" s="564" t="s">
        <v>350</v>
      </c>
      <c r="I3" s="565" t="s">
        <v>351</v>
      </c>
      <c r="J3" s="565" t="s">
        <v>352</v>
      </c>
      <c r="K3" s="566" t="s">
        <v>353</v>
      </c>
      <c r="L3" s="567" t="s">
        <v>354</v>
      </c>
      <c r="O3" s="564" t="s">
        <v>350</v>
      </c>
      <c r="P3" s="565" t="s">
        <v>351</v>
      </c>
      <c r="Q3" s="565" t="s">
        <v>352</v>
      </c>
      <c r="R3" s="566" t="s">
        <v>353</v>
      </c>
      <c r="S3" s="567" t="s">
        <v>354</v>
      </c>
    </row>
    <row r="4" spans="1:20" x14ac:dyDescent="0.25">
      <c r="A4" s="568">
        <v>100</v>
      </c>
      <c r="B4" s="569">
        <v>1452500</v>
      </c>
      <c r="C4" s="569"/>
      <c r="D4" s="570"/>
      <c r="E4" s="571">
        <f>SUM(B4:D4)</f>
        <v>1452500</v>
      </c>
      <c r="H4" s="568">
        <v>100</v>
      </c>
      <c r="I4" s="569">
        <v>1508700</v>
      </c>
      <c r="J4" s="569"/>
      <c r="K4" s="570"/>
      <c r="L4" s="571">
        <f>SUM(I4:K4)</f>
        <v>1508700</v>
      </c>
      <c r="O4" s="568">
        <v>100</v>
      </c>
      <c r="P4" s="569">
        <v>1510100</v>
      </c>
      <c r="Q4" s="569"/>
      <c r="R4" s="570"/>
      <c r="S4" s="571">
        <f>SUM(P4:R4)</f>
        <v>1510100</v>
      </c>
    </row>
    <row r="5" spans="1:20" x14ac:dyDescent="0.25">
      <c r="A5" s="572">
        <v>200</v>
      </c>
      <c r="B5" s="573">
        <v>322840</v>
      </c>
      <c r="C5" s="573">
        <v>5050</v>
      </c>
      <c r="D5" s="574">
        <v>10980</v>
      </c>
      <c r="E5" s="571">
        <f t="shared" ref="E5:E8" si="0">SUM(B5:D5)</f>
        <v>338870</v>
      </c>
      <c r="H5" s="572">
        <v>200</v>
      </c>
      <c r="I5" s="573">
        <v>317890</v>
      </c>
      <c r="J5" s="573">
        <v>5050</v>
      </c>
      <c r="K5" s="574">
        <v>11520</v>
      </c>
      <c r="L5" s="571">
        <f t="shared" ref="L5:L8" si="1">SUM(I5:K5)</f>
        <v>334460</v>
      </c>
      <c r="O5" s="572">
        <v>200</v>
      </c>
      <c r="P5" s="573">
        <v>317900</v>
      </c>
      <c r="Q5" s="573">
        <v>5050</v>
      </c>
      <c r="R5" s="574">
        <v>11520</v>
      </c>
      <c r="S5" s="571">
        <f t="shared" ref="S5:S8" si="2">SUM(P5:R5)</f>
        <v>334470</v>
      </c>
    </row>
    <row r="6" spans="1:20" x14ac:dyDescent="0.25">
      <c r="A6" s="572">
        <v>300</v>
      </c>
      <c r="B6" s="573">
        <v>1626130</v>
      </c>
      <c r="C6" s="573">
        <v>0</v>
      </c>
      <c r="D6" s="574"/>
      <c r="E6" s="571">
        <f t="shared" si="0"/>
        <v>1626130</v>
      </c>
      <c r="H6" s="572">
        <v>300</v>
      </c>
      <c r="I6" s="573">
        <v>784290</v>
      </c>
      <c r="J6" s="573">
        <v>0</v>
      </c>
      <c r="K6" s="574"/>
      <c r="L6" s="571">
        <f t="shared" si="1"/>
        <v>784290</v>
      </c>
      <c r="O6" s="572">
        <v>300</v>
      </c>
      <c r="P6" s="573">
        <v>772290</v>
      </c>
      <c r="Q6" s="573">
        <v>0</v>
      </c>
      <c r="R6" s="574"/>
      <c r="S6" s="571">
        <f t="shared" si="2"/>
        <v>772290</v>
      </c>
    </row>
    <row r="7" spans="1:20" x14ac:dyDescent="0.25">
      <c r="A7" s="572">
        <v>400</v>
      </c>
      <c r="B7" s="573">
        <f>710546+18000</f>
        <v>728546</v>
      </c>
      <c r="C7" s="573"/>
      <c r="D7" s="574"/>
      <c r="E7" s="571">
        <f t="shared" si="0"/>
        <v>728546</v>
      </c>
      <c r="H7" s="572">
        <v>400</v>
      </c>
      <c r="I7" s="573">
        <v>1640</v>
      </c>
      <c r="J7" s="573"/>
      <c r="K7" s="574"/>
      <c r="L7" s="571">
        <f t="shared" si="1"/>
        <v>1640</v>
      </c>
      <c r="O7" s="572">
        <v>400</v>
      </c>
      <c r="P7" s="573">
        <v>1640</v>
      </c>
      <c r="Q7" s="573"/>
      <c r="R7" s="574"/>
      <c r="S7" s="571">
        <f t="shared" si="2"/>
        <v>1640</v>
      </c>
    </row>
    <row r="8" spans="1:20" ht="15.75" thickBot="1" x14ac:dyDescent="0.3">
      <c r="A8" s="575">
        <v>500</v>
      </c>
      <c r="B8" s="576">
        <v>0</v>
      </c>
      <c r="C8" s="576"/>
      <c r="D8" s="577"/>
      <c r="E8" s="571">
        <f t="shared" si="0"/>
        <v>0</v>
      </c>
      <c r="F8" s="578"/>
      <c r="H8" s="575">
        <v>500</v>
      </c>
      <c r="I8" s="576">
        <v>0</v>
      </c>
      <c r="J8" s="576"/>
      <c r="K8" s="577"/>
      <c r="L8" s="571">
        <f t="shared" si="1"/>
        <v>0</v>
      </c>
      <c r="M8" s="578"/>
      <c r="O8" s="575">
        <v>500</v>
      </c>
      <c r="P8" s="576">
        <v>0</v>
      </c>
      <c r="Q8" s="576"/>
      <c r="R8" s="577"/>
      <c r="S8" s="571">
        <f t="shared" si="2"/>
        <v>0</v>
      </c>
      <c r="T8" s="578"/>
    </row>
    <row r="9" spans="1:20" ht="15.75" thickBot="1" x14ac:dyDescent="0.3">
      <c r="A9" s="564" t="s">
        <v>355</v>
      </c>
      <c r="B9" s="579">
        <f>SUM(B4:B8)</f>
        <v>4130016</v>
      </c>
      <c r="C9" s="579">
        <f t="shared" ref="C9:D9" si="3">SUM(C4:C8)</f>
        <v>5050</v>
      </c>
      <c r="D9" s="580">
        <f t="shared" si="3"/>
        <v>10980</v>
      </c>
      <c r="E9" s="581">
        <f>SUM(B9:D9)</f>
        <v>4146046</v>
      </c>
      <c r="F9" s="578">
        <f>SUM(E4:E8)</f>
        <v>4146046</v>
      </c>
      <c r="H9" s="564" t="s">
        <v>355</v>
      </c>
      <c r="I9" s="579">
        <f>SUM(I4:I8)</f>
        <v>2612520</v>
      </c>
      <c r="J9" s="579">
        <f t="shared" ref="J9:K9" si="4">SUM(J4:J8)</f>
        <v>5050</v>
      </c>
      <c r="K9" s="580">
        <f t="shared" si="4"/>
        <v>11520</v>
      </c>
      <c r="L9" s="581">
        <f>SUM(I9:K9)</f>
        <v>2629090</v>
      </c>
      <c r="M9" s="578">
        <f>SUM(L4:L8)</f>
        <v>2629090</v>
      </c>
      <c r="O9" s="564" t="s">
        <v>355</v>
      </c>
      <c r="P9" s="579">
        <f>SUM(P4:P8)</f>
        <v>2601930</v>
      </c>
      <c r="Q9" s="579">
        <f t="shared" ref="Q9:R9" si="5">SUM(Q4:Q8)</f>
        <v>5050</v>
      </c>
      <c r="R9" s="580">
        <f t="shared" si="5"/>
        <v>11520</v>
      </c>
      <c r="S9" s="581">
        <f>SUM(P9:R9)</f>
        <v>2618500</v>
      </c>
      <c r="T9" s="578">
        <f>SUM(S4:S8)</f>
        <v>2618500</v>
      </c>
    </row>
    <row r="10" spans="1:20" x14ac:dyDescent="0.25">
      <c r="A10" s="568">
        <v>600</v>
      </c>
      <c r="B10" s="582">
        <v>1766360</v>
      </c>
      <c r="C10" s="569">
        <v>611900</v>
      </c>
      <c r="D10" s="570">
        <f>289700+13000</f>
        <v>302700</v>
      </c>
      <c r="E10" s="571">
        <f>SUM(B10:D10)</f>
        <v>2680960</v>
      </c>
      <c r="F10" s="583"/>
      <c r="H10" s="568">
        <v>600</v>
      </c>
      <c r="I10" s="582">
        <v>1704490</v>
      </c>
      <c r="J10" s="569">
        <v>611900</v>
      </c>
      <c r="K10" s="570">
        <v>295440</v>
      </c>
      <c r="L10" s="571">
        <f>SUM(I10:K10)</f>
        <v>2611830</v>
      </c>
      <c r="M10" s="583"/>
      <c r="O10" s="568">
        <v>600</v>
      </c>
      <c r="P10" s="582">
        <v>1693850</v>
      </c>
      <c r="Q10" s="569">
        <v>611900</v>
      </c>
      <c r="R10" s="570">
        <v>295440</v>
      </c>
      <c r="S10" s="571">
        <f>SUM(P10:R10)</f>
        <v>2601190</v>
      </c>
      <c r="T10" s="583"/>
    </row>
    <row r="11" spans="1:20" x14ac:dyDescent="0.25">
      <c r="A11" s="572">
        <v>700</v>
      </c>
      <c r="B11" s="573">
        <v>1445946</v>
      </c>
      <c r="C11" s="573"/>
      <c r="D11" s="574"/>
      <c r="E11" s="571">
        <f t="shared" ref="E11:E12" si="6">SUM(B11:D11)</f>
        <v>1445946</v>
      </c>
      <c r="F11" s="583"/>
      <c r="H11" s="572">
        <v>700</v>
      </c>
      <c r="I11" s="573">
        <v>0</v>
      </c>
      <c r="J11" s="573"/>
      <c r="K11" s="574"/>
      <c r="L11" s="571">
        <f t="shared" ref="L11:L12" si="7">SUM(I11:K11)</f>
        <v>0</v>
      </c>
      <c r="M11" s="583"/>
      <c r="O11" s="572">
        <v>700</v>
      </c>
      <c r="P11" s="573">
        <v>0</v>
      </c>
      <c r="Q11" s="573"/>
      <c r="R11" s="574"/>
      <c r="S11" s="571">
        <f t="shared" ref="S11:S12" si="8">SUM(P11:R11)</f>
        <v>0</v>
      </c>
      <c r="T11" s="583"/>
    </row>
    <row r="12" spans="1:20" ht="15.75" thickBot="1" x14ac:dyDescent="0.3">
      <c r="A12" s="575">
        <v>800</v>
      </c>
      <c r="B12" s="576">
        <f>1140+18000</f>
        <v>19140</v>
      </c>
      <c r="C12" s="576"/>
      <c r="D12" s="577"/>
      <c r="E12" s="571">
        <f t="shared" si="6"/>
        <v>19140</v>
      </c>
      <c r="F12" s="583"/>
      <c r="H12" s="575">
        <v>800</v>
      </c>
      <c r="I12" s="576">
        <v>17260</v>
      </c>
      <c r="J12" s="576"/>
      <c r="K12" s="577"/>
      <c r="L12" s="571">
        <f t="shared" si="7"/>
        <v>17260</v>
      </c>
      <c r="M12" s="583"/>
      <c r="O12" s="575">
        <v>800</v>
      </c>
      <c r="P12" s="576">
        <v>17310</v>
      </c>
      <c r="Q12" s="576"/>
      <c r="R12" s="577"/>
      <c r="S12" s="571">
        <f t="shared" si="8"/>
        <v>17310</v>
      </c>
      <c r="T12" s="583"/>
    </row>
    <row r="13" spans="1:20" ht="15.75" thickBot="1" x14ac:dyDescent="0.3">
      <c r="A13" s="564" t="s">
        <v>356</v>
      </c>
      <c r="B13" s="579">
        <f>SUM(B10:B12)</f>
        <v>3231446</v>
      </c>
      <c r="C13" s="579">
        <f t="shared" ref="C13:D13" si="9">SUM(C10:C12)</f>
        <v>611900</v>
      </c>
      <c r="D13" s="580">
        <f t="shared" si="9"/>
        <v>302700</v>
      </c>
      <c r="E13" s="581">
        <f>SUM(B13:D13)</f>
        <v>4146046</v>
      </c>
      <c r="F13" s="578">
        <f>SUM(E10:E12)</f>
        <v>4146046</v>
      </c>
      <c r="H13" s="564" t="s">
        <v>356</v>
      </c>
      <c r="I13" s="579">
        <f>SUM(I10:I12)</f>
        <v>1721750</v>
      </c>
      <c r="J13" s="579">
        <f t="shared" ref="J13:K13" si="10">SUM(J10:J12)</f>
        <v>611900</v>
      </c>
      <c r="K13" s="580">
        <f t="shared" si="10"/>
        <v>295440</v>
      </c>
      <c r="L13" s="581">
        <f>SUM(I13:K13)</f>
        <v>2629090</v>
      </c>
      <c r="M13" s="578">
        <f>SUM(L10:L12)</f>
        <v>2629090</v>
      </c>
      <c r="O13" s="564" t="s">
        <v>356</v>
      </c>
      <c r="P13" s="579">
        <f>SUM(P10:P12)</f>
        <v>1711160</v>
      </c>
      <c r="Q13" s="579">
        <f t="shared" ref="Q13:R13" si="11">SUM(Q10:Q12)</f>
        <v>611900</v>
      </c>
      <c r="R13" s="580">
        <f t="shared" si="11"/>
        <v>295440</v>
      </c>
      <c r="S13" s="581">
        <f>SUM(P13:R13)</f>
        <v>2618500</v>
      </c>
      <c r="T13" s="578">
        <f>SUM(S10:S12)</f>
        <v>2618500</v>
      </c>
    </row>
    <row r="14" spans="1:20" x14ac:dyDescent="0.25">
      <c r="C14" s="458">
        <f>C9-C13</f>
        <v>-606850</v>
      </c>
      <c r="D14" s="458">
        <f>D9-D13</f>
        <v>-291720</v>
      </c>
      <c r="E14" s="458">
        <f>E9-E13</f>
        <v>0</v>
      </c>
      <c r="J14" s="458">
        <f>J9-J13</f>
        <v>-606850</v>
      </c>
      <c r="K14" s="458">
        <f>K9-K13</f>
        <v>-283920</v>
      </c>
      <c r="L14" s="458">
        <f>L9-L13</f>
        <v>0</v>
      </c>
      <c r="Q14" s="458">
        <f>Q9-Q13</f>
        <v>-606850</v>
      </c>
      <c r="R14" s="458">
        <f>R9-R13</f>
        <v>-283920</v>
      </c>
      <c r="S14" s="458">
        <f>S9-S13</f>
        <v>0</v>
      </c>
    </row>
    <row r="16" spans="1:20" x14ac:dyDescent="0.25">
      <c r="A16" t="s">
        <v>216</v>
      </c>
    </row>
    <row r="18" spans="1:1" x14ac:dyDescent="0.25">
      <c r="A18" t="s">
        <v>375</v>
      </c>
    </row>
  </sheetData>
  <mergeCells count="3">
    <mergeCell ref="A1:E1"/>
    <mergeCell ref="H1:L1"/>
    <mergeCell ref="O1:S1"/>
  </mergeCells>
  <pageMargins left="0.7" right="0.7" top="0.75" bottom="0.75" header="0.3" footer="0.3"/>
  <pageSetup paperSize="8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E1"/>
    </sheetView>
  </sheetViews>
  <sheetFormatPr defaultRowHeight="15" x14ac:dyDescent="0.25"/>
  <sheetData>
    <row r="1" spans="1:11" x14ac:dyDescent="0.25">
      <c r="A1" s="902" t="s">
        <v>359</v>
      </c>
      <c r="B1" s="903"/>
      <c r="C1" s="903"/>
      <c r="D1" s="903"/>
      <c r="E1" s="904"/>
      <c r="F1" s="902" t="s">
        <v>360</v>
      </c>
      <c r="G1" s="903"/>
      <c r="H1" s="903"/>
      <c r="I1" s="904"/>
    </row>
    <row r="2" spans="1:11" x14ac:dyDescent="0.25">
      <c r="A2" s="584" t="s">
        <v>361</v>
      </c>
      <c r="B2" s="585" t="s">
        <v>351</v>
      </c>
      <c r="C2" s="585" t="s">
        <v>362</v>
      </c>
      <c r="D2" s="585" t="s">
        <v>363</v>
      </c>
      <c r="E2" s="586" t="s">
        <v>364</v>
      </c>
      <c r="F2" s="584" t="s">
        <v>351</v>
      </c>
      <c r="G2" s="585" t="s">
        <v>362</v>
      </c>
      <c r="H2" s="585" t="s">
        <v>363</v>
      </c>
      <c r="I2" s="586" t="s">
        <v>364</v>
      </c>
      <c r="J2" t="s">
        <v>365</v>
      </c>
    </row>
    <row r="3" spans="1:11" x14ac:dyDescent="0.25">
      <c r="A3" s="587">
        <v>111</v>
      </c>
      <c r="B3" s="588">
        <v>677590</v>
      </c>
      <c r="C3" s="588"/>
      <c r="D3" s="588"/>
      <c r="E3" s="589">
        <f>SUM(B3:D3)</f>
        <v>677590</v>
      </c>
      <c r="F3" s="572">
        <v>106140</v>
      </c>
      <c r="G3" s="588">
        <v>571450</v>
      </c>
      <c r="H3" s="588"/>
      <c r="I3" s="589">
        <f>SUM(F3:H3)</f>
        <v>677590</v>
      </c>
      <c r="J3">
        <f>E3-I3</f>
        <v>0</v>
      </c>
    </row>
    <row r="4" spans="1:11" x14ac:dyDescent="0.25">
      <c r="A4" s="587" t="s">
        <v>366</v>
      </c>
      <c r="B4" s="588">
        <v>0</v>
      </c>
      <c r="C4" s="588"/>
      <c r="D4" s="588"/>
      <c r="E4" s="589">
        <f t="shared" ref="E4:E8" si="0">SUM(B4:D4)</f>
        <v>0</v>
      </c>
      <c r="F4" s="572"/>
      <c r="G4" s="588">
        <v>0</v>
      </c>
      <c r="H4" s="588"/>
      <c r="I4" s="589">
        <f t="shared" ref="I4:I8" si="1">SUM(F4:H4)</f>
        <v>0</v>
      </c>
      <c r="J4">
        <f t="shared" ref="J4:J8" si="2">E4-I4</f>
        <v>0</v>
      </c>
    </row>
    <row r="5" spans="1:11" x14ac:dyDescent="0.25">
      <c r="A5" s="587" t="s">
        <v>367</v>
      </c>
      <c r="B5" s="588"/>
      <c r="C5" s="588"/>
      <c r="D5" s="588"/>
      <c r="E5" s="589">
        <f t="shared" si="0"/>
        <v>0</v>
      </c>
      <c r="F5" s="572"/>
      <c r="G5" s="588"/>
      <c r="H5" s="588"/>
      <c r="I5" s="589">
        <f t="shared" si="1"/>
        <v>0</v>
      </c>
      <c r="J5">
        <f t="shared" si="2"/>
        <v>0</v>
      </c>
    </row>
    <row r="6" spans="1:11" x14ac:dyDescent="0.25">
      <c r="A6" s="590" t="s">
        <v>368</v>
      </c>
      <c r="B6" s="591"/>
      <c r="C6" s="591"/>
      <c r="D6" s="591"/>
      <c r="E6" s="589">
        <f t="shared" si="0"/>
        <v>0</v>
      </c>
      <c r="F6" s="575"/>
      <c r="G6" s="591"/>
      <c r="H6" s="591"/>
      <c r="I6" s="589">
        <f t="shared" si="1"/>
        <v>0</v>
      </c>
      <c r="J6">
        <f t="shared" si="2"/>
        <v>0</v>
      </c>
    </row>
    <row r="7" spans="1:11" x14ac:dyDescent="0.25">
      <c r="A7" s="590">
        <v>41</v>
      </c>
      <c r="B7" s="591">
        <v>1647700</v>
      </c>
      <c r="C7" s="591"/>
      <c r="D7" s="591"/>
      <c r="E7" s="592">
        <f t="shared" si="0"/>
        <v>1647700</v>
      </c>
      <c r="F7" s="575">
        <v>1320580</v>
      </c>
      <c r="G7" s="591">
        <v>35400</v>
      </c>
      <c r="H7" s="591">
        <v>291720</v>
      </c>
      <c r="I7" s="592">
        <f t="shared" si="1"/>
        <v>1647700</v>
      </c>
      <c r="J7">
        <f t="shared" si="2"/>
        <v>0</v>
      </c>
      <c r="K7">
        <f>SUM(G7:H7)</f>
        <v>327120</v>
      </c>
    </row>
    <row r="8" spans="1:11" ht="15.75" thickBot="1" x14ac:dyDescent="0.3">
      <c r="A8" s="593">
        <v>46</v>
      </c>
      <c r="B8" s="594">
        <v>670840</v>
      </c>
      <c r="C8" s="595"/>
      <c r="D8" s="595"/>
      <c r="E8" s="405">
        <f t="shared" si="0"/>
        <v>670840</v>
      </c>
      <c r="F8" s="593">
        <v>670840</v>
      </c>
      <c r="G8" s="595"/>
      <c r="H8" s="595"/>
      <c r="I8" s="596">
        <f t="shared" si="1"/>
        <v>670840</v>
      </c>
      <c r="J8">
        <f t="shared" si="2"/>
        <v>0</v>
      </c>
    </row>
    <row r="9" spans="1:11" x14ac:dyDescent="0.25">
      <c r="A9" s="597"/>
      <c r="B9" s="598"/>
      <c r="C9" s="597"/>
      <c r="D9" s="597"/>
      <c r="E9" s="598"/>
      <c r="F9" s="597"/>
      <c r="G9" s="597"/>
      <c r="H9" s="597"/>
      <c r="I9" s="597"/>
    </row>
    <row r="10" spans="1:11" ht="15.75" thickBot="1" x14ac:dyDescent="0.3"/>
    <row r="11" spans="1:11" x14ac:dyDescent="0.25">
      <c r="A11" s="902" t="s">
        <v>369</v>
      </c>
      <c r="B11" s="903"/>
      <c r="C11" s="903"/>
      <c r="D11" s="903"/>
      <c r="E11" s="904"/>
      <c r="F11" s="902" t="s">
        <v>370</v>
      </c>
      <c r="G11" s="903"/>
      <c r="H11" s="903"/>
      <c r="I11" s="904"/>
    </row>
    <row r="12" spans="1:11" x14ac:dyDescent="0.25">
      <c r="A12" s="584" t="s">
        <v>361</v>
      </c>
      <c r="B12" s="585" t="s">
        <v>351</v>
      </c>
      <c r="C12" s="585" t="s">
        <v>362</v>
      </c>
      <c r="D12" s="585" t="s">
        <v>363</v>
      </c>
      <c r="E12" s="586" t="s">
        <v>364</v>
      </c>
      <c r="F12" s="584" t="s">
        <v>351</v>
      </c>
      <c r="G12" s="585" t="s">
        <v>362</v>
      </c>
      <c r="H12" s="585" t="s">
        <v>363</v>
      </c>
      <c r="I12" s="586" t="s">
        <v>364</v>
      </c>
      <c r="J12" t="s">
        <v>365</v>
      </c>
    </row>
    <row r="13" spans="1:11" x14ac:dyDescent="0.25">
      <c r="A13" s="587">
        <v>111</v>
      </c>
      <c r="B13" s="588">
        <v>668600</v>
      </c>
      <c r="C13" s="588"/>
      <c r="D13" s="588"/>
      <c r="E13" s="589">
        <f>SUM(B13:D13)</f>
        <v>668600</v>
      </c>
      <c r="F13" s="572">
        <v>97150</v>
      </c>
      <c r="G13" s="588">
        <v>571450</v>
      </c>
      <c r="H13" s="588"/>
      <c r="I13" s="589">
        <f>SUM(F13:H13)</f>
        <v>668600</v>
      </c>
      <c r="J13">
        <f>E13-I13</f>
        <v>0</v>
      </c>
    </row>
    <row r="14" spans="1:11" x14ac:dyDescent="0.25">
      <c r="A14" s="587" t="s">
        <v>366</v>
      </c>
      <c r="B14" s="588">
        <v>0</v>
      </c>
      <c r="C14" s="588"/>
      <c r="D14" s="588"/>
      <c r="E14" s="589">
        <f t="shared" ref="E14:E18" si="3">SUM(B14:D14)</f>
        <v>0</v>
      </c>
      <c r="F14" s="572"/>
      <c r="G14" s="588">
        <v>0</v>
      </c>
      <c r="H14" s="588"/>
      <c r="I14" s="589">
        <f t="shared" ref="I14:I18" si="4">SUM(F14:H14)</f>
        <v>0</v>
      </c>
      <c r="J14">
        <f t="shared" ref="J14:J18" si="5">E14-I14</f>
        <v>0</v>
      </c>
    </row>
    <row r="15" spans="1:11" x14ac:dyDescent="0.25">
      <c r="A15" s="587" t="s">
        <v>367</v>
      </c>
      <c r="B15" s="588"/>
      <c r="C15" s="588"/>
      <c r="D15" s="588"/>
      <c r="E15" s="589">
        <f t="shared" si="3"/>
        <v>0</v>
      </c>
      <c r="F15" s="572"/>
      <c r="G15" s="588"/>
      <c r="H15" s="588"/>
      <c r="I15" s="589">
        <f t="shared" si="4"/>
        <v>0</v>
      </c>
      <c r="J15">
        <f t="shared" si="5"/>
        <v>0</v>
      </c>
    </row>
    <row r="16" spans="1:11" x14ac:dyDescent="0.25">
      <c r="A16" s="590" t="s">
        <v>368</v>
      </c>
      <c r="B16" s="591"/>
      <c r="C16" s="591"/>
      <c r="D16" s="591"/>
      <c r="E16" s="589">
        <f t="shared" si="3"/>
        <v>0</v>
      </c>
      <c r="F16" s="575"/>
      <c r="G16" s="591"/>
      <c r="H16" s="591"/>
      <c r="I16" s="589">
        <f t="shared" si="4"/>
        <v>0</v>
      </c>
      <c r="J16">
        <f t="shared" si="5"/>
        <v>0</v>
      </c>
    </row>
    <row r="17" spans="1:11" x14ac:dyDescent="0.25">
      <c r="A17" s="590">
        <v>41</v>
      </c>
      <c r="B17" s="591">
        <v>1703940</v>
      </c>
      <c r="C17" s="591"/>
      <c r="D17" s="591"/>
      <c r="E17" s="592">
        <f t="shared" si="3"/>
        <v>1703940</v>
      </c>
      <c r="F17" s="575">
        <v>1384620</v>
      </c>
      <c r="G17" s="591">
        <v>35400</v>
      </c>
      <c r="H17" s="591">
        <v>283920</v>
      </c>
      <c r="I17" s="592">
        <f t="shared" si="4"/>
        <v>1703940</v>
      </c>
      <c r="J17">
        <f t="shared" si="5"/>
        <v>0</v>
      </c>
      <c r="K17">
        <f>SUM(G17:H17)</f>
        <v>319320</v>
      </c>
    </row>
    <row r="18" spans="1:11" ht="15.75" thickBot="1" x14ac:dyDescent="0.3">
      <c r="A18" s="593">
        <v>46</v>
      </c>
      <c r="B18" s="594">
        <v>1500</v>
      </c>
      <c r="C18" s="595"/>
      <c r="D18" s="595"/>
      <c r="E18" s="405">
        <f t="shared" si="3"/>
        <v>1500</v>
      </c>
      <c r="F18" s="593">
        <v>1500</v>
      </c>
      <c r="G18" s="595"/>
      <c r="H18" s="595"/>
      <c r="I18" s="596">
        <f t="shared" si="4"/>
        <v>1500</v>
      </c>
      <c r="J18">
        <f t="shared" si="5"/>
        <v>0</v>
      </c>
    </row>
    <row r="20" spans="1:11" ht="15.75" thickBot="1" x14ac:dyDescent="0.3"/>
    <row r="21" spans="1:11" x14ac:dyDescent="0.25">
      <c r="A21" s="902" t="s">
        <v>371</v>
      </c>
      <c r="B21" s="903"/>
      <c r="C21" s="903"/>
      <c r="D21" s="903"/>
      <c r="E21" s="904"/>
      <c r="F21" s="902" t="s">
        <v>372</v>
      </c>
      <c r="G21" s="903"/>
      <c r="H21" s="903"/>
      <c r="I21" s="904"/>
    </row>
    <row r="22" spans="1:11" x14ac:dyDescent="0.25">
      <c r="A22" s="584" t="s">
        <v>361</v>
      </c>
      <c r="B22" s="585" t="s">
        <v>351</v>
      </c>
      <c r="C22" s="585" t="s">
        <v>362</v>
      </c>
      <c r="D22" s="585" t="s">
        <v>363</v>
      </c>
      <c r="E22" s="586" t="s">
        <v>364</v>
      </c>
      <c r="F22" s="584" t="s">
        <v>351</v>
      </c>
      <c r="G22" s="585" t="s">
        <v>362</v>
      </c>
      <c r="H22" s="585" t="s">
        <v>363</v>
      </c>
      <c r="I22" s="586" t="s">
        <v>364</v>
      </c>
      <c r="J22" t="s">
        <v>365</v>
      </c>
    </row>
    <row r="23" spans="1:11" x14ac:dyDescent="0.25">
      <c r="A23" s="587">
        <v>111</v>
      </c>
      <c r="B23" s="588">
        <v>656610</v>
      </c>
      <c r="C23" s="588"/>
      <c r="D23" s="588"/>
      <c r="E23" s="589">
        <f>SUM(B23:D23)</f>
        <v>656610</v>
      </c>
      <c r="F23" s="572">
        <v>85160</v>
      </c>
      <c r="G23" s="588">
        <v>571450</v>
      </c>
      <c r="H23" s="588"/>
      <c r="I23" s="589">
        <f>SUM(F23:H23)</f>
        <v>656610</v>
      </c>
      <c r="J23">
        <f>E23-I23</f>
        <v>0</v>
      </c>
    </row>
    <row r="24" spans="1:11" x14ac:dyDescent="0.25">
      <c r="A24" s="587" t="s">
        <v>366</v>
      </c>
      <c r="B24" s="588">
        <v>0</v>
      </c>
      <c r="C24" s="588"/>
      <c r="D24" s="588"/>
      <c r="E24" s="589">
        <f t="shared" ref="E24:E28" si="6">SUM(B24:D24)</f>
        <v>0</v>
      </c>
      <c r="F24" s="572"/>
      <c r="G24" s="588">
        <v>0</v>
      </c>
      <c r="H24" s="588"/>
      <c r="I24" s="589">
        <f t="shared" ref="I24:I28" si="7">SUM(F24:H24)</f>
        <v>0</v>
      </c>
      <c r="J24">
        <f t="shared" ref="J24:J28" si="8">E24-I24</f>
        <v>0</v>
      </c>
    </row>
    <row r="25" spans="1:11" x14ac:dyDescent="0.25">
      <c r="A25" s="587" t="s">
        <v>367</v>
      </c>
      <c r="B25" s="588"/>
      <c r="C25" s="588"/>
      <c r="D25" s="588"/>
      <c r="E25" s="589">
        <f t="shared" si="6"/>
        <v>0</v>
      </c>
      <c r="F25" s="572"/>
      <c r="G25" s="588"/>
      <c r="H25" s="588"/>
      <c r="I25" s="589">
        <f t="shared" si="7"/>
        <v>0</v>
      </c>
      <c r="J25">
        <f t="shared" si="8"/>
        <v>0</v>
      </c>
    </row>
    <row r="26" spans="1:11" x14ac:dyDescent="0.25">
      <c r="A26" s="590" t="s">
        <v>368</v>
      </c>
      <c r="B26" s="591"/>
      <c r="C26" s="591"/>
      <c r="D26" s="591"/>
      <c r="E26" s="589">
        <f t="shared" si="6"/>
        <v>0</v>
      </c>
      <c r="F26" s="575"/>
      <c r="G26" s="591"/>
      <c r="H26" s="591"/>
      <c r="I26" s="589">
        <f t="shared" si="7"/>
        <v>0</v>
      </c>
      <c r="J26">
        <f t="shared" si="8"/>
        <v>0</v>
      </c>
    </row>
    <row r="27" spans="1:11" x14ac:dyDescent="0.25">
      <c r="A27" s="590">
        <v>41</v>
      </c>
      <c r="B27" s="591">
        <v>1705340</v>
      </c>
      <c r="C27" s="591"/>
      <c r="D27" s="591"/>
      <c r="E27" s="592">
        <f t="shared" si="6"/>
        <v>1705340</v>
      </c>
      <c r="F27" s="575">
        <v>1386020</v>
      </c>
      <c r="G27" s="591">
        <v>35400</v>
      </c>
      <c r="H27" s="591">
        <v>283920</v>
      </c>
      <c r="I27" s="592">
        <f t="shared" si="7"/>
        <v>1705340</v>
      </c>
      <c r="J27">
        <f t="shared" si="8"/>
        <v>0</v>
      </c>
      <c r="K27">
        <f>SUM(G27:H27)</f>
        <v>319320</v>
      </c>
    </row>
    <row r="28" spans="1:11" ht="15.75" thickBot="1" x14ac:dyDescent="0.3">
      <c r="A28" s="593">
        <v>46</v>
      </c>
      <c r="B28" s="594">
        <v>1500</v>
      </c>
      <c r="C28" s="595"/>
      <c r="D28" s="595"/>
      <c r="E28" s="405">
        <f t="shared" si="6"/>
        <v>1500</v>
      </c>
      <c r="F28" s="593">
        <v>1500</v>
      </c>
      <c r="G28" s="595"/>
      <c r="H28" s="595"/>
      <c r="I28" s="596">
        <f t="shared" si="7"/>
        <v>1500</v>
      </c>
      <c r="J28">
        <f t="shared" si="8"/>
        <v>0</v>
      </c>
    </row>
  </sheetData>
  <mergeCells count="6">
    <mergeCell ref="A1:E1"/>
    <mergeCell ref="F1:I1"/>
    <mergeCell ref="A11:E11"/>
    <mergeCell ref="F11:I11"/>
    <mergeCell ref="A21:E21"/>
    <mergeCell ref="F21:I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="130" zoomScaleNormal="130" workbookViewId="0">
      <selection sqref="A1:E1"/>
    </sheetView>
  </sheetViews>
  <sheetFormatPr defaultRowHeight="15" x14ac:dyDescent="0.25"/>
  <cols>
    <col min="1" max="1" width="31.85546875" customWidth="1"/>
    <col min="2" max="2" width="13.28515625" customWidth="1"/>
    <col min="3" max="3" width="12.5703125" customWidth="1"/>
    <col min="4" max="4" width="12.140625" customWidth="1"/>
    <col min="5" max="5" width="12.42578125" bestFit="1" customWidth="1"/>
    <col min="7" max="7" width="31.140625" bestFit="1" customWidth="1"/>
    <col min="8" max="8" width="9.5703125" bestFit="1" customWidth="1"/>
    <col min="11" max="11" width="12.42578125" bestFit="1" customWidth="1"/>
  </cols>
  <sheetData>
    <row r="1" spans="1:12" x14ac:dyDescent="0.25">
      <c r="A1" s="901" t="s">
        <v>376</v>
      </c>
      <c r="B1" s="901"/>
      <c r="C1" s="901"/>
      <c r="D1" s="901"/>
      <c r="E1" s="901"/>
    </row>
    <row r="2" spans="1:12" ht="15.75" thickBot="1" x14ac:dyDescent="0.3">
      <c r="A2" t="s">
        <v>381</v>
      </c>
      <c r="G2" t="s">
        <v>393</v>
      </c>
    </row>
    <row r="3" spans="1:12" ht="15.75" thickBot="1" x14ac:dyDescent="0.3">
      <c r="A3" s="564" t="s">
        <v>377</v>
      </c>
      <c r="B3" s="565" t="s">
        <v>351</v>
      </c>
      <c r="C3" s="565" t="s">
        <v>352</v>
      </c>
      <c r="D3" s="566" t="s">
        <v>353</v>
      </c>
      <c r="E3" s="567" t="s">
        <v>354</v>
      </c>
      <c r="G3" s="564" t="s">
        <v>377</v>
      </c>
      <c r="H3" s="565" t="s">
        <v>351</v>
      </c>
      <c r="I3" s="565" t="s">
        <v>352</v>
      </c>
      <c r="J3" s="566" t="s">
        <v>353</v>
      </c>
      <c r="K3" s="567" t="s">
        <v>354</v>
      </c>
    </row>
    <row r="4" spans="1:12" x14ac:dyDescent="0.25">
      <c r="A4" s="568" t="s">
        <v>378</v>
      </c>
      <c r="B4" s="569">
        <v>1368000</v>
      </c>
      <c r="C4" s="569"/>
      <c r="D4" s="570"/>
      <c r="E4" s="571">
        <f>SUM(B4:D4)</f>
        <v>1368000</v>
      </c>
      <c r="G4" s="568" t="s">
        <v>394</v>
      </c>
      <c r="H4" s="569">
        <v>714245</v>
      </c>
      <c r="I4" s="569">
        <v>372202</v>
      </c>
      <c r="J4" s="570">
        <v>192400</v>
      </c>
      <c r="K4" s="571">
        <f>SUM(H4:J4)</f>
        <v>1278847</v>
      </c>
    </row>
    <row r="5" spans="1:12" x14ac:dyDescent="0.25">
      <c r="A5" s="572" t="s">
        <v>379</v>
      </c>
      <c r="B5" s="569">
        <v>43200</v>
      </c>
      <c r="C5" s="569"/>
      <c r="D5" s="570"/>
      <c r="E5" s="571">
        <f t="shared" ref="E5:E21" si="0">SUM(B5:D5)</f>
        <v>43200</v>
      </c>
      <c r="G5" s="572" t="s">
        <v>395</v>
      </c>
      <c r="H5" s="569">
        <v>271735</v>
      </c>
      <c r="I5" s="569">
        <v>137428</v>
      </c>
      <c r="J5" s="570">
        <v>69080</v>
      </c>
      <c r="K5" s="571">
        <f t="shared" ref="K5:K16" si="1">SUM(H5:J5)</f>
        <v>478243</v>
      </c>
    </row>
    <row r="6" spans="1:12" ht="15.75" thickBot="1" x14ac:dyDescent="0.3">
      <c r="A6" s="601" t="s">
        <v>380</v>
      </c>
      <c r="B6" s="602">
        <v>41300</v>
      </c>
      <c r="C6" s="602"/>
      <c r="D6" s="603"/>
      <c r="E6" s="604">
        <f t="shared" si="0"/>
        <v>41300</v>
      </c>
      <c r="G6" s="572" t="s">
        <v>396</v>
      </c>
      <c r="H6" s="573">
        <v>721100</v>
      </c>
      <c r="I6" s="573">
        <v>101400</v>
      </c>
      <c r="J6" s="574">
        <v>40160</v>
      </c>
      <c r="K6" s="571">
        <f t="shared" si="1"/>
        <v>862660</v>
      </c>
    </row>
    <row r="7" spans="1:12" ht="15.75" thickBot="1" x14ac:dyDescent="0.3">
      <c r="A7" s="607" t="s">
        <v>385</v>
      </c>
      <c r="B7" s="608">
        <f>SUM(B4:B6)</f>
        <v>1452500</v>
      </c>
      <c r="C7" s="608">
        <f t="shared" ref="C7:D7" si="2">SUM(C4:C6)</f>
        <v>0</v>
      </c>
      <c r="D7" s="608">
        <f t="shared" si="2"/>
        <v>0</v>
      </c>
      <c r="E7" s="610">
        <f t="shared" si="0"/>
        <v>1452500</v>
      </c>
      <c r="G7" s="572" t="s">
        <v>397</v>
      </c>
      <c r="H7" s="573">
        <v>58770</v>
      </c>
      <c r="I7" s="573">
        <v>870</v>
      </c>
      <c r="J7" s="574">
        <v>1060</v>
      </c>
      <c r="K7" s="571">
        <f t="shared" si="1"/>
        <v>60700</v>
      </c>
    </row>
    <row r="8" spans="1:12" ht="15.75" thickBot="1" x14ac:dyDescent="0.3">
      <c r="A8" s="568" t="s">
        <v>382</v>
      </c>
      <c r="B8" s="569">
        <v>25855</v>
      </c>
      <c r="C8" s="569">
        <v>1000</v>
      </c>
      <c r="D8" s="570"/>
      <c r="E8" s="571">
        <f t="shared" si="0"/>
        <v>26855</v>
      </c>
      <c r="G8" s="601" t="s">
        <v>403</v>
      </c>
      <c r="H8" s="602">
        <v>510</v>
      </c>
      <c r="I8" s="602"/>
      <c r="J8" s="603"/>
      <c r="K8" s="571">
        <f t="shared" si="1"/>
        <v>510</v>
      </c>
    </row>
    <row r="9" spans="1:12" ht="15.75" thickBot="1" x14ac:dyDescent="0.3">
      <c r="A9" s="572" t="s">
        <v>383</v>
      </c>
      <c r="B9" s="573">
        <v>220060</v>
      </c>
      <c r="C9" s="573">
        <v>3050</v>
      </c>
      <c r="D9" s="574">
        <v>10980</v>
      </c>
      <c r="E9" s="571">
        <f t="shared" si="0"/>
        <v>234090</v>
      </c>
      <c r="G9" s="607" t="s">
        <v>398</v>
      </c>
      <c r="H9" s="608">
        <f>SUM(H4:H8)</f>
        <v>1766360</v>
      </c>
      <c r="I9" s="608">
        <f>SUM(I4:I8)</f>
        <v>611900</v>
      </c>
      <c r="J9" s="608">
        <f>SUM(J4:J8)</f>
        <v>302700</v>
      </c>
      <c r="K9" s="615">
        <f t="shared" si="1"/>
        <v>2680960</v>
      </c>
    </row>
    <row r="10" spans="1:12" x14ac:dyDescent="0.25">
      <c r="A10" s="572" t="s">
        <v>388</v>
      </c>
      <c r="B10" s="573">
        <v>5000</v>
      </c>
      <c r="C10" s="573"/>
      <c r="D10" s="574"/>
      <c r="E10" s="571">
        <f t="shared" si="0"/>
        <v>5000</v>
      </c>
      <c r="G10" s="568" t="s">
        <v>399</v>
      </c>
      <c r="H10" s="569">
        <v>1445946</v>
      </c>
      <c r="I10" s="569"/>
      <c r="J10" s="570"/>
      <c r="K10" s="571">
        <f t="shared" si="1"/>
        <v>1445946</v>
      </c>
    </row>
    <row r="11" spans="1:12" ht="15.75" thickBot="1" x14ac:dyDescent="0.3">
      <c r="A11" s="572" t="s">
        <v>404</v>
      </c>
      <c r="B11" s="573">
        <v>50</v>
      </c>
      <c r="C11" s="573"/>
      <c r="D11" s="574"/>
      <c r="E11" s="571">
        <f t="shared" si="0"/>
        <v>50</v>
      </c>
      <c r="G11" s="572"/>
      <c r="H11" s="573"/>
      <c r="I11" s="573"/>
      <c r="J11" s="574"/>
      <c r="K11" s="571">
        <f t="shared" si="1"/>
        <v>0</v>
      </c>
    </row>
    <row r="12" spans="1:12" ht="15.75" thickBot="1" x14ac:dyDescent="0.3">
      <c r="A12" s="575" t="s">
        <v>405</v>
      </c>
      <c r="B12" s="576">
        <v>71875</v>
      </c>
      <c r="C12" s="576">
        <v>1000</v>
      </c>
      <c r="D12" s="577"/>
      <c r="E12" s="604">
        <f t="shared" si="0"/>
        <v>72875</v>
      </c>
      <c r="G12" s="607" t="s">
        <v>400</v>
      </c>
      <c r="H12" s="608">
        <f>SUM(H10:H11)</f>
        <v>1445946</v>
      </c>
      <c r="I12" s="608">
        <f>SUM(I10:I11)</f>
        <v>0</v>
      </c>
      <c r="J12" s="608">
        <f>SUM(J10:J11)</f>
        <v>0</v>
      </c>
      <c r="K12" s="615">
        <f t="shared" si="1"/>
        <v>1445946</v>
      </c>
    </row>
    <row r="13" spans="1:12" ht="15.75" thickBot="1" x14ac:dyDescent="0.3">
      <c r="A13" s="607" t="s">
        <v>384</v>
      </c>
      <c r="B13" s="608">
        <f>SUM(B8:B12)</f>
        <v>322840</v>
      </c>
      <c r="C13" s="608">
        <f t="shared" ref="C13:D13" si="3">SUM(C8:C12)</f>
        <v>5050</v>
      </c>
      <c r="D13" s="608">
        <f t="shared" si="3"/>
        <v>10980</v>
      </c>
      <c r="E13" s="610">
        <f t="shared" si="0"/>
        <v>338870</v>
      </c>
      <c r="G13" s="605" t="s">
        <v>401</v>
      </c>
      <c r="H13" s="569">
        <v>18140</v>
      </c>
      <c r="I13" s="569"/>
      <c r="J13" s="569"/>
      <c r="K13" s="571">
        <f t="shared" si="1"/>
        <v>18140</v>
      </c>
    </row>
    <row r="14" spans="1:12" ht="15.75" thickBot="1" x14ac:dyDescent="0.3">
      <c r="A14" s="605" t="s">
        <v>386</v>
      </c>
      <c r="B14" s="569">
        <v>761910</v>
      </c>
      <c r="C14" s="569"/>
      <c r="D14" s="569"/>
      <c r="E14" s="571">
        <f t="shared" si="0"/>
        <v>761910</v>
      </c>
      <c r="G14" s="606" t="s">
        <v>402</v>
      </c>
      <c r="H14" s="602">
        <v>1000</v>
      </c>
      <c r="I14" s="602"/>
      <c r="J14" s="602"/>
      <c r="K14" s="571">
        <f t="shared" si="1"/>
        <v>1000</v>
      </c>
    </row>
    <row r="15" spans="1:12" ht="15.75" thickBot="1" x14ac:dyDescent="0.3">
      <c r="A15" s="606" t="s">
        <v>389</v>
      </c>
      <c r="B15" s="602">
        <v>864220</v>
      </c>
      <c r="C15" s="602"/>
      <c r="D15" s="602"/>
      <c r="E15" s="604">
        <f t="shared" si="0"/>
        <v>864220</v>
      </c>
      <c r="G15" s="616" t="s">
        <v>407</v>
      </c>
      <c r="H15" s="617">
        <f>SUM(H13:H14)</f>
        <v>19140</v>
      </c>
      <c r="I15" s="617">
        <f t="shared" ref="I15" si="4">SUM(I13:I14)</f>
        <v>0</v>
      </c>
      <c r="J15" s="617">
        <f t="shared" ref="J15" si="5">SUM(J13:J14)</f>
        <v>0</v>
      </c>
      <c r="K15" s="618">
        <f t="shared" si="1"/>
        <v>19140</v>
      </c>
    </row>
    <row r="16" spans="1:12" ht="15.75" thickBot="1" x14ac:dyDescent="0.3">
      <c r="A16" s="607" t="s">
        <v>387</v>
      </c>
      <c r="B16" s="608">
        <f>SUM(B14:B15)</f>
        <v>1626130</v>
      </c>
      <c r="C16" s="608">
        <f t="shared" ref="C16:D16" si="6">SUM(C14:C15)</f>
        <v>0</v>
      </c>
      <c r="D16" s="608">
        <f t="shared" si="6"/>
        <v>0</v>
      </c>
      <c r="E16" s="610">
        <f t="shared" si="0"/>
        <v>1626130</v>
      </c>
      <c r="G16" s="611" t="s">
        <v>213</v>
      </c>
      <c r="H16" s="612">
        <f>H9+H12+H15</f>
        <v>3231446</v>
      </c>
      <c r="I16" s="612">
        <f t="shared" ref="I16:J16" si="7">I9+I12+I15</f>
        <v>611900</v>
      </c>
      <c r="J16" s="612">
        <f t="shared" si="7"/>
        <v>302700</v>
      </c>
      <c r="K16" s="613">
        <f t="shared" si="1"/>
        <v>4146046</v>
      </c>
      <c r="L16" s="578">
        <f>K9+K12+K15</f>
        <v>4146046</v>
      </c>
    </row>
    <row r="17" spans="1:11" ht="15.75" thickBot="1" x14ac:dyDescent="0.3">
      <c r="A17" s="606" t="s">
        <v>390</v>
      </c>
      <c r="B17" s="602">
        <v>728546</v>
      </c>
      <c r="C17" s="602"/>
      <c r="D17" s="602"/>
      <c r="E17" s="604">
        <f t="shared" si="0"/>
        <v>728546</v>
      </c>
      <c r="G17" s="619" t="s">
        <v>409</v>
      </c>
      <c r="H17" s="458">
        <f>B21-H16</f>
        <v>898570</v>
      </c>
      <c r="I17" s="458">
        <f>C21-I16</f>
        <v>-606850</v>
      </c>
      <c r="J17" s="458">
        <f>D21-J16</f>
        <v>-291720</v>
      </c>
      <c r="K17" s="458">
        <f>E21-K16</f>
        <v>0</v>
      </c>
    </row>
    <row r="18" spans="1:11" ht="15.75" thickBot="1" x14ac:dyDescent="0.3">
      <c r="A18" s="607" t="s">
        <v>391</v>
      </c>
      <c r="B18" s="608">
        <f>SUM(B17)</f>
        <v>728546</v>
      </c>
      <c r="C18" s="608">
        <f t="shared" ref="C18:D18" si="8">SUM(C17)</f>
        <v>0</v>
      </c>
      <c r="D18" s="608">
        <f t="shared" si="8"/>
        <v>0</v>
      </c>
      <c r="E18" s="610">
        <f t="shared" si="0"/>
        <v>728546</v>
      </c>
      <c r="F18" s="578"/>
    </row>
    <row r="19" spans="1:11" ht="15.75" thickBot="1" x14ac:dyDescent="0.3">
      <c r="A19" s="606" t="s">
        <v>406</v>
      </c>
      <c r="B19" s="602">
        <v>0</v>
      </c>
      <c r="C19" s="602"/>
      <c r="D19" s="602"/>
      <c r="E19" s="604">
        <f t="shared" si="0"/>
        <v>0</v>
      </c>
      <c r="F19" s="578"/>
    </row>
    <row r="20" spans="1:11" ht="15.75" thickBot="1" x14ac:dyDescent="0.3">
      <c r="A20" s="607" t="s">
        <v>392</v>
      </c>
      <c r="B20" s="608">
        <v>0</v>
      </c>
      <c r="C20" s="608"/>
      <c r="D20" s="609"/>
      <c r="E20" s="610">
        <f t="shared" si="0"/>
        <v>0</v>
      </c>
      <c r="F20" s="583"/>
    </row>
    <row r="21" spans="1:11" ht="23.25" customHeight="1" thickBot="1" x14ac:dyDescent="0.3">
      <c r="A21" s="611" t="s">
        <v>212</v>
      </c>
      <c r="B21" s="612">
        <f>B7+B13+B16+B18+B20</f>
        <v>4130016</v>
      </c>
      <c r="C21" s="612">
        <f t="shared" ref="C21:D21" si="9">C7+C13+C16+C18+C20</f>
        <v>5050</v>
      </c>
      <c r="D21" s="612">
        <f t="shared" si="9"/>
        <v>10980</v>
      </c>
      <c r="E21" s="613">
        <f t="shared" si="0"/>
        <v>4146046</v>
      </c>
      <c r="F21" s="614">
        <f>E7+E13+E16+E18+E20</f>
        <v>4146046</v>
      </c>
    </row>
    <row r="23" spans="1:11" x14ac:dyDescent="0.25">
      <c r="A23" t="s">
        <v>216</v>
      </c>
    </row>
    <row r="25" spans="1:11" x14ac:dyDescent="0.25">
      <c r="A25" t="s">
        <v>408</v>
      </c>
    </row>
  </sheetData>
  <mergeCells count="1">
    <mergeCell ref="A1:E1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workbookViewId="0">
      <selection sqref="A1:C1"/>
    </sheetView>
  </sheetViews>
  <sheetFormatPr defaultRowHeight="15" x14ac:dyDescent="0.25"/>
  <cols>
    <col min="2" max="2" width="48.28515625" customWidth="1"/>
    <col min="3" max="3" width="11.42578125" customWidth="1"/>
    <col min="5" max="5" width="10.28515625" customWidth="1"/>
    <col min="6" max="6" width="41.7109375" customWidth="1"/>
    <col min="7" max="7" width="17.28515625" customWidth="1"/>
    <col min="9" max="9" width="11.28515625" customWidth="1"/>
    <col min="10" max="10" width="47.7109375" customWidth="1"/>
    <col min="11" max="11" width="16.85546875" customWidth="1"/>
    <col min="14" max="14" width="43.140625" customWidth="1"/>
    <col min="15" max="15" width="14.85546875" customWidth="1"/>
    <col min="18" max="18" width="49.5703125" customWidth="1"/>
    <col min="19" max="19" width="12.5703125" customWidth="1"/>
    <col min="20" max="20" width="13.140625" customWidth="1"/>
    <col min="23" max="23" width="42.7109375" customWidth="1"/>
    <col min="24" max="24" width="12.140625" customWidth="1"/>
  </cols>
  <sheetData>
    <row r="1" spans="1:24" ht="18" x14ac:dyDescent="0.25">
      <c r="A1" s="834" t="s">
        <v>702</v>
      </c>
      <c r="B1" s="834"/>
      <c r="C1" s="834"/>
      <c r="E1" s="834" t="s">
        <v>630</v>
      </c>
      <c r="F1" s="834"/>
      <c r="G1" s="834"/>
      <c r="I1" s="834" t="s">
        <v>627</v>
      </c>
      <c r="J1" s="834"/>
      <c r="K1" s="834"/>
      <c r="M1" s="834" t="s">
        <v>574</v>
      </c>
      <c r="N1" s="834"/>
      <c r="O1" s="834"/>
      <c r="Q1" s="834" t="s">
        <v>546</v>
      </c>
      <c r="R1" s="834"/>
      <c r="S1" s="834"/>
      <c r="V1" s="834" t="s">
        <v>488</v>
      </c>
      <c r="W1" s="834"/>
      <c r="X1" s="834"/>
    </row>
    <row r="2" spans="1:24" x14ac:dyDescent="0.25">
      <c r="A2" s="835" t="s">
        <v>410</v>
      </c>
      <c r="B2" s="835"/>
      <c r="C2" s="835"/>
      <c r="E2" s="835" t="s">
        <v>410</v>
      </c>
      <c r="F2" s="835"/>
      <c r="G2" s="835"/>
      <c r="I2" s="835" t="s">
        <v>410</v>
      </c>
      <c r="J2" s="835"/>
      <c r="K2" s="835"/>
      <c r="M2" s="835" t="s">
        <v>410</v>
      </c>
      <c r="N2" s="835"/>
      <c r="O2" s="835"/>
      <c r="Q2" s="835" t="s">
        <v>410</v>
      </c>
      <c r="R2" s="835"/>
      <c r="S2" s="835"/>
      <c r="V2" s="835" t="s">
        <v>410</v>
      </c>
      <c r="W2" s="835"/>
      <c r="X2" s="835"/>
    </row>
    <row r="3" spans="1:24" x14ac:dyDescent="0.25">
      <c r="A3" s="836" t="s">
        <v>411</v>
      </c>
      <c r="B3" s="836"/>
      <c r="C3" s="836"/>
      <c r="E3" s="836" t="s">
        <v>411</v>
      </c>
      <c r="F3" s="836"/>
      <c r="G3" s="836"/>
      <c r="I3" s="836" t="s">
        <v>411</v>
      </c>
      <c r="J3" s="836"/>
      <c r="K3" s="836"/>
      <c r="M3" s="836" t="s">
        <v>411</v>
      </c>
      <c r="N3" s="836"/>
      <c r="O3" s="836"/>
      <c r="Q3" s="836" t="s">
        <v>411</v>
      </c>
      <c r="R3" s="836"/>
      <c r="S3" s="836"/>
      <c r="V3" s="836" t="s">
        <v>411</v>
      </c>
      <c r="W3" s="836"/>
      <c r="X3" s="836"/>
    </row>
    <row r="4" spans="1:24" x14ac:dyDescent="0.25">
      <c r="A4" s="830"/>
      <c r="B4" s="830"/>
      <c r="C4" s="830"/>
      <c r="E4" s="815"/>
      <c r="F4" s="815"/>
      <c r="G4" s="815"/>
      <c r="I4" s="812"/>
      <c r="J4" s="812"/>
      <c r="K4" s="812"/>
      <c r="M4" s="788"/>
      <c r="N4" s="788"/>
      <c r="O4" s="788"/>
      <c r="Q4" s="620"/>
      <c r="R4" s="620"/>
      <c r="S4" s="620"/>
      <c r="V4" s="780"/>
      <c r="W4" s="780"/>
      <c r="X4" s="780"/>
    </row>
    <row r="5" spans="1:24" ht="15.75" thickBot="1" x14ac:dyDescent="0.3">
      <c r="A5" s="833" t="s">
        <v>412</v>
      </c>
      <c r="B5" s="833"/>
      <c r="C5" s="833"/>
      <c r="E5" s="833" t="s">
        <v>412</v>
      </c>
      <c r="F5" s="833"/>
      <c r="G5" s="833"/>
      <c r="I5" s="833" t="s">
        <v>412</v>
      </c>
      <c r="J5" s="833"/>
      <c r="K5" s="833"/>
      <c r="M5" s="833" t="s">
        <v>412</v>
      </c>
      <c r="N5" s="833"/>
      <c r="O5" s="833"/>
      <c r="Q5" s="833" t="s">
        <v>412</v>
      </c>
      <c r="R5" s="833"/>
      <c r="S5" s="833"/>
      <c r="V5" s="833" t="s">
        <v>412</v>
      </c>
      <c r="W5" s="833"/>
      <c r="X5" s="833"/>
    </row>
    <row r="6" spans="1:24" ht="15.75" thickBot="1" x14ac:dyDescent="0.3">
      <c r="A6" s="621" t="s">
        <v>413</v>
      </c>
      <c r="B6" s="622" t="s">
        <v>414</v>
      </c>
      <c r="C6" s="623" t="s">
        <v>415</v>
      </c>
      <c r="E6" s="621" t="s">
        <v>413</v>
      </c>
      <c r="F6" s="622" t="s">
        <v>414</v>
      </c>
      <c r="G6" s="623" t="s">
        <v>415</v>
      </c>
      <c r="I6" s="621" t="s">
        <v>413</v>
      </c>
      <c r="J6" s="622" t="s">
        <v>414</v>
      </c>
      <c r="K6" s="623" t="s">
        <v>415</v>
      </c>
      <c r="M6" s="621" t="s">
        <v>413</v>
      </c>
      <c r="N6" s="622" t="s">
        <v>414</v>
      </c>
      <c r="O6" s="623" t="s">
        <v>415</v>
      </c>
      <c r="Q6" s="621" t="s">
        <v>413</v>
      </c>
      <c r="R6" s="622" t="s">
        <v>414</v>
      </c>
      <c r="S6" s="623" t="s">
        <v>415</v>
      </c>
      <c r="V6" s="621" t="s">
        <v>413</v>
      </c>
      <c r="W6" s="622" t="s">
        <v>414</v>
      </c>
      <c r="X6" s="623" t="s">
        <v>415</v>
      </c>
    </row>
    <row r="7" spans="1:24" ht="15.75" thickBot="1" x14ac:dyDescent="0.3">
      <c r="A7" s="837" t="s">
        <v>416</v>
      </c>
      <c r="B7" s="838"/>
      <c r="C7" s="624">
        <f>SUM(C8:C11)</f>
        <v>0</v>
      </c>
      <c r="E7" s="837" t="s">
        <v>416</v>
      </c>
      <c r="F7" s="838"/>
      <c r="G7" s="624">
        <f>SUM(G8:G11)</f>
        <v>80</v>
      </c>
      <c r="I7" s="837" t="s">
        <v>416</v>
      </c>
      <c r="J7" s="838"/>
      <c r="K7" s="624">
        <f>SUM(K8:K12)</f>
        <v>2570</v>
      </c>
      <c r="M7" s="837" t="s">
        <v>416</v>
      </c>
      <c r="N7" s="838"/>
      <c r="O7" s="624">
        <f>SUM(O8:O14)</f>
        <v>61585</v>
      </c>
      <c r="Q7" s="837" t="s">
        <v>416</v>
      </c>
      <c r="R7" s="838"/>
      <c r="S7" s="624">
        <f>SUM(S8:S19)</f>
        <v>108250</v>
      </c>
      <c r="T7" s="458">
        <f>S7+500</f>
        <v>108750</v>
      </c>
      <c r="V7" s="837" t="s">
        <v>416</v>
      </c>
      <c r="W7" s="838"/>
      <c r="X7" s="624">
        <f>SUM(X8:X10)</f>
        <v>80</v>
      </c>
    </row>
    <row r="8" spans="1:24" x14ac:dyDescent="0.25">
      <c r="A8" s="625"/>
      <c r="B8" s="626"/>
      <c r="C8" s="627"/>
      <c r="E8" s="625">
        <v>292</v>
      </c>
      <c r="F8" s="626" t="s">
        <v>699</v>
      </c>
      <c r="G8" s="627">
        <f>800-800</f>
        <v>0</v>
      </c>
      <c r="I8" s="625">
        <v>222</v>
      </c>
      <c r="J8" s="626" t="s">
        <v>636</v>
      </c>
      <c r="K8" s="627">
        <v>30</v>
      </c>
      <c r="M8" s="625">
        <v>292</v>
      </c>
      <c r="N8" s="626" t="s">
        <v>622</v>
      </c>
      <c r="O8" s="627">
        <v>830</v>
      </c>
      <c r="Q8" s="625">
        <v>312</v>
      </c>
      <c r="R8" s="626" t="s">
        <v>479</v>
      </c>
      <c r="S8" s="627">
        <v>26200</v>
      </c>
      <c r="V8" s="625">
        <v>312</v>
      </c>
      <c r="W8" s="626" t="s">
        <v>469</v>
      </c>
      <c r="X8" s="627">
        <f>2000-2000</f>
        <v>0</v>
      </c>
    </row>
    <row r="9" spans="1:24" x14ac:dyDescent="0.25">
      <c r="A9" s="625"/>
      <c r="B9" s="626"/>
      <c r="C9" s="627"/>
      <c r="E9" s="625">
        <v>312</v>
      </c>
      <c r="F9" s="626" t="s">
        <v>655</v>
      </c>
      <c r="G9" s="627">
        <v>60</v>
      </c>
      <c r="I9" s="625">
        <v>312</v>
      </c>
      <c r="J9" s="626" t="s">
        <v>631</v>
      </c>
      <c r="K9" s="627">
        <v>360</v>
      </c>
      <c r="M9" s="625">
        <v>312</v>
      </c>
      <c r="N9" s="626" t="s">
        <v>576</v>
      </c>
      <c r="O9" s="627">
        <v>60000</v>
      </c>
      <c r="Q9" s="625">
        <v>312</v>
      </c>
      <c r="R9" s="626" t="s">
        <v>469</v>
      </c>
      <c r="S9" s="627">
        <v>-970</v>
      </c>
      <c r="V9" s="625">
        <v>312</v>
      </c>
      <c r="W9" s="626" t="s">
        <v>472</v>
      </c>
      <c r="X9" s="627">
        <f>140-50-10</f>
        <v>80</v>
      </c>
    </row>
    <row r="10" spans="1:24" x14ac:dyDescent="0.25">
      <c r="A10" s="625"/>
      <c r="B10" s="626"/>
      <c r="C10" s="627"/>
      <c r="E10" s="625">
        <v>312</v>
      </c>
      <c r="F10" s="626" t="s">
        <v>659</v>
      </c>
      <c r="G10" s="627">
        <v>20</v>
      </c>
      <c r="I10" s="625">
        <v>312</v>
      </c>
      <c r="J10" s="626" t="s">
        <v>633</v>
      </c>
      <c r="K10" s="627">
        <v>2180</v>
      </c>
      <c r="M10" s="625">
        <v>312</v>
      </c>
      <c r="N10" s="626" t="s">
        <v>577</v>
      </c>
      <c r="O10" s="627">
        <v>500</v>
      </c>
      <c r="Q10" s="625">
        <v>312</v>
      </c>
      <c r="R10" s="626" t="s">
        <v>473</v>
      </c>
      <c r="S10" s="627">
        <v>170</v>
      </c>
      <c r="V10" s="625"/>
      <c r="W10" s="626"/>
      <c r="X10" s="627"/>
    </row>
    <row r="11" spans="1:24" ht="15.75" thickBot="1" x14ac:dyDescent="0.3">
      <c r="A11" s="625"/>
      <c r="B11" s="626"/>
      <c r="C11" s="627"/>
      <c r="E11" s="625"/>
      <c r="F11" s="626"/>
      <c r="G11" s="627"/>
      <c r="I11" s="625">
        <v>312</v>
      </c>
      <c r="J11" s="626" t="s">
        <v>635</v>
      </c>
      <c r="K11" s="627">
        <f>155-155</f>
        <v>0</v>
      </c>
      <c r="M11" s="625">
        <v>312</v>
      </c>
      <c r="N11" s="626" t="s">
        <v>580</v>
      </c>
      <c r="O11" s="627">
        <f>270-270</f>
        <v>0</v>
      </c>
      <c r="Q11" s="625">
        <v>312</v>
      </c>
      <c r="R11" s="626" t="s">
        <v>470</v>
      </c>
      <c r="S11" s="627">
        <v>1</v>
      </c>
      <c r="V11" s="839"/>
      <c r="W11" s="840"/>
      <c r="X11" s="841"/>
    </row>
    <row r="12" spans="1:24" ht="15.75" thickBot="1" x14ac:dyDescent="0.3">
      <c r="A12" s="839"/>
      <c r="B12" s="840"/>
      <c r="C12" s="841"/>
      <c r="E12" s="839"/>
      <c r="F12" s="840"/>
      <c r="G12" s="841"/>
      <c r="I12" s="625"/>
      <c r="J12" s="626"/>
      <c r="K12" s="627"/>
      <c r="M12" s="625">
        <v>312</v>
      </c>
      <c r="N12" s="626" t="s">
        <v>578</v>
      </c>
      <c r="O12" s="627">
        <v>155</v>
      </c>
      <c r="Q12" s="625">
        <v>312</v>
      </c>
      <c r="R12" s="626" t="s">
        <v>471</v>
      </c>
      <c r="S12" s="627">
        <f>200+400</f>
        <v>600</v>
      </c>
      <c r="V12" s="842" t="s">
        <v>173</v>
      </c>
      <c r="W12" s="843"/>
      <c r="X12" s="628">
        <f>SUM(X13:X14)</f>
        <v>0</v>
      </c>
    </row>
    <row r="13" spans="1:24" ht="15.75" thickBot="1" x14ac:dyDescent="0.3">
      <c r="A13" s="842" t="s">
        <v>173</v>
      </c>
      <c r="B13" s="843"/>
      <c r="C13" s="628">
        <f>SUM(C14:C15)</f>
        <v>0</v>
      </c>
      <c r="E13" s="842" t="s">
        <v>173</v>
      </c>
      <c r="F13" s="843"/>
      <c r="G13" s="628">
        <f>SUM(G14:G15)</f>
        <v>0</v>
      </c>
      <c r="I13" s="839"/>
      <c r="J13" s="840"/>
      <c r="K13" s="841"/>
      <c r="M13" s="625">
        <v>312</v>
      </c>
      <c r="N13" s="626" t="s">
        <v>579</v>
      </c>
      <c r="O13" s="627">
        <v>100</v>
      </c>
      <c r="Q13" s="625">
        <v>312</v>
      </c>
      <c r="R13" s="626" t="s">
        <v>483</v>
      </c>
      <c r="S13" s="627">
        <v>7200</v>
      </c>
      <c r="T13" s="458">
        <f>SUM(S8:S13)</f>
        <v>33201</v>
      </c>
      <c r="V13" s="629"/>
      <c r="W13" s="630"/>
      <c r="X13" s="631"/>
    </row>
    <row r="14" spans="1:24" ht="15.75" thickBot="1" x14ac:dyDescent="0.3">
      <c r="A14" s="629"/>
      <c r="B14" s="630"/>
      <c r="C14" s="631"/>
      <c r="E14" s="629"/>
      <c r="F14" s="630"/>
      <c r="G14" s="631"/>
      <c r="I14" s="842" t="s">
        <v>173</v>
      </c>
      <c r="J14" s="843"/>
      <c r="K14" s="628">
        <f>SUM(K15:K16)</f>
        <v>0</v>
      </c>
      <c r="M14" s="625"/>
      <c r="N14" s="626"/>
      <c r="O14" s="627"/>
      <c r="Q14" s="625">
        <v>312</v>
      </c>
      <c r="R14" s="626" t="s">
        <v>474</v>
      </c>
      <c r="S14" s="627">
        <f>53211+3106</f>
        <v>56317</v>
      </c>
      <c r="V14" s="629"/>
      <c r="W14" s="630"/>
      <c r="X14" s="631"/>
    </row>
    <row r="15" spans="1:24" ht="15.75" thickBot="1" x14ac:dyDescent="0.3">
      <c r="A15" s="629"/>
      <c r="B15" s="630"/>
      <c r="C15" s="631"/>
      <c r="E15" s="629"/>
      <c r="F15" s="630"/>
      <c r="G15" s="631"/>
      <c r="I15" s="629"/>
      <c r="J15" s="630"/>
      <c r="K15" s="631"/>
      <c r="M15" s="839"/>
      <c r="N15" s="840"/>
      <c r="O15" s="841"/>
      <c r="Q15" s="625">
        <v>312</v>
      </c>
      <c r="R15" s="626" t="s">
        <v>475</v>
      </c>
      <c r="S15" s="627">
        <v>188</v>
      </c>
      <c r="V15" s="844"/>
      <c r="W15" s="845"/>
      <c r="X15" s="846"/>
    </row>
    <row r="16" spans="1:24" ht="15.75" thickBot="1" x14ac:dyDescent="0.3">
      <c r="A16" s="844"/>
      <c r="B16" s="845"/>
      <c r="C16" s="846"/>
      <c r="E16" s="844"/>
      <c r="F16" s="845"/>
      <c r="G16" s="846"/>
      <c r="I16" s="629"/>
      <c r="J16" s="630"/>
      <c r="K16" s="631"/>
      <c r="M16" s="842" t="s">
        <v>173</v>
      </c>
      <c r="N16" s="843"/>
      <c r="O16" s="628">
        <f>SUM(O17:O18)</f>
        <v>0</v>
      </c>
      <c r="Q16" s="625">
        <v>312</v>
      </c>
      <c r="R16" s="626" t="s">
        <v>476</v>
      </c>
      <c r="S16" s="627">
        <v>4052</v>
      </c>
      <c r="V16" s="847" t="s">
        <v>195</v>
      </c>
      <c r="W16" s="848"/>
      <c r="X16" s="632">
        <f>SUM(X17:X19)</f>
        <v>0</v>
      </c>
    </row>
    <row r="17" spans="1:24" ht="15.75" thickBot="1" x14ac:dyDescent="0.3">
      <c r="A17" s="847" t="s">
        <v>195</v>
      </c>
      <c r="B17" s="848"/>
      <c r="C17" s="632">
        <f>SUM(C18:C19)</f>
        <v>0</v>
      </c>
      <c r="E17" s="847" t="s">
        <v>195</v>
      </c>
      <c r="F17" s="848"/>
      <c r="G17" s="632">
        <f>SUM(G18:G19)</f>
        <v>0</v>
      </c>
      <c r="I17" s="844"/>
      <c r="J17" s="845"/>
      <c r="K17" s="846"/>
      <c r="M17" s="629"/>
      <c r="N17" s="630"/>
      <c r="O17" s="631"/>
      <c r="Q17" s="625">
        <v>312</v>
      </c>
      <c r="R17" s="626" t="s">
        <v>478</v>
      </c>
      <c r="S17" s="627">
        <v>-250</v>
      </c>
      <c r="V17" s="724"/>
      <c r="W17" s="725"/>
      <c r="X17" s="726"/>
    </row>
    <row r="18" spans="1:24" ht="15.75" thickBot="1" x14ac:dyDescent="0.3">
      <c r="A18" s="746"/>
      <c r="B18" s="757"/>
      <c r="C18" s="758"/>
      <c r="E18" s="746"/>
      <c r="F18" s="757"/>
      <c r="G18" s="758"/>
      <c r="I18" s="847" t="s">
        <v>195</v>
      </c>
      <c r="J18" s="848"/>
      <c r="K18" s="632">
        <f>SUM(K19:K20)</f>
        <v>0</v>
      </c>
      <c r="M18" s="629"/>
      <c r="N18" s="630"/>
      <c r="O18" s="631"/>
      <c r="Q18" s="625">
        <v>312</v>
      </c>
      <c r="R18" s="626" t="s">
        <v>477</v>
      </c>
      <c r="S18" s="627">
        <f>-300-2008</f>
        <v>-2308</v>
      </c>
      <c r="T18" s="458">
        <f>SUM(S14:S18)</f>
        <v>57999</v>
      </c>
      <c r="V18" s="746"/>
      <c r="W18" s="757"/>
      <c r="X18" s="758"/>
    </row>
    <row r="19" spans="1:24" ht="15.75" thickBot="1" x14ac:dyDescent="0.3">
      <c r="A19" s="721"/>
      <c r="B19" s="722"/>
      <c r="C19" s="723"/>
      <c r="E19" s="721"/>
      <c r="F19" s="722"/>
      <c r="G19" s="723"/>
      <c r="I19" s="746"/>
      <c r="J19" s="757"/>
      <c r="K19" s="758"/>
      <c r="M19" s="844"/>
      <c r="N19" s="845"/>
      <c r="O19" s="846"/>
      <c r="Q19" s="625">
        <v>312</v>
      </c>
      <c r="R19" s="626" t="s">
        <v>537</v>
      </c>
      <c r="S19" s="627">
        <f>14500+2550</f>
        <v>17050</v>
      </c>
      <c r="T19" s="458"/>
      <c r="V19" s="721"/>
      <c r="W19" s="722"/>
      <c r="X19" s="723"/>
    </row>
    <row r="20" spans="1:24" ht="15.75" thickBot="1" x14ac:dyDescent="0.3">
      <c r="A20" s="849" t="s">
        <v>417</v>
      </c>
      <c r="B20" s="850"/>
      <c r="C20" s="639">
        <f>C7+C13+C17</f>
        <v>0</v>
      </c>
      <c r="E20" s="849" t="s">
        <v>417</v>
      </c>
      <c r="F20" s="850"/>
      <c r="G20" s="639">
        <f>G7+G13+G17</f>
        <v>80</v>
      </c>
      <c r="I20" s="721"/>
      <c r="J20" s="722"/>
      <c r="K20" s="723"/>
      <c r="M20" s="847" t="s">
        <v>195</v>
      </c>
      <c r="N20" s="848"/>
      <c r="O20" s="632">
        <f>SUM(O21:O22)</f>
        <v>0</v>
      </c>
      <c r="Q20" s="839"/>
      <c r="R20" s="840"/>
      <c r="S20" s="841"/>
      <c r="V20" s="849" t="s">
        <v>417</v>
      </c>
      <c r="W20" s="850"/>
      <c r="X20" s="639">
        <f>X7+X12+X16</f>
        <v>80</v>
      </c>
    </row>
    <row r="21" spans="1:24" ht="15.75" thickBot="1" x14ac:dyDescent="0.3">
      <c r="A21" s="640" t="s">
        <v>65</v>
      </c>
      <c r="B21" s="641" t="s">
        <v>418</v>
      </c>
      <c r="C21" s="642"/>
      <c r="E21" s="640" t="s">
        <v>65</v>
      </c>
      <c r="F21" s="641" t="s">
        <v>418</v>
      </c>
      <c r="G21" s="642"/>
      <c r="I21" s="849" t="s">
        <v>417</v>
      </c>
      <c r="J21" s="850"/>
      <c r="K21" s="639">
        <f>K7+K14+K18</f>
        <v>2570</v>
      </c>
      <c r="M21" s="746">
        <v>453</v>
      </c>
      <c r="N21" s="757" t="s">
        <v>536</v>
      </c>
      <c r="O21" s="758">
        <f>10-10</f>
        <v>0</v>
      </c>
      <c r="Q21" s="842" t="s">
        <v>173</v>
      </c>
      <c r="R21" s="843"/>
      <c r="S21" s="628">
        <f>SUM(S22:S23)</f>
        <v>0</v>
      </c>
      <c r="V21" s="640" t="s">
        <v>65</v>
      </c>
      <c r="W21" s="641" t="s">
        <v>418</v>
      </c>
      <c r="X21" s="642"/>
    </row>
    <row r="22" spans="1:24" ht="15.75" thickBot="1" x14ac:dyDescent="0.3">
      <c r="A22" s="601" t="s">
        <v>65</v>
      </c>
      <c r="B22" s="643" t="s">
        <v>419</v>
      </c>
      <c r="C22" s="644"/>
      <c r="E22" s="601" t="s">
        <v>65</v>
      </c>
      <c r="F22" s="643" t="s">
        <v>419</v>
      </c>
      <c r="G22" s="644"/>
      <c r="I22" s="640" t="s">
        <v>65</v>
      </c>
      <c r="J22" s="641" t="s">
        <v>418</v>
      </c>
      <c r="K22" s="642"/>
      <c r="M22" s="721">
        <v>453</v>
      </c>
      <c r="N22" s="722" t="s">
        <v>581</v>
      </c>
      <c r="O22" s="723">
        <f>3421-3421</f>
        <v>0</v>
      </c>
      <c r="Q22" s="629"/>
      <c r="R22" s="630"/>
      <c r="S22" s="631"/>
      <c r="V22" s="601" t="s">
        <v>65</v>
      </c>
      <c r="W22" s="643" t="s">
        <v>419</v>
      </c>
      <c r="X22" s="644"/>
    </row>
    <row r="23" spans="1:24" ht="15.75" thickBot="1" x14ac:dyDescent="0.3">
      <c r="A23" s="856" t="s">
        <v>487</v>
      </c>
      <c r="B23" s="857"/>
      <c r="C23" s="727">
        <f>SUM(C21:C22)</f>
        <v>0</v>
      </c>
      <c r="E23" s="856" t="s">
        <v>487</v>
      </c>
      <c r="F23" s="857"/>
      <c r="G23" s="727">
        <f>SUM(G21:G22)</f>
        <v>0</v>
      </c>
      <c r="I23" s="601" t="s">
        <v>65</v>
      </c>
      <c r="J23" s="643" t="s">
        <v>419</v>
      </c>
      <c r="K23" s="644"/>
      <c r="M23" s="849" t="s">
        <v>417</v>
      </c>
      <c r="N23" s="850"/>
      <c r="O23" s="639">
        <f>O7+O16+O20</f>
        <v>61585</v>
      </c>
      <c r="Q23" s="629"/>
      <c r="R23" s="630"/>
      <c r="S23" s="631"/>
      <c r="V23" s="856" t="s">
        <v>487</v>
      </c>
      <c r="W23" s="857"/>
      <c r="X23" s="727">
        <f>SUM(X21:X22)</f>
        <v>0</v>
      </c>
    </row>
    <row r="24" spans="1:24" ht="15.75" thickBot="1" x14ac:dyDescent="0.3">
      <c r="A24" s="851" t="s">
        <v>420</v>
      </c>
      <c r="B24" s="852"/>
      <c r="C24" s="645">
        <f>C20+C23</f>
        <v>0</v>
      </c>
      <c r="E24" s="851" t="s">
        <v>420</v>
      </c>
      <c r="F24" s="852"/>
      <c r="G24" s="645">
        <f>G20+G23</f>
        <v>80</v>
      </c>
      <c r="I24" s="856" t="s">
        <v>487</v>
      </c>
      <c r="J24" s="857"/>
      <c r="K24" s="727">
        <f>SUM(K22:K23)</f>
        <v>0</v>
      </c>
      <c r="M24" s="640" t="s">
        <v>65</v>
      </c>
      <c r="N24" s="641" t="s">
        <v>418</v>
      </c>
      <c r="O24" s="642"/>
      <c r="Q24" s="844"/>
      <c r="R24" s="845"/>
      <c r="S24" s="846"/>
      <c r="V24" s="851" t="s">
        <v>420</v>
      </c>
      <c r="W24" s="852"/>
      <c r="X24" s="645">
        <f>X20+X23</f>
        <v>80</v>
      </c>
    </row>
    <row r="25" spans="1:24" ht="15.75" thickBot="1" x14ac:dyDescent="0.3">
      <c r="B25" s="598"/>
      <c r="C25" s="458"/>
      <c r="F25" s="598"/>
      <c r="G25" s="458"/>
      <c r="I25" s="851" t="s">
        <v>420</v>
      </c>
      <c r="J25" s="852"/>
      <c r="K25" s="645">
        <f>K21+K24</f>
        <v>2570</v>
      </c>
      <c r="M25" s="601" t="s">
        <v>65</v>
      </c>
      <c r="N25" s="643" t="s">
        <v>419</v>
      </c>
      <c r="O25" s="644"/>
      <c r="Q25" s="847" t="s">
        <v>195</v>
      </c>
      <c r="R25" s="848"/>
      <c r="S25" s="632">
        <f>SUM(S26:S28)</f>
        <v>-17030</v>
      </c>
      <c r="T25" s="458">
        <f>S25+3421</f>
        <v>-13609</v>
      </c>
      <c r="W25" s="598"/>
      <c r="X25" s="458"/>
    </row>
    <row r="26" spans="1:24" ht="15.75" thickBot="1" x14ac:dyDescent="0.3">
      <c r="A26" s="833" t="s">
        <v>421</v>
      </c>
      <c r="B26" s="833"/>
      <c r="C26" s="833"/>
      <c r="E26" s="833" t="s">
        <v>421</v>
      </c>
      <c r="F26" s="833"/>
      <c r="G26" s="833"/>
      <c r="J26" s="598"/>
      <c r="K26" s="458"/>
      <c r="M26" s="856" t="s">
        <v>487</v>
      </c>
      <c r="N26" s="857"/>
      <c r="O26" s="727">
        <f>SUM(O24:O25)</f>
        <v>0</v>
      </c>
      <c r="Q26" s="724">
        <v>453</v>
      </c>
      <c r="R26" s="725" t="s">
        <v>480</v>
      </c>
      <c r="S26" s="726">
        <f>780-90</f>
        <v>690</v>
      </c>
      <c r="V26" s="833" t="s">
        <v>421</v>
      </c>
      <c r="W26" s="833"/>
      <c r="X26" s="833"/>
    </row>
    <row r="27" spans="1:24" ht="15.75" thickBot="1" x14ac:dyDescent="0.3">
      <c r="A27" s="646" t="s">
        <v>271</v>
      </c>
      <c r="B27" s="647" t="s">
        <v>422</v>
      </c>
      <c r="C27" s="648" t="s">
        <v>423</v>
      </c>
      <c r="E27" s="646" t="s">
        <v>271</v>
      </c>
      <c r="F27" s="647" t="s">
        <v>422</v>
      </c>
      <c r="G27" s="648" t="s">
        <v>423</v>
      </c>
      <c r="I27" s="833" t="s">
        <v>421</v>
      </c>
      <c r="J27" s="833"/>
      <c r="K27" s="833"/>
      <c r="M27" s="851" t="s">
        <v>420</v>
      </c>
      <c r="N27" s="852"/>
      <c r="O27" s="645">
        <f>O23+O26</f>
        <v>61585</v>
      </c>
      <c r="Q27" s="746">
        <v>453</v>
      </c>
      <c r="R27" s="757" t="s">
        <v>536</v>
      </c>
      <c r="S27" s="758">
        <f>-14500-2550</f>
        <v>-17050</v>
      </c>
      <c r="V27" s="646" t="s">
        <v>271</v>
      </c>
      <c r="W27" s="647" t="s">
        <v>422</v>
      </c>
      <c r="X27" s="648" t="s">
        <v>423</v>
      </c>
    </row>
    <row r="28" spans="1:24" ht="15.75" thickBot="1" x14ac:dyDescent="0.3">
      <c r="A28" s="837" t="s">
        <v>416</v>
      </c>
      <c r="B28" s="838"/>
      <c r="C28" s="649">
        <f>SUM(C29:C36)</f>
        <v>0</v>
      </c>
      <c r="E28" s="837" t="s">
        <v>416</v>
      </c>
      <c r="F28" s="838"/>
      <c r="G28" s="649">
        <f>SUM(G29:G36)</f>
        <v>80</v>
      </c>
      <c r="I28" s="646" t="s">
        <v>271</v>
      </c>
      <c r="J28" s="647" t="s">
        <v>422</v>
      </c>
      <c r="K28" s="648" t="s">
        <v>423</v>
      </c>
      <c r="N28" s="598"/>
      <c r="O28" s="458"/>
      <c r="Q28" s="721">
        <v>453</v>
      </c>
      <c r="R28" s="722" t="s">
        <v>501</v>
      </c>
      <c r="S28" s="723">
        <v>-670</v>
      </c>
      <c r="V28" s="837" t="s">
        <v>416</v>
      </c>
      <c r="W28" s="838"/>
      <c r="X28" s="649">
        <f>SUM(X29:X34)</f>
        <v>80</v>
      </c>
    </row>
    <row r="29" spans="1:24" ht="15.75" thickBot="1" x14ac:dyDescent="0.3">
      <c r="A29" s="650"/>
      <c r="B29" s="651"/>
      <c r="C29" s="627"/>
      <c r="E29" s="650" t="s">
        <v>94</v>
      </c>
      <c r="F29" s="651" t="s">
        <v>656</v>
      </c>
      <c r="G29" s="627">
        <v>60</v>
      </c>
      <c r="I29" s="837" t="s">
        <v>416</v>
      </c>
      <c r="J29" s="838"/>
      <c r="K29" s="649">
        <f>SUM(K30:K36)</f>
        <v>390</v>
      </c>
      <c r="M29" s="833" t="s">
        <v>421</v>
      </c>
      <c r="N29" s="833"/>
      <c r="O29" s="833"/>
      <c r="Q29" s="849" t="s">
        <v>417</v>
      </c>
      <c r="R29" s="850"/>
      <c r="S29" s="639">
        <f>S7+S21+S25</f>
        <v>91220</v>
      </c>
      <c r="V29" s="650" t="s">
        <v>75</v>
      </c>
      <c r="W29" s="651" t="s">
        <v>493</v>
      </c>
      <c r="X29" s="627">
        <f>1505-1505</f>
        <v>0</v>
      </c>
    </row>
    <row r="30" spans="1:24" ht="15.75" thickBot="1" x14ac:dyDescent="0.3">
      <c r="A30" s="650"/>
      <c r="B30" s="651"/>
      <c r="C30" s="627"/>
      <c r="E30" s="650" t="s">
        <v>125</v>
      </c>
      <c r="F30" s="651" t="s">
        <v>698</v>
      </c>
      <c r="G30" s="627">
        <v>300</v>
      </c>
      <c r="I30" s="650" t="s">
        <v>79</v>
      </c>
      <c r="J30" s="651" t="s">
        <v>639</v>
      </c>
      <c r="K30" s="627">
        <f>20-20</f>
        <v>0</v>
      </c>
      <c r="M30" s="646" t="s">
        <v>271</v>
      </c>
      <c r="N30" s="647" t="s">
        <v>422</v>
      </c>
      <c r="O30" s="648" t="s">
        <v>423</v>
      </c>
      <c r="Q30" s="640" t="s">
        <v>65</v>
      </c>
      <c r="R30" s="641" t="s">
        <v>418</v>
      </c>
      <c r="S30" s="642"/>
      <c r="V30" s="650" t="s">
        <v>81</v>
      </c>
      <c r="W30" s="651" t="s">
        <v>543</v>
      </c>
      <c r="X30" s="627">
        <f>140-50-10</f>
        <v>80</v>
      </c>
    </row>
    <row r="31" spans="1:24" ht="15.75" thickBot="1" x14ac:dyDescent="0.3">
      <c r="A31" s="650"/>
      <c r="B31" s="651"/>
      <c r="C31" s="627"/>
      <c r="E31" s="650" t="s">
        <v>125</v>
      </c>
      <c r="F31" s="651" t="s">
        <v>701</v>
      </c>
      <c r="G31" s="627">
        <f>-100-40</f>
        <v>-140</v>
      </c>
      <c r="I31" s="650" t="s">
        <v>92</v>
      </c>
      <c r="J31" s="651" t="s">
        <v>638</v>
      </c>
      <c r="K31" s="627">
        <f>30-30</f>
        <v>0</v>
      </c>
      <c r="M31" s="837" t="s">
        <v>416</v>
      </c>
      <c r="N31" s="838"/>
      <c r="O31" s="649">
        <f>SUM(O32:O48)</f>
        <v>61585</v>
      </c>
      <c r="Q31" s="601" t="s">
        <v>65</v>
      </c>
      <c r="R31" s="643" t="s">
        <v>419</v>
      </c>
      <c r="S31" s="644"/>
      <c r="V31" s="650" t="s">
        <v>83</v>
      </c>
      <c r="W31" s="651" t="s">
        <v>481</v>
      </c>
      <c r="X31" s="627">
        <f>2097-2097</f>
        <v>0</v>
      </c>
    </row>
    <row r="32" spans="1:24" ht="15.75" thickBot="1" x14ac:dyDescent="0.3">
      <c r="A32" s="650"/>
      <c r="B32" s="651"/>
      <c r="C32" s="627"/>
      <c r="E32" s="650" t="s">
        <v>125</v>
      </c>
      <c r="F32" s="651" t="s">
        <v>602</v>
      </c>
      <c r="G32" s="627">
        <v>100</v>
      </c>
      <c r="I32" s="650" t="s">
        <v>119</v>
      </c>
      <c r="J32" s="651" t="s">
        <v>643</v>
      </c>
      <c r="K32" s="627">
        <f>30</f>
        <v>30</v>
      </c>
      <c r="M32" s="650" t="s">
        <v>75</v>
      </c>
      <c r="N32" s="651" t="s">
        <v>623</v>
      </c>
      <c r="O32" s="627">
        <f>1200+55-55</f>
        <v>1200</v>
      </c>
      <c r="Q32" s="856" t="s">
        <v>487</v>
      </c>
      <c r="R32" s="857"/>
      <c r="S32" s="727">
        <f>SUM(S30:S31)</f>
        <v>0</v>
      </c>
      <c r="V32" s="650" t="s">
        <v>87</v>
      </c>
      <c r="W32" s="651" t="s">
        <v>494</v>
      </c>
      <c r="X32" s="627">
        <f>57-57</f>
        <v>0</v>
      </c>
    </row>
    <row r="33" spans="1:24" ht="15.75" thickBot="1" x14ac:dyDescent="0.3">
      <c r="A33" s="650"/>
      <c r="B33" s="651"/>
      <c r="C33" s="627"/>
      <c r="E33" s="650" t="s">
        <v>125</v>
      </c>
      <c r="F33" s="651" t="s">
        <v>700</v>
      </c>
      <c r="G33" s="627">
        <v>-260</v>
      </c>
      <c r="H33" s="923">
        <f>SUM(G30:G33)</f>
        <v>0</v>
      </c>
      <c r="I33" s="650" t="s">
        <v>125</v>
      </c>
      <c r="J33" s="651" t="s">
        <v>640</v>
      </c>
      <c r="K33" s="627">
        <f>-820+700+120</f>
        <v>0</v>
      </c>
      <c r="M33" s="650" t="s">
        <v>87</v>
      </c>
      <c r="N33" s="651" t="s">
        <v>586</v>
      </c>
      <c r="O33" s="627">
        <v>11750</v>
      </c>
      <c r="Q33" s="851" t="s">
        <v>420</v>
      </c>
      <c r="R33" s="852"/>
      <c r="S33" s="645">
        <f>S29+S32</f>
        <v>91220</v>
      </c>
      <c r="V33" s="650" t="s">
        <v>150</v>
      </c>
      <c r="W33" s="651" t="s">
        <v>544</v>
      </c>
      <c r="X33" s="627">
        <f>100-100</f>
        <v>0</v>
      </c>
    </row>
    <row r="34" spans="1:24" x14ac:dyDescent="0.25">
      <c r="A34" s="650"/>
      <c r="B34" s="651"/>
      <c r="C34" s="627"/>
      <c r="E34" s="650" t="s">
        <v>151</v>
      </c>
      <c r="F34" s="651" t="s">
        <v>660</v>
      </c>
      <c r="G34" s="627">
        <v>20</v>
      </c>
      <c r="I34" s="650" t="s">
        <v>134</v>
      </c>
      <c r="J34" s="651" t="s">
        <v>637</v>
      </c>
      <c r="K34" s="627">
        <f>155-155</f>
        <v>0</v>
      </c>
      <c r="M34" s="650" t="s">
        <v>94</v>
      </c>
      <c r="N34" s="651" t="s">
        <v>582</v>
      </c>
      <c r="O34" s="627">
        <f>3421-3421</f>
        <v>0</v>
      </c>
      <c r="R34" s="598"/>
      <c r="S34" s="458"/>
      <c r="V34" s="650"/>
      <c r="W34" s="651"/>
      <c r="X34" s="627"/>
    </row>
    <row r="35" spans="1:24" ht="15.75" thickBot="1" x14ac:dyDescent="0.3">
      <c r="A35" s="650"/>
      <c r="B35" s="651"/>
      <c r="C35" s="627"/>
      <c r="E35" s="650" t="s">
        <v>153</v>
      </c>
      <c r="F35" s="651" t="s">
        <v>661</v>
      </c>
      <c r="G35" s="627">
        <f>-8900+8900</f>
        <v>0</v>
      </c>
      <c r="I35" s="650" t="s">
        <v>151</v>
      </c>
      <c r="J35" s="651" t="s">
        <v>632</v>
      </c>
      <c r="K35" s="627">
        <v>360</v>
      </c>
      <c r="M35" s="650" t="s">
        <v>99</v>
      </c>
      <c r="N35" s="651" t="s">
        <v>624</v>
      </c>
      <c r="O35" s="627">
        <f>100+830</f>
        <v>930</v>
      </c>
      <c r="Q35" s="833" t="s">
        <v>421</v>
      </c>
      <c r="R35" s="833"/>
      <c r="S35" s="833"/>
      <c r="V35" s="652"/>
      <c r="W35" s="653"/>
      <c r="X35" s="654"/>
    </row>
    <row r="36" spans="1:24" ht="15.75" thickBot="1" x14ac:dyDescent="0.3">
      <c r="A36" s="650"/>
      <c r="B36" s="651"/>
      <c r="C36" s="627"/>
      <c r="E36" s="650"/>
      <c r="F36" s="651"/>
      <c r="G36" s="627"/>
      <c r="I36" s="650"/>
      <c r="J36" s="651"/>
      <c r="K36" s="627"/>
      <c r="M36" s="650" t="s">
        <v>101</v>
      </c>
      <c r="N36" s="651" t="s">
        <v>587</v>
      </c>
      <c r="O36" s="627">
        <v>12100</v>
      </c>
      <c r="Q36" s="646" t="s">
        <v>271</v>
      </c>
      <c r="R36" s="647" t="s">
        <v>422</v>
      </c>
      <c r="S36" s="648" t="s">
        <v>423</v>
      </c>
      <c r="V36" s="842" t="s">
        <v>173</v>
      </c>
      <c r="W36" s="853"/>
      <c r="X36" s="655">
        <f>SUM(X37:X37)</f>
        <v>0</v>
      </c>
    </row>
    <row r="37" spans="1:24" ht="15.75" thickBot="1" x14ac:dyDescent="0.3">
      <c r="A37" s="652"/>
      <c r="B37" s="653"/>
      <c r="C37" s="654"/>
      <c r="E37" s="652"/>
      <c r="F37" s="653"/>
      <c r="G37" s="654"/>
      <c r="I37" s="652"/>
      <c r="J37" s="653"/>
      <c r="K37" s="654"/>
      <c r="M37" s="650" t="s">
        <v>108</v>
      </c>
      <c r="N37" s="651" t="s">
        <v>584</v>
      </c>
      <c r="O37" s="627">
        <v>3780</v>
      </c>
      <c r="Q37" s="837" t="s">
        <v>416</v>
      </c>
      <c r="R37" s="838"/>
      <c r="S37" s="649">
        <f>SUM(S38:S49)</f>
        <v>33221</v>
      </c>
      <c r="V37" s="656"/>
      <c r="W37" s="657"/>
      <c r="X37" s="658"/>
    </row>
    <row r="38" spans="1:24" ht="15.75" thickBot="1" x14ac:dyDescent="0.3">
      <c r="A38" s="842" t="s">
        <v>173</v>
      </c>
      <c r="B38" s="853"/>
      <c r="C38" s="655">
        <f>SUM(C39:C39)</f>
        <v>0</v>
      </c>
      <c r="E38" s="842" t="s">
        <v>173</v>
      </c>
      <c r="F38" s="853"/>
      <c r="G38" s="655">
        <f>SUM(G39:G39)</f>
        <v>0</v>
      </c>
      <c r="I38" s="842" t="s">
        <v>173</v>
      </c>
      <c r="J38" s="853"/>
      <c r="K38" s="655">
        <f>SUM(K39:K39)</f>
        <v>0</v>
      </c>
      <c r="M38" s="650" t="s">
        <v>110</v>
      </c>
      <c r="N38" s="651" t="s">
        <v>591</v>
      </c>
      <c r="O38" s="627">
        <v>12400</v>
      </c>
      <c r="Q38" s="650" t="s">
        <v>75</v>
      </c>
      <c r="R38" s="651" t="s">
        <v>563</v>
      </c>
      <c r="S38" s="627">
        <f>-300+300</f>
        <v>0</v>
      </c>
      <c r="V38" s="847" t="s">
        <v>195</v>
      </c>
      <c r="W38" s="854"/>
      <c r="X38" s="632">
        <f>X39</f>
        <v>0</v>
      </c>
    </row>
    <row r="39" spans="1:24" ht="15.75" thickBot="1" x14ac:dyDescent="0.3">
      <c r="A39" s="656"/>
      <c r="B39" s="657"/>
      <c r="C39" s="658"/>
      <c r="E39" s="656"/>
      <c r="F39" s="657"/>
      <c r="G39" s="658"/>
      <c r="I39" s="656"/>
      <c r="J39" s="657"/>
      <c r="K39" s="658"/>
      <c r="M39" s="650" t="s">
        <v>112</v>
      </c>
      <c r="N39" s="651" t="s">
        <v>592</v>
      </c>
      <c r="O39" s="627">
        <f>2400+1390</f>
        <v>3790</v>
      </c>
      <c r="Q39" s="650" t="s">
        <v>77</v>
      </c>
      <c r="R39" s="651" t="s">
        <v>564</v>
      </c>
      <c r="S39" s="627">
        <f>-100+100</f>
        <v>0</v>
      </c>
      <c r="V39" s="659"/>
      <c r="W39" s="660"/>
      <c r="X39" s="661"/>
    </row>
    <row r="40" spans="1:24" ht="15.75" thickBot="1" x14ac:dyDescent="0.3">
      <c r="A40" s="847" t="s">
        <v>195</v>
      </c>
      <c r="B40" s="854"/>
      <c r="C40" s="632">
        <f>C41</f>
        <v>0</v>
      </c>
      <c r="E40" s="847" t="s">
        <v>195</v>
      </c>
      <c r="F40" s="854"/>
      <c r="G40" s="632">
        <f>G41</f>
        <v>0</v>
      </c>
      <c r="I40" s="847" t="s">
        <v>195</v>
      </c>
      <c r="J40" s="854"/>
      <c r="K40" s="632">
        <f>K41</f>
        <v>0</v>
      </c>
      <c r="M40" s="650" t="s">
        <v>123</v>
      </c>
      <c r="N40" s="651" t="s">
        <v>589</v>
      </c>
      <c r="O40" s="627">
        <v>8920</v>
      </c>
      <c r="Q40" s="650" t="s">
        <v>83</v>
      </c>
      <c r="R40" s="651" t="s">
        <v>562</v>
      </c>
      <c r="S40" s="627">
        <v>-970</v>
      </c>
      <c r="V40" s="849" t="s">
        <v>417</v>
      </c>
      <c r="W40" s="850"/>
      <c r="X40" s="639">
        <f>X28+X36+X38</f>
        <v>80</v>
      </c>
    </row>
    <row r="41" spans="1:24" ht="15.75" thickBot="1" x14ac:dyDescent="0.3">
      <c r="A41" s="659"/>
      <c r="B41" s="660"/>
      <c r="C41" s="661"/>
      <c r="E41" s="659"/>
      <c r="F41" s="660"/>
      <c r="G41" s="661"/>
      <c r="I41" s="659"/>
      <c r="J41" s="660"/>
      <c r="K41" s="661"/>
      <c r="M41" s="650" t="s">
        <v>125</v>
      </c>
      <c r="N41" s="651" t="s">
        <v>590</v>
      </c>
      <c r="O41" s="627">
        <f>200+1340-1000</f>
        <v>540</v>
      </c>
      <c r="Q41" s="650" t="s">
        <v>94</v>
      </c>
      <c r="R41" s="651" t="s">
        <v>554</v>
      </c>
      <c r="S41" s="627">
        <v>600</v>
      </c>
      <c r="V41" s="662" t="s">
        <v>65</v>
      </c>
      <c r="W41" s="663" t="s">
        <v>424</v>
      </c>
      <c r="X41" s="664"/>
    </row>
    <row r="42" spans="1:24" ht="15.75" thickBot="1" x14ac:dyDescent="0.3">
      <c r="A42" s="849" t="s">
        <v>417</v>
      </c>
      <c r="B42" s="850"/>
      <c r="C42" s="639">
        <f>C28+C38+C40</f>
        <v>0</v>
      </c>
      <c r="E42" s="849" t="s">
        <v>417</v>
      </c>
      <c r="F42" s="850"/>
      <c r="G42" s="639">
        <f>G28+G38+G40</f>
        <v>80</v>
      </c>
      <c r="I42" s="849" t="s">
        <v>417</v>
      </c>
      <c r="J42" s="850"/>
      <c r="K42" s="639">
        <f>K29+K38+K40</f>
        <v>390</v>
      </c>
      <c r="M42" s="650" t="s">
        <v>125</v>
      </c>
      <c r="N42" s="651" t="s">
        <v>519</v>
      </c>
      <c r="O42" s="627">
        <v>-340</v>
      </c>
      <c r="Q42" s="650" t="s">
        <v>96</v>
      </c>
      <c r="R42" s="651" t="s">
        <v>565</v>
      </c>
      <c r="S42" s="627">
        <f>-4600+4600</f>
        <v>0</v>
      </c>
      <c r="V42" s="665" t="s">
        <v>65</v>
      </c>
      <c r="W42" s="494" t="s">
        <v>425</v>
      </c>
      <c r="X42" s="666"/>
    </row>
    <row r="43" spans="1:24" ht="15.75" thickBot="1" x14ac:dyDescent="0.3">
      <c r="A43" s="662" t="s">
        <v>65</v>
      </c>
      <c r="B43" s="663" t="s">
        <v>424</v>
      </c>
      <c r="C43" s="664"/>
      <c r="E43" s="662" t="s">
        <v>65</v>
      </c>
      <c r="F43" s="663" t="s">
        <v>424</v>
      </c>
      <c r="G43" s="664"/>
      <c r="I43" s="662" t="s">
        <v>65</v>
      </c>
      <c r="J43" s="663" t="s">
        <v>424</v>
      </c>
      <c r="K43" s="664"/>
      <c r="M43" s="650" t="s">
        <v>129</v>
      </c>
      <c r="N43" s="651" t="s">
        <v>583</v>
      </c>
      <c r="O43" s="627">
        <v>320</v>
      </c>
      <c r="Q43" s="650" t="s">
        <v>125</v>
      </c>
      <c r="R43" s="651" t="s">
        <v>486</v>
      </c>
      <c r="S43" s="627">
        <f>300-300</f>
        <v>0</v>
      </c>
      <c r="V43" s="851" t="s">
        <v>420</v>
      </c>
      <c r="W43" s="855"/>
      <c r="X43" s="645">
        <f>SUM(X40:X42)</f>
        <v>80</v>
      </c>
    </row>
    <row r="44" spans="1:24" ht="15.75" thickBot="1" x14ac:dyDescent="0.3">
      <c r="A44" s="665" t="s">
        <v>65</v>
      </c>
      <c r="B44" s="494" t="s">
        <v>425</v>
      </c>
      <c r="C44" s="666"/>
      <c r="E44" s="665" t="s">
        <v>65</v>
      </c>
      <c r="F44" s="494" t="s">
        <v>425</v>
      </c>
      <c r="G44" s="666"/>
      <c r="I44" s="665" t="s">
        <v>65</v>
      </c>
      <c r="J44" s="494" t="s">
        <v>425</v>
      </c>
      <c r="K44" s="666">
        <v>2180</v>
      </c>
      <c r="M44" s="650" t="s">
        <v>134</v>
      </c>
      <c r="N44" s="651" t="s">
        <v>588</v>
      </c>
      <c r="O44" s="627">
        <f>155+100+800</f>
        <v>1055</v>
      </c>
      <c r="Q44" s="650" t="s">
        <v>129</v>
      </c>
      <c r="R44" s="651" t="s">
        <v>485</v>
      </c>
      <c r="S44" s="627">
        <v>1</v>
      </c>
      <c r="W44" s="667" t="s">
        <v>426</v>
      </c>
      <c r="X44" s="458">
        <f>X43-X24</f>
        <v>0</v>
      </c>
    </row>
    <row r="45" spans="1:24" ht="15.75" thickBot="1" x14ac:dyDescent="0.3">
      <c r="A45" s="851" t="s">
        <v>420</v>
      </c>
      <c r="B45" s="855"/>
      <c r="C45" s="645">
        <f>SUM(C42:C44)</f>
        <v>0</v>
      </c>
      <c r="E45" s="851" t="s">
        <v>420</v>
      </c>
      <c r="F45" s="855"/>
      <c r="G45" s="645">
        <f>SUM(G42:G44)</f>
        <v>80</v>
      </c>
      <c r="I45" s="851" t="s">
        <v>420</v>
      </c>
      <c r="J45" s="855"/>
      <c r="K45" s="645">
        <f>SUM(K42:K44)</f>
        <v>2570</v>
      </c>
      <c r="M45" s="650" t="s">
        <v>146</v>
      </c>
      <c r="N45" s="651" t="s">
        <v>625</v>
      </c>
      <c r="O45" s="627">
        <v>4080</v>
      </c>
      <c r="Q45" s="650" t="s">
        <v>134</v>
      </c>
      <c r="R45" s="651" t="s">
        <v>484</v>
      </c>
      <c r="S45" s="627">
        <v>7200</v>
      </c>
    </row>
    <row r="46" spans="1:24" x14ac:dyDescent="0.25">
      <c r="B46" s="667" t="s">
        <v>426</v>
      </c>
      <c r="C46" s="458">
        <f>C45-C24</f>
        <v>0</v>
      </c>
      <c r="F46" s="667" t="s">
        <v>426</v>
      </c>
      <c r="G46" s="458">
        <f>G45-G24</f>
        <v>0</v>
      </c>
      <c r="J46" s="667" t="s">
        <v>426</v>
      </c>
      <c r="K46" s="458">
        <f>K45-K25</f>
        <v>0</v>
      </c>
      <c r="M46" s="650" t="s">
        <v>147</v>
      </c>
      <c r="N46" s="651" t="s">
        <v>585</v>
      </c>
      <c r="O46" s="627">
        <v>500</v>
      </c>
      <c r="Q46" s="650" t="s">
        <v>500</v>
      </c>
      <c r="R46" s="651" t="s">
        <v>556</v>
      </c>
      <c r="S46" s="627">
        <f>780-90</f>
        <v>690</v>
      </c>
      <c r="V46" t="s">
        <v>427</v>
      </c>
    </row>
    <row r="47" spans="1:24" x14ac:dyDescent="0.25">
      <c r="M47" s="650" t="s">
        <v>150</v>
      </c>
      <c r="N47" s="651" t="s">
        <v>616</v>
      </c>
      <c r="O47" s="627">
        <f>400+160</f>
        <v>560</v>
      </c>
      <c r="Q47" s="650" t="s">
        <v>150</v>
      </c>
      <c r="R47" s="651" t="s">
        <v>538</v>
      </c>
      <c r="S47" s="627">
        <v>-670</v>
      </c>
      <c r="V47" s="668" t="s">
        <v>545</v>
      </c>
    </row>
    <row r="48" spans="1:24" x14ac:dyDescent="0.25">
      <c r="M48" s="650"/>
      <c r="N48" s="651"/>
      <c r="O48" s="627"/>
      <c r="Q48" s="650" t="s">
        <v>150</v>
      </c>
      <c r="R48" s="651" t="s">
        <v>566</v>
      </c>
      <c r="S48" s="627">
        <v>26200</v>
      </c>
    </row>
    <row r="49" spans="1:19" ht="15.75" thickBot="1" x14ac:dyDescent="0.3">
      <c r="A49" s="668" t="s">
        <v>703</v>
      </c>
      <c r="E49" s="668" t="s">
        <v>681</v>
      </c>
      <c r="I49" s="668" t="s">
        <v>634</v>
      </c>
      <c r="M49" s="652"/>
      <c r="N49" s="653"/>
      <c r="O49" s="654"/>
      <c r="Q49" s="650" t="s">
        <v>151</v>
      </c>
      <c r="R49" s="651" t="s">
        <v>482</v>
      </c>
      <c r="S49" s="627">
        <v>170</v>
      </c>
    </row>
    <row r="50" spans="1:19" ht="15.75" thickBot="1" x14ac:dyDescent="0.3">
      <c r="A50" t="s">
        <v>427</v>
      </c>
      <c r="E50" t="s">
        <v>427</v>
      </c>
      <c r="I50" t="s">
        <v>427</v>
      </c>
      <c r="M50" s="842" t="s">
        <v>173</v>
      </c>
      <c r="N50" s="853"/>
      <c r="O50" s="655">
        <f>SUM(O51:O51)</f>
        <v>0</v>
      </c>
      <c r="Q50" s="652"/>
      <c r="R50" s="653"/>
      <c r="S50" s="654"/>
    </row>
    <row r="51" spans="1:19" ht="15.75" thickBot="1" x14ac:dyDescent="0.3">
      <c r="A51" t="s">
        <v>628</v>
      </c>
      <c r="E51" t="s">
        <v>628</v>
      </c>
      <c r="I51" t="s">
        <v>628</v>
      </c>
      <c r="M51" s="656"/>
      <c r="N51" s="657"/>
      <c r="O51" s="658"/>
      <c r="Q51" s="842" t="s">
        <v>173</v>
      </c>
      <c r="R51" s="853"/>
      <c r="S51" s="655">
        <f>SUM(S52:S52)</f>
        <v>0</v>
      </c>
    </row>
    <row r="52" spans="1:19" ht="15.75" thickBot="1" x14ac:dyDescent="0.3">
      <c r="M52" s="847" t="s">
        <v>195</v>
      </c>
      <c r="N52" s="854"/>
      <c r="O52" s="632">
        <f>O53</f>
        <v>0</v>
      </c>
      <c r="Q52" s="656"/>
      <c r="R52" s="657"/>
      <c r="S52" s="658"/>
    </row>
    <row r="53" spans="1:19" ht="15.75" thickBot="1" x14ac:dyDescent="0.3">
      <c r="M53" s="659"/>
      <c r="N53" s="660"/>
      <c r="O53" s="661"/>
      <c r="Q53" s="847" t="s">
        <v>195</v>
      </c>
      <c r="R53" s="854"/>
      <c r="S53" s="632">
        <f>S54</f>
        <v>0</v>
      </c>
    </row>
    <row r="54" spans="1:19" ht="15.75" thickBot="1" x14ac:dyDescent="0.3">
      <c r="M54" s="849" t="s">
        <v>417</v>
      </c>
      <c r="N54" s="850"/>
      <c r="O54" s="639">
        <f>O31+O50+O52</f>
        <v>61585</v>
      </c>
      <c r="Q54" s="659"/>
      <c r="R54" s="660"/>
      <c r="S54" s="661"/>
    </row>
    <row r="55" spans="1:19" ht="15.75" thickBot="1" x14ac:dyDescent="0.3">
      <c r="M55" s="662" t="s">
        <v>65</v>
      </c>
      <c r="N55" s="663" t="s">
        <v>424</v>
      </c>
      <c r="O55" s="664"/>
      <c r="Q55" s="849" t="s">
        <v>417</v>
      </c>
      <c r="R55" s="850"/>
      <c r="S55" s="639">
        <f>S37+S51+S53</f>
        <v>33221</v>
      </c>
    </row>
    <row r="56" spans="1:19" ht="15.75" thickBot="1" x14ac:dyDescent="0.3">
      <c r="M56" s="665" t="s">
        <v>65</v>
      </c>
      <c r="N56" s="494" t="s">
        <v>425</v>
      </c>
      <c r="O56" s="666"/>
      <c r="Q56" s="662" t="s">
        <v>65</v>
      </c>
      <c r="R56" s="663" t="s">
        <v>424</v>
      </c>
      <c r="S56" s="664"/>
    </row>
    <row r="57" spans="1:19" ht="15.75" thickBot="1" x14ac:dyDescent="0.3">
      <c r="M57" s="851" t="s">
        <v>420</v>
      </c>
      <c r="N57" s="855"/>
      <c r="O57" s="645">
        <f>SUM(O54:O56)</f>
        <v>61585</v>
      </c>
      <c r="Q57" s="665" t="s">
        <v>65</v>
      </c>
      <c r="R57" s="494" t="s">
        <v>425</v>
      </c>
      <c r="S57" s="666">
        <f>54893+3106</f>
        <v>57999</v>
      </c>
    </row>
    <row r="58" spans="1:19" ht="15.75" thickBot="1" x14ac:dyDescent="0.3">
      <c r="N58" s="667" t="s">
        <v>426</v>
      </c>
      <c r="O58" s="458">
        <f>O57-O27</f>
        <v>0</v>
      </c>
      <c r="Q58" s="851" t="s">
        <v>420</v>
      </c>
      <c r="R58" s="855"/>
      <c r="S58" s="645">
        <f>SUM(S55:S57)</f>
        <v>91220</v>
      </c>
    </row>
    <row r="59" spans="1:19" x14ac:dyDescent="0.25">
      <c r="R59" s="667" t="s">
        <v>426</v>
      </c>
      <c r="S59" s="458">
        <f>S58-S33</f>
        <v>0</v>
      </c>
    </row>
    <row r="60" spans="1:19" x14ac:dyDescent="0.25">
      <c r="M60" t="s">
        <v>427</v>
      </c>
    </row>
    <row r="61" spans="1:19" x14ac:dyDescent="0.25">
      <c r="M61" s="668" t="s">
        <v>575</v>
      </c>
      <c r="Q61" t="s">
        <v>427</v>
      </c>
    </row>
    <row r="62" spans="1:19" x14ac:dyDescent="0.25">
      <c r="Q62" s="668" t="s">
        <v>555</v>
      </c>
    </row>
  </sheetData>
  <sortState ref="E29:G36">
    <sortCondition ref="E29"/>
  </sortState>
  <mergeCells count="108">
    <mergeCell ref="A40:B40"/>
    <mergeCell ref="A42:B42"/>
    <mergeCell ref="A45:B45"/>
    <mergeCell ref="A23:B23"/>
    <mergeCell ref="A24:B24"/>
    <mergeCell ref="A26:C26"/>
    <mergeCell ref="A28:B28"/>
    <mergeCell ref="A38:B38"/>
    <mergeCell ref="A12:C12"/>
    <mergeCell ref="A13:B13"/>
    <mergeCell ref="A16:C16"/>
    <mergeCell ref="A17:B17"/>
    <mergeCell ref="A20:B20"/>
    <mergeCell ref="A1:C1"/>
    <mergeCell ref="A2:C2"/>
    <mergeCell ref="A3:C3"/>
    <mergeCell ref="A5:C5"/>
    <mergeCell ref="A7:B7"/>
    <mergeCell ref="I40:J40"/>
    <mergeCell ref="I42:J42"/>
    <mergeCell ref="I45:J45"/>
    <mergeCell ref="I24:J24"/>
    <mergeCell ref="I25:J25"/>
    <mergeCell ref="I27:K27"/>
    <mergeCell ref="I29:J29"/>
    <mergeCell ref="I38:J38"/>
    <mergeCell ref="I13:K13"/>
    <mergeCell ref="I14:J14"/>
    <mergeCell ref="I17:K17"/>
    <mergeCell ref="I18:J18"/>
    <mergeCell ref="I21:J21"/>
    <mergeCell ref="I1:K1"/>
    <mergeCell ref="I2:K2"/>
    <mergeCell ref="I3:K3"/>
    <mergeCell ref="I5:K5"/>
    <mergeCell ref="I7:J7"/>
    <mergeCell ref="M52:N52"/>
    <mergeCell ref="M54:N54"/>
    <mergeCell ref="M57:N57"/>
    <mergeCell ref="M26:N26"/>
    <mergeCell ref="M27:N27"/>
    <mergeCell ref="M29:O29"/>
    <mergeCell ref="M31:N31"/>
    <mergeCell ref="M50:N50"/>
    <mergeCell ref="M15:O15"/>
    <mergeCell ref="M16:N16"/>
    <mergeCell ref="M19:O19"/>
    <mergeCell ref="M20:N20"/>
    <mergeCell ref="M23:N23"/>
    <mergeCell ref="M1:O1"/>
    <mergeCell ref="M2:O2"/>
    <mergeCell ref="M3:O3"/>
    <mergeCell ref="M5:O5"/>
    <mergeCell ref="M7:N7"/>
    <mergeCell ref="V38:W38"/>
    <mergeCell ref="V40:W40"/>
    <mergeCell ref="V43:W43"/>
    <mergeCell ref="V23:W23"/>
    <mergeCell ref="V24:W24"/>
    <mergeCell ref="V26:X26"/>
    <mergeCell ref="V28:W28"/>
    <mergeCell ref="V36:W36"/>
    <mergeCell ref="V11:X11"/>
    <mergeCell ref="V12:W12"/>
    <mergeCell ref="V15:X15"/>
    <mergeCell ref="V16:W16"/>
    <mergeCell ref="V20:W20"/>
    <mergeCell ref="V1:X1"/>
    <mergeCell ref="V2:X2"/>
    <mergeCell ref="V3:X3"/>
    <mergeCell ref="V5:X5"/>
    <mergeCell ref="V7:W7"/>
    <mergeCell ref="Q37:R37"/>
    <mergeCell ref="Q51:R51"/>
    <mergeCell ref="Q53:R53"/>
    <mergeCell ref="Q55:R55"/>
    <mergeCell ref="Q58:R58"/>
    <mergeCell ref="Q33:R33"/>
    <mergeCell ref="Q35:S35"/>
    <mergeCell ref="Q1:S1"/>
    <mergeCell ref="Q2:S2"/>
    <mergeCell ref="Q3:S3"/>
    <mergeCell ref="Q5:S5"/>
    <mergeCell ref="Q7:R7"/>
    <mergeCell ref="Q20:S20"/>
    <mergeCell ref="Q32:R32"/>
    <mergeCell ref="Q21:R21"/>
    <mergeCell ref="Q24:S24"/>
    <mergeCell ref="Q25:R25"/>
    <mergeCell ref="Q29:R29"/>
    <mergeCell ref="E1:G1"/>
    <mergeCell ref="E2:G2"/>
    <mergeCell ref="E3:G3"/>
    <mergeCell ref="E5:G5"/>
    <mergeCell ref="E7:F7"/>
    <mergeCell ref="E12:G12"/>
    <mergeCell ref="E13:F13"/>
    <mergeCell ref="E16:G16"/>
    <mergeCell ref="E17:F17"/>
    <mergeCell ref="E20:F20"/>
    <mergeCell ref="E40:F40"/>
    <mergeCell ref="E42:F42"/>
    <mergeCell ref="E45:F45"/>
    <mergeCell ref="E23:F23"/>
    <mergeCell ref="E24:F24"/>
    <mergeCell ref="E26:G26"/>
    <mergeCell ref="E28:F28"/>
    <mergeCell ref="E38:F38"/>
  </mergeCells>
  <pageMargins left="0.7" right="0.7" top="0.75" bottom="0.75" header="0.3" footer="0.3"/>
  <pageSetup paperSize="9" scale="1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3"/>
  <sheetViews>
    <sheetView zoomScale="95" zoomScaleNormal="95" workbookViewId="0">
      <pane ySplit="3" topLeftCell="A4" activePane="bottomLeft" state="frozen"/>
      <selection pane="bottomLeft" sqref="A1:N1"/>
    </sheetView>
  </sheetViews>
  <sheetFormatPr defaultRowHeight="15" x14ac:dyDescent="0.25"/>
  <cols>
    <col min="1" max="1" width="6" customWidth="1"/>
    <col min="2" max="2" width="62.140625" customWidth="1"/>
    <col min="3" max="4" width="12.5703125" customWidth="1"/>
    <col min="5" max="5" width="12.28515625" customWidth="1"/>
    <col min="6" max="13" width="12.5703125" customWidth="1"/>
    <col min="14" max="14" width="13.85546875" customWidth="1"/>
    <col min="15" max="15" width="6" customWidth="1"/>
    <col min="16" max="19" width="12.5703125" customWidth="1"/>
  </cols>
  <sheetData>
    <row r="1" spans="1:17" ht="18.75" thickBot="1" x14ac:dyDescent="0.3">
      <c r="A1" s="876" t="s">
        <v>0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04"/>
      <c r="P1" s="1"/>
    </row>
    <row r="2" spans="1:17" ht="15.75" thickBot="1" x14ac:dyDescent="0.3">
      <c r="A2" s="878" t="s">
        <v>1</v>
      </c>
      <c r="B2" s="879"/>
      <c r="C2" s="413" t="s">
        <v>454</v>
      </c>
      <c r="D2" s="413" t="s">
        <v>496</v>
      </c>
      <c r="E2" s="413" t="s">
        <v>547</v>
      </c>
      <c r="F2" s="413" t="s">
        <v>497</v>
      </c>
      <c r="G2" s="413" t="s">
        <v>568</v>
      </c>
      <c r="H2" s="413" t="s">
        <v>569</v>
      </c>
      <c r="I2" s="413" t="s">
        <v>641</v>
      </c>
      <c r="J2" s="413" t="s">
        <v>657</v>
      </c>
      <c r="K2" s="413" t="s">
        <v>658</v>
      </c>
      <c r="L2" s="413" t="s">
        <v>690</v>
      </c>
      <c r="M2" s="413" t="s">
        <v>689</v>
      </c>
      <c r="N2" s="413" t="s">
        <v>642</v>
      </c>
      <c r="O2" s="805" t="s">
        <v>621</v>
      </c>
      <c r="P2" s="1"/>
    </row>
    <row r="3" spans="1:17" ht="15.75" thickBot="1" x14ac:dyDescent="0.3">
      <c r="A3" s="880" t="s">
        <v>4</v>
      </c>
      <c r="B3" s="881"/>
      <c r="C3" s="2">
        <f t="shared" ref="C3:N3" si="0">SUM(C4:C10)</f>
        <v>1452500</v>
      </c>
      <c r="D3" s="2">
        <f t="shared" si="0"/>
        <v>1452500</v>
      </c>
      <c r="E3" s="2">
        <f t="shared" si="0"/>
        <v>1452500</v>
      </c>
      <c r="F3" s="2">
        <f t="shared" si="0"/>
        <v>1452500</v>
      </c>
      <c r="G3" s="2">
        <f t="shared" si="0"/>
        <v>1452500</v>
      </c>
      <c r="H3" s="2">
        <f t="shared" si="0"/>
        <v>1459500</v>
      </c>
      <c r="I3" s="2">
        <f t="shared" si="0"/>
        <v>1459500</v>
      </c>
      <c r="J3" s="2">
        <f t="shared" si="0"/>
        <v>1459500</v>
      </c>
      <c r="K3" s="2">
        <f t="shared" si="0"/>
        <v>1463500</v>
      </c>
      <c r="L3" s="2">
        <f t="shared" si="0"/>
        <v>1463600</v>
      </c>
      <c r="M3" s="2">
        <f t="shared" ref="M3" si="1">SUM(M4:M10)</f>
        <v>1463600</v>
      </c>
      <c r="N3" s="2">
        <f t="shared" si="0"/>
        <v>613643</v>
      </c>
      <c r="O3" s="808">
        <f>N3/I3</f>
        <v>0.4204474134977732</v>
      </c>
      <c r="P3" s="803"/>
    </row>
    <row r="4" spans="1:17" ht="15.75" thickBot="1" x14ac:dyDescent="0.3">
      <c r="A4" s="3">
        <v>111</v>
      </c>
      <c r="B4" s="124" t="s">
        <v>5</v>
      </c>
      <c r="C4" s="6">
        <v>1368000</v>
      </c>
      <c r="D4" s="6">
        <v>1368000</v>
      </c>
      <c r="E4" s="6">
        <v>1368000</v>
      </c>
      <c r="F4" s="6">
        <v>1368000</v>
      </c>
      <c r="G4" s="6">
        <v>1368000</v>
      </c>
      <c r="H4" s="795">
        <f>1368000+7000</f>
        <v>1375000</v>
      </c>
      <c r="I4" s="6">
        <f>1368000+7000</f>
        <v>1375000</v>
      </c>
      <c r="J4" s="6">
        <f t="shared" ref="J4" si="2">1368000+7000</f>
        <v>1375000</v>
      </c>
      <c r="K4" s="795">
        <f>1368000+7000+4000</f>
        <v>1379000</v>
      </c>
      <c r="L4" s="6">
        <f>1368000+7000+4000</f>
        <v>1379000</v>
      </c>
      <c r="M4" s="6">
        <f>1368000+7000+4000</f>
        <v>1379000</v>
      </c>
      <c r="N4" s="6">
        <v>582237</v>
      </c>
      <c r="O4" s="808">
        <f t="shared" ref="O4:O66" si="3">N4/I4</f>
        <v>0.42344509090909088</v>
      </c>
      <c r="P4" s="1"/>
    </row>
    <row r="5" spans="1:17" ht="15.75" thickBot="1" x14ac:dyDescent="0.3">
      <c r="A5" s="7">
        <v>121</v>
      </c>
      <c r="B5" s="350" t="s">
        <v>6</v>
      </c>
      <c r="C5" s="11">
        <v>43200</v>
      </c>
      <c r="D5" s="11">
        <v>43200</v>
      </c>
      <c r="E5" s="11">
        <v>43200</v>
      </c>
      <c r="F5" s="11">
        <v>43200</v>
      </c>
      <c r="G5" s="11">
        <v>43200</v>
      </c>
      <c r="H5" s="11">
        <v>43200</v>
      </c>
      <c r="I5" s="11">
        <v>43200</v>
      </c>
      <c r="J5" s="11">
        <v>43200</v>
      </c>
      <c r="K5" s="11">
        <v>43200</v>
      </c>
      <c r="L5" s="11">
        <v>43200</v>
      </c>
      <c r="M5" s="11">
        <v>43200</v>
      </c>
      <c r="N5" s="11">
        <v>17398</v>
      </c>
      <c r="O5" s="808">
        <f t="shared" si="3"/>
        <v>0.40273148148148147</v>
      </c>
      <c r="P5" s="1"/>
    </row>
    <row r="6" spans="1:17" x14ac:dyDescent="0.25">
      <c r="A6" s="12">
        <v>133</v>
      </c>
      <c r="B6" s="351" t="s">
        <v>7</v>
      </c>
      <c r="C6" s="16">
        <v>1100</v>
      </c>
      <c r="D6" s="16">
        <v>1100</v>
      </c>
      <c r="E6" s="16">
        <v>1100</v>
      </c>
      <c r="F6" s="16">
        <v>1100</v>
      </c>
      <c r="G6" s="16">
        <v>1100</v>
      </c>
      <c r="H6" s="16">
        <v>1100</v>
      </c>
      <c r="I6" s="16">
        <v>1100</v>
      </c>
      <c r="J6" s="16">
        <v>1100</v>
      </c>
      <c r="K6" s="16">
        <v>1100</v>
      </c>
      <c r="L6" s="16">
        <v>1100</v>
      </c>
      <c r="M6" s="16">
        <v>1100</v>
      </c>
      <c r="N6" s="16">
        <v>813</v>
      </c>
      <c r="O6" s="808">
        <f t="shared" si="3"/>
        <v>0.73909090909090913</v>
      </c>
      <c r="P6" s="1"/>
    </row>
    <row r="7" spans="1:17" x14ac:dyDescent="0.25">
      <c r="A7" s="17">
        <v>133</v>
      </c>
      <c r="B7" s="352" t="s">
        <v>8</v>
      </c>
      <c r="C7" s="21">
        <v>200</v>
      </c>
      <c r="D7" s="21">
        <v>200</v>
      </c>
      <c r="E7" s="21">
        <v>200</v>
      </c>
      <c r="F7" s="21">
        <v>200</v>
      </c>
      <c r="G7" s="21">
        <v>200</v>
      </c>
      <c r="H7" s="21">
        <v>200</v>
      </c>
      <c r="I7" s="21">
        <v>200</v>
      </c>
      <c r="J7" s="21">
        <v>200</v>
      </c>
      <c r="K7" s="21">
        <v>200</v>
      </c>
      <c r="L7" s="21">
        <v>200</v>
      </c>
      <c r="M7" s="21">
        <v>200</v>
      </c>
      <c r="N7" s="21">
        <v>160</v>
      </c>
      <c r="O7" s="808">
        <f t="shared" si="3"/>
        <v>0.8</v>
      </c>
      <c r="P7" s="1"/>
    </row>
    <row r="8" spans="1:17" x14ac:dyDescent="0.25">
      <c r="A8" s="17">
        <v>133</v>
      </c>
      <c r="B8" s="352" t="s">
        <v>9</v>
      </c>
      <c r="C8" s="21">
        <v>2000</v>
      </c>
      <c r="D8" s="21">
        <v>2000</v>
      </c>
      <c r="E8" s="21">
        <v>2000</v>
      </c>
      <c r="F8" s="21">
        <v>2000</v>
      </c>
      <c r="G8" s="21">
        <v>2000</v>
      </c>
      <c r="H8" s="21">
        <v>2000</v>
      </c>
      <c r="I8" s="21">
        <v>2000</v>
      </c>
      <c r="J8" s="21">
        <v>2000</v>
      </c>
      <c r="K8" s="21">
        <v>2000</v>
      </c>
      <c r="L8" s="21">
        <v>2000</v>
      </c>
      <c r="M8" s="21">
        <v>2000</v>
      </c>
      <c r="N8" s="21">
        <v>593</v>
      </c>
      <c r="O8" s="808">
        <f t="shared" si="3"/>
        <v>0.29649999999999999</v>
      </c>
      <c r="P8" s="1"/>
    </row>
    <row r="9" spans="1:17" x14ac:dyDescent="0.25">
      <c r="A9" s="17">
        <v>133</v>
      </c>
      <c r="B9" s="352" t="s">
        <v>10</v>
      </c>
      <c r="C9" s="21">
        <v>6000</v>
      </c>
      <c r="D9" s="21">
        <v>6000</v>
      </c>
      <c r="E9" s="21">
        <v>6000</v>
      </c>
      <c r="F9" s="21">
        <v>6000</v>
      </c>
      <c r="G9" s="21">
        <v>6000</v>
      </c>
      <c r="H9" s="21">
        <v>6000</v>
      </c>
      <c r="I9" s="21">
        <v>6000</v>
      </c>
      <c r="J9" s="21">
        <v>6000</v>
      </c>
      <c r="K9" s="21">
        <v>6000</v>
      </c>
      <c r="L9" s="786">
        <f>6000+100</f>
        <v>6100</v>
      </c>
      <c r="M9" s="21">
        <f>6000+100</f>
        <v>6100</v>
      </c>
      <c r="N9" s="21">
        <v>475</v>
      </c>
      <c r="O9" s="808">
        <f t="shared" si="3"/>
        <v>7.9166666666666663E-2</v>
      </c>
      <c r="P9" s="1"/>
    </row>
    <row r="10" spans="1:17" ht="15.75" thickBot="1" x14ac:dyDescent="0.3">
      <c r="A10" s="22">
        <v>133</v>
      </c>
      <c r="B10" s="353" t="s">
        <v>11</v>
      </c>
      <c r="C10" s="26">
        <v>32000</v>
      </c>
      <c r="D10" s="26">
        <v>32000</v>
      </c>
      <c r="E10" s="26">
        <v>32000</v>
      </c>
      <c r="F10" s="26">
        <v>32000</v>
      </c>
      <c r="G10" s="26">
        <v>32000</v>
      </c>
      <c r="H10" s="26">
        <v>32000</v>
      </c>
      <c r="I10" s="26">
        <v>32000</v>
      </c>
      <c r="J10" s="26">
        <v>32000</v>
      </c>
      <c r="K10" s="26">
        <v>32000</v>
      </c>
      <c r="L10" s="26">
        <v>32000</v>
      </c>
      <c r="M10" s="26">
        <v>32000</v>
      </c>
      <c r="N10" s="26">
        <v>11967</v>
      </c>
      <c r="O10" s="808">
        <f t="shared" si="3"/>
        <v>0.37396875000000002</v>
      </c>
      <c r="P10" s="27"/>
    </row>
    <row r="11" spans="1:17" ht="15.75" thickBot="1" x14ac:dyDescent="0.3">
      <c r="A11" s="880" t="s">
        <v>12</v>
      </c>
      <c r="B11" s="881"/>
      <c r="C11" s="354">
        <f t="shared" ref="C11:N11" si="4">SUM(C12:C31)</f>
        <v>245915</v>
      </c>
      <c r="D11" s="354">
        <f t="shared" si="4"/>
        <v>245915</v>
      </c>
      <c r="E11" s="354">
        <f t="shared" si="4"/>
        <v>245915</v>
      </c>
      <c r="F11" s="354">
        <f t="shared" si="4"/>
        <v>246415</v>
      </c>
      <c r="G11" s="354">
        <f t="shared" si="4"/>
        <v>246415</v>
      </c>
      <c r="H11" s="354">
        <f t="shared" si="4"/>
        <v>247225</v>
      </c>
      <c r="I11" s="354">
        <f t="shared" si="4"/>
        <v>247255</v>
      </c>
      <c r="J11" s="354">
        <f t="shared" ref="J11:L11" si="5">SUM(J12:J31)</f>
        <v>247255</v>
      </c>
      <c r="K11" s="354">
        <f t="shared" si="5"/>
        <v>248755</v>
      </c>
      <c r="L11" s="354">
        <f t="shared" si="5"/>
        <v>248755</v>
      </c>
      <c r="M11" s="354">
        <f t="shared" ref="M11" si="6">SUM(M12:M31)</f>
        <v>248755</v>
      </c>
      <c r="N11" s="354">
        <f t="shared" si="4"/>
        <v>75584</v>
      </c>
      <c r="O11" s="808">
        <f t="shared" si="3"/>
        <v>0.30569250369052192</v>
      </c>
      <c r="P11" s="1"/>
    </row>
    <row r="12" spans="1:17" x14ac:dyDescent="0.25">
      <c r="A12" s="28">
        <v>212</v>
      </c>
      <c r="B12" s="29" t="s">
        <v>13</v>
      </c>
      <c r="C12" s="32">
        <v>1294</v>
      </c>
      <c r="D12" s="32">
        <v>1294</v>
      </c>
      <c r="E12" s="32">
        <v>1294</v>
      </c>
      <c r="F12" s="740">
        <f>1294+119</f>
        <v>1413</v>
      </c>
      <c r="G12" s="32">
        <f t="shared" ref="G12" si="7">1294+119</f>
        <v>1413</v>
      </c>
      <c r="H12" s="740">
        <f>1294+119+810</f>
        <v>2223</v>
      </c>
      <c r="I12" s="32">
        <f>1294+119+810</f>
        <v>2223</v>
      </c>
      <c r="J12" s="32">
        <f t="shared" ref="J12:M12" si="8">1294+119+810</f>
        <v>2223</v>
      </c>
      <c r="K12" s="32">
        <f t="shared" si="8"/>
        <v>2223</v>
      </c>
      <c r="L12" s="32">
        <f t="shared" si="8"/>
        <v>2223</v>
      </c>
      <c r="M12" s="32">
        <f t="shared" si="8"/>
        <v>2223</v>
      </c>
      <c r="N12" s="32">
        <v>527</v>
      </c>
      <c r="O12" s="808">
        <f t="shared" si="3"/>
        <v>0.23706702654071074</v>
      </c>
      <c r="P12" s="1"/>
    </row>
    <row r="13" spans="1:17" x14ac:dyDescent="0.25">
      <c r="A13" s="12">
        <v>212</v>
      </c>
      <c r="B13" s="13" t="s">
        <v>14</v>
      </c>
      <c r="C13" s="16">
        <v>1000</v>
      </c>
      <c r="D13" s="16">
        <v>1000</v>
      </c>
      <c r="E13" s="16">
        <v>1000</v>
      </c>
      <c r="F13" s="16">
        <v>1000</v>
      </c>
      <c r="G13" s="16">
        <v>1000</v>
      </c>
      <c r="H13" s="16">
        <v>1000</v>
      </c>
      <c r="I13" s="16">
        <v>1000</v>
      </c>
      <c r="J13" s="16">
        <v>1000</v>
      </c>
      <c r="K13" s="16">
        <v>1000</v>
      </c>
      <c r="L13" s="16">
        <v>1000</v>
      </c>
      <c r="M13" s="16">
        <v>1000</v>
      </c>
      <c r="N13" s="16">
        <v>160</v>
      </c>
      <c r="O13" s="808">
        <f t="shared" si="3"/>
        <v>0.16</v>
      </c>
      <c r="P13" s="27"/>
    </row>
    <row r="14" spans="1:17" x14ac:dyDescent="0.25">
      <c r="A14" s="17">
        <v>212</v>
      </c>
      <c r="B14" s="18" t="s">
        <v>15</v>
      </c>
      <c r="C14" s="33">
        <v>3713</v>
      </c>
      <c r="D14" s="33">
        <v>3713</v>
      </c>
      <c r="E14" s="33">
        <v>3713</v>
      </c>
      <c r="F14" s="715">
        <f>3713-119</f>
        <v>3594</v>
      </c>
      <c r="G14" s="33">
        <f t="shared" ref="G14:M14" si="9">3713-119</f>
        <v>3594</v>
      </c>
      <c r="H14" s="33">
        <f t="shared" si="9"/>
        <v>3594</v>
      </c>
      <c r="I14" s="33">
        <f t="shared" si="9"/>
        <v>3594</v>
      </c>
      <c r="J14" s="33">
        <f t="shared" si="9"/>
        <v>3594</v>
      </c>
      <c r="K14" s="33">
        <f t="shared" si="9"/>
        <v>3594</v>
      </c>
      <c r="L14" s="33">
        <f t="shared" si="9"/>
        <v>3594</v>
      </c>
      <c r="M14" s="33">
        <f t="shared" si="9"/>
        <v>3594</v>
      </c>
      <c r="N14" s="33">
        <v>1083</v>
      </c>
      <c r="O14" s="808">
        <f t="shared" si="3"/>
        <v>0.30133555926544242</v>
      </c>
      <c r="P14" s="1"/>
    </row>
    <row r="15" spans="1:17" x14ac:dyDescent="0.25">
      <c r="A15" s="17">
        <v>212</v>
      </c>
      <c r="B15" s="18" t="s">
        <v>16</v>
      </c>
      <c r="C15" s="21">
        <v>19848</v>
      </c>
      <c r="D15" s="21">
        <v>19848</v>
      </c>
      <c r="E15" s="21">
        <v>19848</v>
      </c>
      <c r="F15" s="21">
        <v>19848</v>
      </c>
      <c r="G15" s="21">
        <v>19848</v>
      </c>
      <c r="H15" s="21">
        <v>19848</v>
      </c>
      <c r="I15" s="21">
        <v>19848</v>
      </c>
      <c r="J15" s="21">
        <v>19848</v>
      </c>
      <c r="K15" s="21">
        <v>19848</v>
      </c>
      <c r="L15" s="21">
        <v>19848</v>
      </c>
      <c r="M15" s="21">
        <v>19848</v>
      </c>
      <c r="N15" s="21">
        <v>5711</v>
      </c>
      <c r="O15" s="808">
        <f t="shared" si="3"/>
        <v>0.28773679967754939</v>
      </c>
      <c r="P15" s="27"/>
    </row>
    <row r="16" spans="1:17" ht="15.75" thickBot="1" x14ac:dyDescent="0.3">
      <c r="A16" s="35">
        <v>212</v>
      </c>
      <c r="B16" s="36" t="s">
        <v>17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808">
        <v>0</v>
      </c>
      <c r="P16" s="458">
        <f>SUM(I12:I16)</f>
        <v>26665</v>
      </c>
      <c r="Q16" s="458">
        <f>SUM(N12:N16)</f>
        <v>7481</v>
      </c>
    </row>
    <row r="17" spans="1:17" ht="15.75" thickBot="1" x14ac:dyDescent="0.3">
      <c r="A17" s="7">
        <v>221</v>
      </c>
      <c r="B17" s="8" t="s">
        <v>18</v>
      </c>
      <c r="C17" s="41">
        <v>5100</v>
      </c>
      <c r="D17" s="41">
        <v>5100</v>
      </c>
      <c r="E17" s="41">
        <v>5100</v>
      </c>
      <c r="F17" s="41">
        <v>5100</v>
      </c>
      <c r="G17" s="41">
        <v>5100</v>
      </c>
      <c r="H17" s="41">
        <v>5100</v>
      </c>
      <c r="I17" s="41">
        <v>5100</v>
      </c>
      <c r="J17" s="41">
        <v>5100</v>
      </c>
      <c r="K17" s="41">
        <v>5100</v>
      </c>
      <c r="L17" s="41">
        <v>5100</v>
      </c>
      <c r="M17" s="41">
        <v>5100</v>
      </c>
      <c r="N17" s="41">
        <v>1613</v>
      </c>
      <c r="O17" s="808">
        <f t="shared" si="3"/>
        <v>0.31627450980392158</v>
      </c>
      <c r="P17" s="1"/>
    </row>
    <row r="18" spans="1:17" ht="15.75" thickBot="1" x14ac:dyDescent="0.3">
      <c r="A18" s="35">
        <v>222</v>
      </c>
      <c r="B18" s="36" t="s">
        <v>19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818">
        <v>30</v>
      </c>
      <c r="J18" s="39">
        <v>30</v>
      </c>
      <c r="K18" s="39">
        <v>30</v>
      </c>
      <c r="L18" s="39">
        <v>30</v>
      </c>
      <c r="M18" s="39">
        <v>30</v>
      </c>
      <c r="N18" s="39">
        <v>30</v>
      </c>
      <c r="O18" s="808">
        <f t="shared" si="3"/>
        <v>1</v>
      </c>
      <c r="P18" s="1"/>
    </row>
    <row r="19" spans="1:17" x14ac:dyDescent="0.25">
      <c r="A19" s="12">
        <v>223</v>
      </c>
      <c r="B19" s="13" t="s">
        <v>20</v>
      </c>
      <c r="C19" s="16">
        <v>750</v>
      </c>
      <c r="D19" s="16">
        <v>750</v>
      </c>
      <c r="E19" s="16">
        <v>750</v>
      </c>
      <c r="F19" s="16">
        <v>750</v>
      </c>
      <c r="G19" s="16">
        <v>750</v>
      </c>
      <c r="H19" s="16">
        <v>750</v>
      </c>
      <c r="I19" s="16">
        <v>750</v>
      </c>
      <c r="J19" s="16">
        <v>750</v>
      </c>
      <c r="K19" s="16">
        <v>750</v>
      </c>
      <c r="L19" s="16">
        <v>750</v>
      </c>
      <c r="M19" s="16">
        <v>750</v>
      </c>
      <c r="N19" s="16">
        <v>69</v>
      </c>
      <c r="O19" s="808">
        <f t="shared" si="3"/>
        <v>9.1999999999999998E-2</v>
      </c>
      <c r="P19" s="1"/>
    </row>
    <row r="20" spans="1:17" x14ac:dyDescent="0.25">
      <c r="A20" s="17">
        <v>223</v>
      </c>
      <c r="B20" s="18" t="s">
        <v>21</v>
      </c>
      <c r="C20" s="21">
        <f t="shared" ref="C20:M20" si="10">19000+3000</f>
        <v>22000</v>
      </c>
      <c r="D20" s="21">
        <f t="shared" si="10"/>
        <v>22000</v>
      </c>
      <c r="E20" s="21">
        <f t="shared" si="10"/>
        <v>22000</v>
      </c>
      <c r="F20" s="21">
        <f t="shared" si="10"/>
        <v>22000</v>
      </c>
      <c r="G20" s="21">
        <f t="shared" si="10"/>
        <v>22000</v>
      </c>
      <c r="H20" s="21">
        <f t="shared" si="10"/>
        <v>22000</v>
      </c>
      <c r="I20" s="21">
        <f t="shared" si="10"/>
        <v>22000</v>
      </c>
      <c r="J20" s="21">
        <f t="shared" si="10"/>
        <v>22000</v>
      </c>
      <c r="K20" s="21">
        <f t="shared" si="10"/>
        <v>22000</v>
      </c>
      <c r="L20" s="21">
        <f t="shared" si="10"/>
        <v>22000</v>
      </c>
      <c r="M20" s="21">
        <f t="shared" si="10"/>
        <v>22000</v>
      </c>
      <c r="N20" s="21">
        <v>5472</v>
      </c>
      <c r="O20" s="808">
        <f t="shared" si="3"/>
        <v>0.24872727272727271</v>
      </c>
      <c r="P20" s="1"/>
    </row>
    <row r="21" spans="1:17" x14ac:dyDescent="0.25">
      <c r="A21" s="17">
        <v>223</v>
      </c>
      <c r="B21" s="18" t="s">
        <v>22</v>
      </c>
      <c r="C21" s="21">
        <v>50</v>
      </c>
      <c r="D21" s="21">
        <v>50</v>
      </c>
      <c r="E21" s="21">
        <v>50</v>
      </c>
      <c r="F21" s="21">
        <v>50</v>
      </c>
      <c r="G21" s="21">
        <v>50</v>
      </c>
      <c r="H21" s="21">
        <v>50</v>
      </c>
      <c r="I21" s="21">
        <v>50</v>
      </c>
      <c r="J21" s="21">
        <v>50</v>
      </c>
      <c r="K21" s="21">
        <v>50</v>
      </c>
      <c r="L21" s="21">
        <v>50</v>
      </c>
      <c r="M21" s="21">
        <v>50</v>
      </c>
      <c r="N21" s="21">
        <v>0</v>
      </c>
      <c r="O21" s="808">
        <f t="shared" si="3"/>
        <v>0</v>
      </c>
      <c r="P21" s="1"/>
    </row>
    <row r="22" spans="1:17" x14ac:dyDescent="0.25">
      <c r="A22" s="17">
        <v>223</v>
      </c>
      <c r="B22" s="18" t="s">
        <v>23</v>
      </c>
      <c r="C22" s="21">
        <v>2000</v>
      </c>
      <c r="D22" s="21">
        <v>2000</v>
      </c>
      <c r="E22" s="21">
        <v>2000</v>
      </c>
      <c r="F22" s="786">
        <f>2000+500</f>
        <v>2500</v>
      </c>
      <c r="G22" s="21">
        <f t="shared" ref="G22:J22" si="11">2000+500</f>
        <v>2500</v>
      </c>
      <c r="H22" s="21">
        <f t="shared" si="11"/>
        <v>2500</v>
      </c>
      <c r="I22" s="21">
        <f t="shared" si="11"/>
        <v>2500</v>
      </c>
      <c r="J22" s="21">
        <f t="shared" si="11"/>
        <v>2500</v>
      </c>
      <c r="K22" s="786">
        <f>2000+500+1500</f>
        <v>4000</v>
      </c>
      <c r="L22" s="21">
        <f>2000+500+1500</f>
        <v>4000</v>
      </c>
      <c r="M22" s="21">
        <f>2000+500+1500</f>
        <v>4000</v>
      </c>
      <c r="N22" s="21">
        <v>603</v>
      </c>
      <c r="O22" s="808">
        <f t="shared" si="3"/>
        <v>0.2412</v>
      </c>
      <c r="P22" s="1"/>
    </row>
    <row r="23" spans="1:17" x14ac:dyDescent="0.25">
      <c r="A23" s="17">
        <v>223</v>
      </c>
      <c r="B23" s="18" t="s">
        <v>24</v>
      </c>
      <c r="C23" s="21">
        <v>1000</v>
      </c>
      <c r="D23" s="21">
        <v>1000</v>
      </c>
      <c r="E23" s="21">
        <v>1000</v>
      </c>
      <c r="F23" s="21">
        <v>1000</v>
      </c>
      <c r="G23" s="21">
        <v>1000</v>
      </c>
      <c r="H23" s="21">
        <v>1000</v>
      </c>
      <c r="I23" s="21">
        <v>1000</v>
      </c>
      <c r="J23" s="21">
        <v>1000</v>
      </c>
      <c r="K23" s="21">
        <v>1000</v>
      </c>
      <c r="L23" s="21">
        <v>1000</v>
      </c>
      <c r="M23" s="21">
        <v>1000</v>
      </c>
      <c r="N23" s="21">
        <v>68</v>
      </c>
      <c r="O23" s="808">
        <f t="shared" si="3"/>
        <v>6.8000000000000005E-2</v>
      </c>
      <c r="P23" s="1"/>
    </row>
    <row r="24" spans="1:17" x14ac:dyDescent="0.25">
      <c r="A24" s="17">
        <v>223</v>
      </c>
      <c r="B24" s="18" t="s">
        <v>26</v>
      </c>
      <c r="C24" s="21">
        <v>1000</v>
      </c>
      <c r="D24" s="21">
        <v>1000</v>
      </c>
      <c r="E24" s="21">
        <v>1000</v>
      </c>
      <c r="F24" s="21">
        <v>1000</v>
      </c>
      <c r="G24" s="21">
        <v>1000</v>
      </c>
      <c r="H24" s="21">
        <v>1000</v>
      </c>
      <c r="I24" s="21">
        <v>1000</v>
      </c>
      <c r="J24" s="21">
        <v>1000</v>
      </c>
      <c r="K24" s="21">
        <v>1000</v>
      </c>
      <c r="L24" s="21">
        <v>1000</v>
      </c>
      <c r="M24" s="21">
        <v>1000</v>
      </c>
      <c r="N24" s="21">
        <v>220</v>
      </c>
      <c r="O24" s="808">
        <f t="shared" si="3"/>
        <v>0.22</v>
      </c>
      <c r="P24" s="1"/>
    </row>
    <row r="25" spans="1:17" x14ac:dyDescent="0.25">
      <c r="A25" s="17">
        <v>223</v>
      </c>
      <c r="B25" s="18" t="s">
        <v>27</v>
      </c>
      <c r="C25" s="21">
        <v>40000</v>
      </c>
      <c r="D25" s="21">
        <v>40000</v>
      </c>
      <c r="E25" s="21">
        <v>40000</v>
      </c>
      <c r="F25" s="21">
        <v>40000</v>
      </c>
      <c r="G25" s="21">
        <v>40000</v>
      </c>
      <c r="H25" s="21">
        <v>40000</v>
      </c>
      <c r="I25" s="21">
        <v>40000</v>
      </c>
      <c r="J25" s="21">
        <v>40000</v>
      </c>
      <c r="K25" s="21">
        <v>40000</v>
      </c>
      <c r="L25" s="21">
        <v>40000</v>
      </c>
      <c r="M25" s="21">
        <v>40000</v>
      </c>
      <c r="N25" s="21">
        <v>19268</v>
      </c>
      <c r="O25" s="808">
        <f t="shared" si="3"/>
        <v>0.48170000000000002</v>
      </c>
      <c r="P25" s="1"/>
    </row>
    <row r="26" spans="1:17" x14ac:dyDescent="0.25">
      <c r="A26" s="17">
        <v>223</v>
      </c>
      <c r="B26" s="18" t="s">
        <v>29</v>
      </c>
      <c r="C26" s="21">
        <v>59000</v>
      </c>
      <c r="D26" s="21">
        <v>59000</v>
      </c>
      <c r="E26" s="21">
        <v>59000</v>
      </c>
      <c r="F26" s="21">
        <v>59000</v>
      </c>
      <c r="G26" s="21">
        <v>59000</v>
      </c>
      <c r="H26" s="21">
        <v>59000</v>
      </c>
      <c r="I26" s="21">
        <v>59000</v>
      </c>
      <c r="J26" s="21">
        <v>59000</v>
      </c>
      <c r="K26" s="21">
        <v>59000</v>
      </c>
      <c r="L26" s="21">
        <v>59000</v>
      </c>
      <c r="M26" s="21">
        <v>59000</v>
      </c>
      <c r="N26" s="21">
        <v>15630</v>
      </c>
      <c r="O26" s="808">
        <f t="shared" si="3"/>
        <v>0.26491525423728812</v>
      </c>
      <c r="P26" s="1"/>
    </row>
    <row r="27" spans="1:17" x14ac:dyDescent="0.25">
      <c r="A27" s="17">
        <v>223</v>
      </c>
      <c r="B27" s="18" t="s">
        <v>30</v>
      </c>
      <c r="C27" s="21">
        <v>60</v>
      </c>
      <c r="D27" s="21">
        <v>60</v>
      </c>
      <c r="E27" s="21">
        <v>60</v>
      </c>
      <c r="F27" s="21">
        <v>60</v>
      </c>
      <c r="G27" s="21">
        <v>60</v>
      </c>
      <c r="H27" s="21">
        <v>60</v>
      </c>
      <c r="I27" s="21">
        <v>60</v>
      </c>
      <c r="J27" s="21">
        <v>60</v>
      </c>
      <c r="K27" s="21">
        <v>60</v>
      </c>
      <c r="L27" s="21">
        <v>60</v>
      </c>
      <c r="M27" s="21">
        <v>60</v>
      </c>
      <c r="N27" s="21">
        <v>0</v>
      </c>
      <c r="O27" s="808">
        <f t="shared" si="3"/>
        <v>0</v>
      </c>
      <c r="P27" s="27"/>
    </row>
    <row r="28" spans="1:17" x14ac:dyDescent="0.25">
      <c r="A28" s="17">
        <v>223</v>
      </c>
      <c r="B28" s="18" t="s">
        <v>32</v>
      </c>
      <c r="C28" s="21">
        <v>2400</v>
      </c>
      <c r="D28" s="21">
        <v>2400</v>
      </c>
      <c r="E28" s="21">
        <v>2400</v>
      </c>
      <c r="F28" s="21">
        <v>2400</v>
      </c>
      <c r="G28" s="21">
        <v>2400</v>
      </c>
      <c r="H28" s="21">
        <v>2400</v>
      </c>
      <c r="I28" s="21">
        <v>2400</v>
      </c>
      <c r="J28" s="21">
        <v>2400</v>
      </c>
      <c r="K28" s="21">
        <v>2400</v>
      </c>
      <c r="L28" s="21">
        <v>2400</v>
      </c>
      <c r="M28" s="21">
        <v>2400</v>
      </c>
      <c r="N28" s="21">
        <v>892</v>
      </c>
      <c r="O28" s="808">
        <f t="shared" si="3"/>
        <v>0.37166666666666665</v>
      </c>
      <c r="P28" s="27"/>
    </row>
    <row r="29" spans="1:17" x14ac:dyDescent="0.25">
      <c r="A29" s="17">
        <v>223</v>
      </c>
      <c r="B29" s="18" t="s">
        <v>263</v>
      </c>
      <c r="C29" s="21">
        <v>2600</v>
      </c>
      <c r="D29" s="21">
        <v>2600</v>
      </c>
      <c r="E29" s="21">
        <v>2600</v>
      </c>
      <c r="F29" s="21">
        <v>2600</v>
      </c>
      <c r="G29" s="21">
        <v>2600</v>
      </c>
      <c r="H29" s="21">
        <v>2600</v>
      </c>
      <c r="I29" s="21">
        <v>2600</v>
      </c>
      <c r="J29" s="21">
        <v>2600</v>
      </c>
      <c r="K29" s="21">
        <v>2600</v>
      </c>
      <c r="L29" s="21">
        <v>2600</v>
      </c>
      <c r="M29" s="21">
        <v>2600</v>
      </c>
      <c r="N29" s="21">
        <v>540</v>
      </c>
      <c r="O29" s="808">
        <f t="shared" si="3"/>
        <v>0.2076923076923077</v>
      </c>
      <c r="P29" s="27"/>
    </row>
    <row r="30" spans="1:17" x14ac:dyDescent="0.25">
      <c r="A30" s="43">
        <v>223</v>
      </c>
      <c r="B30" s="44" t="s">
        <v>33</v>
      </c>
      <c r="C30" s="46">
        <v>84000</v>
      </c>
      <c r="D30" s="46">
        <v>84000</v>
      </c>
      <c r="E30" s="46">
        <v>84000</v>
      </c>
      <c r="F30" s="46">
        <v>84000</v>
      </c>
      <c r="G30" s="46">
        <v>84000</v>
      </c>
      <c r="H30" s="46">
        <v>84000</v>
      </c>
      <c r="I30" s="46">
        <v>84000</v>
      </c>
      <c r="J30" s="46">
        <v>84000</v>
      </c>
      <c r="K30" s="46">
        <v>84000</v>
      </c>
      <c r="L30" s="46">
        <v>84000</v>
      </c>
      <c r="M30" s="46">
        <v>84000</v>
      </c>
      <c r="N30" s="46">
        <v>23698</v>
      </c>
      <c r="O30" s="808">
        <f t="shared" si="3"/>
        <v>0.2821190476190476</v>
      </c>
      <c r="P30" s="27"/>
    </row>
    <row r="31" spans="1:17" ht="15.75" thickBot="1" x14ac:dyDescent="0.3">
      <c r="A31" s="22">
        <v>223</v>
      </c>
      <c r="B31" s="23" t="s">
        <v>34</v>
      </c>
      <c r="C31" s="48">
        <v>100</v>
      </c>
      <c r="D31" s="48">
        <v>100</v>
      </c>
      <c r="E31" s="48">
        <v>100</v>
      </c>
      <c r="F31" s="48">
        <v>100</v>
      </c>
      <c r="G31" s="48">
        <v>100</v>
      </c>
      <c r="H31" s="48">
        <v>100</v>
      </c>
      <c r="I31" s="48">
        <v>100</v>
      </c>
      <c r="J31" s="48">
        <v>100</v>
      </c>
      <c r="K31" s="48">
        <v>100</v>
      </c>
      <c r="L31" s="48">
        <v>100</v>
      </c>
      <c r="M31" s="48">
        <v>100</v>
      </c>
      <c r="N31" s="48">
        <v>0</v>
      </c>
      <c r="O31" s="808">
        <f t="shared" si="3"/>
        <v>0</v>
      </c>
      <c r="P31" s="27">
        <f>SUM(I19:I31)</f>
        <v>215460</v>
      </c>
      <c r="Q31" s="27">
        <f>SUM(N19:N31)</f>
        <v>66460</v>
      </c>
    </row>
    <row r="32" spans="1:17" ht="15.75" thickBot="1" x14ac:dyDescent="0.3">
      <c r="A32" s="831" t="s">
        <v>35</v>
      </c>
      <c r="B32" s="832"/>
      <c r="C32" s="2">
        <f t="shared" ref="C32:N32" si="12">SUM(C33)</f>
        <v>50</v>
      </c>
      <c r="D32" s="2">
        <f t="shared" si="12"/>
        <v>50</v>
      </c>
      <c r="E32" s="2">
        <f t="shared" si="12"/>
        <v>50</v>
      </c>
      <c r="F32" s="2">
        <f t="shared" si="12"/>
        <v>50</v>
      </c>
      <c r="G32" s="2">
        <f t="shared" si="12"/>
        <v>50</v>
      </c>
      <c r="H32" s="2">
        <f t="shared" si="12"/>
        <v>50</v>
      </c>
      <c r="I32" s="2">
        <f t="shared" si="12"/>
        <v>50</v>
      </c>
      <c r="J32" s="2">
        <f t="shared" si="12"/>
        <v>50</v>
      </c>
      <c r="K32" s="2">
        <f t="shared" si="12"/>
        <v>50</v>
      </c>
      <c r="L32" s="2">
        <f t="shared" si="12"/>
        <v>50</v>
      </c>
      <c r="M32" s="2">
        <f t="shared" si="12"/>
        <v>50</v>
      </c>
      <c r="N32" s="2">
        <f t="shared" si="12"/>
        <v>5</v>
      </c>
      <c r="O32" s="808">
        <f t="shared" si="3"/>
        <v>0.1</v>
      </c>
      <c r="P32" s="1"/>
    </row>
    <row r="33" spans="1:17" ht="15.75" thickBot="1" x14ac:dyDescent="0.3">
      <c r="A33" s="51">
        <v>240</v>
      </c>
      <c r="B33" s="47" t="s">
        <v>36</v>
      </c>
      <c r="C33" s="38">
        <v>50</v>
      </c>
      <c r="D33" s="38">
        <v>50</v>
      </c>
      <c r="E33" s="38">
        <v>50</v>
      </c>
      <c r="F33" s="38">
        <v>50</v>
      </c>
      <c r="G33" s="38">
        <v>50</v>
      </c>
      <c r="H33" s="38">
        <v>50</v>
      </c>
      <c r="I33" s="38">
        <v>50</v>
      </c>
      <c r="J33" s="38">
        <v>50</v>
      </c>
      <c r="K33" s="38">
        <v>50</v>
      </c>
      <c r="L33" s="38">
        <v>50</v>
      </c>
      <c r="M33" s="38">
        <v>50</v>
      </c>
      <c r="N33" s="38">
        <v>5</v>
      </c>
      <c r="O33" s="808">
        <f t="shared" si="3"/>
        <v>0.1</v>
      </c>
      <c r="P33" s="1"/>
    </row>
    <row r="34" spans="1:17" ht="15.75" thickBot="1" x14ac:dyDescent="0.3">
      <c r="A34" s="831" t="s">
        <v>37</v>
      </c>
      <c r="B34" s="832"/>
      <c r="C34" s="354">
        <f t="shared" ref="C34:N34" si="13">SUM(C35:C41)</f>
        <v>71875</v>
      </c>
      <c r="D34" s="354">
        <f t="shared" si="13"/>
        <v>71875</v>
      </c>
      <c r="E34" s="354">
        <f t="shared" si="13"/>
        <v>71875</v>
      </c>
      <c r="F34" s="354">
        <f t="shared" si="13"/>
        <v>71875</v>
      </c>
      <c r="G34" s="354">
        <f t="shared" si="13"/>
        <v>72705</v>
      </c>
      <c r="H34" s="354">
        <f t="shared" si="13"/>
        <v>73505</v>
      </c>
      <c r="I34" s="354">
        <f t="shared" si="13"/>
        <v>73505</v>
      </c>
      <c r="J34" s="354">
        <f t="shared" si="13"/>
        <v>73505</v>
      </c>
      <c r="K34" s="354">
        <f t="shared" si="13"/>
        <v>73505</v>
      </c>
      <c r="L34" s="354">
        <f t="shared" si="13"/>
        <v>73505</v>
      </c>
      <c r="M34" s="354">
        <f t="shared" ref="M34" si="14">SUM(M35:M41)</f>
        <v>73505</v>
      </c>
      <c r="N34" s="354">
        <f t="shared" si="13"/>
        <v>14582</v>
      </c>
      <c r="O34" s="808">
        <f t="shared" si="3"/>
        <v>0.19838106251275422</v>
      </c>
      <c r="P34" s="1"/>
    </row>
    <row r="35" spans="1:17" x14ac:dyDescent="0.25">
      <c r="A35" s="52">
        <v>292</v>
      </c>
      <c r="B35" s="53" t="s">
        <v>38</v>
      </c>
      <c r="C35" s="55">
        <v>0</v>
      </c>
      <c r="D35" s="55">
        <v>0</v>
      </c>
      <c r="E35" s="55">
        <v>0</v>
      </c>
      <c r="F35" s="55">
        <v>0</v>
      </c>
      <c r="G35" s="743">
        <v>830</v>
      </c>
      <c r="H35" s="55">
        <v>830</v>
      </c>
      <c r="I35" s="55">
        <v>830</v>
      </c>
      <c r="J35" s="55">
        <v>830</v>
      </c>
      <c r="K35" s="55">
        <v>830</v>
      </c>
      <c r="L35" s="55">
        <v>830</v>
      </c>
      <c r="M35" s="55">
        <v>830</v>
      </c>
      <c r="N35" s="55">
        <v>821</v>
      </c>
      <c r="O35" s="808">
        <f t="shared" si="3"/>
        <v>0.98915662650602409</v>
      </c>
      <c r="P35" s="1"/>
    </row>
    <row r="36" spans="1:17" x14ac:dyDescent="0.25">
      <c r="A36" s="52">
        <v>292</v>
      </c>
      <c r="B36" s="53" t="s">
        <v>39</v>
      </c>
      <c r="C36" s="55">
        <v>200</v>
      </c>
      <c r="D36" s="55">
        <v>200</v>
      </c>
      <c r="E36" s="55">
        <v>200</v>
      </c>
      <c r="F36" s="55">
        <v>200</v>
      </c>
      <c r="G36" s="55">
        <v>200</v>
      </c>
      <c r="H36" s="55">
        <v>200</v>
      </c>
      <c r="I36" s="55">
        <v>200</v>
      </c>
      <c r="J36" s="55">
        <v>200</v>
      </c>
      <c r="K36" s="55">
        <v>200</v>
      </c>
      <c r="L36" s="55">
        <v>200</v>
      </c>
      <c r="M36" s="55">
        <v>200</v>
      </c>
      <c r="N36" s="55">
        <v>0</v>
      </c>
      <c r="O36" s="808">
        <f t="shared" si="3"/>
        <v>0</v>
      </c>
      <c r="P36" s="1"/>
    </row>
    <row r="37" spans="1:17" x14ac:dyDescent="0.25">
      <c r="A37" s="57">
        <v>292</v>
      </c>
      <c r="B37" s="58" t="s">
        <v>40</v>
      </c>
      <c r="C37" s="61">
        <v>1000</v>
      </c>
      <c r="D37" s="61">
        <v>1000</v>
      </c>
      <c r="E37" s="61">
        <v>1000</v>
      </c>
      <c r="F37" s="61">
        <v>1000</v>
      </c>
      <c r="G37" s="61">
        <v>1000</v>
      </c>
      <c r="H37" s="61">
        <v>1000</v>
      </c>
      <c r="I37" s="61">
        <v>1000</v>
      </c>
      <c r="J37" s="61">
        <v>1000</v>
      </c>
      <c r="K37" s="61">
        <v>1000</v>
      </c>
      <c r="L37" s="61">
        <v>1000</v>
      </c>
      <c r="M37" s="61">
        <v>1000</v>
      </c>
      <c r="N37" s="61">
        <v>743</v>
      </c>
      <c r="O37" s="808">
        <f t="shared" si="3"/>
        <v>0.74299999999999999</v>
      </c>
      <c r="P37" s="1"/>
    </row>
    <row r="38" spans="1:17" x14ac:dyDescent="0.25">
      <c r="A38" s="57">
        <v>292</v>
      </c>
      <c r="B38" s="58" t="s">
        <v>41</v>
      </c>
      <c r="C38" s="60">
        <v>500</v>
      </c>
      <c r="D38" s="60">
        <v>500</v>
      </c>
      <c r="E38" s="60">
        <v>500</v>
      </c>
      <c r="F38" s="60">
        <v>500</v>
      </c>
      <c r="G38" s="60">
        <v>500</v>
      </c>
      <c r="H38" s="60">
        <v>500</v>
      </c>
      <c r="I38" s="60">
        <v>500</v>
      </c>
      <c r="J38" s="60">
        <v>500</v>
      </c>
      <c r="K38" s="60">
        <v>500</v>
      </c>
      <c r="L38" s="60">
        <v>500</v>
      </c>
      <c r="M38" s="60">
        <v>500</v>
      </c>
      <c r="N38" s="60">
        <v>0</v>
      </c>
      <c r="O38" s="808">
        <f t="shared" si="3"/>
        <v>0</v>
      </c>
      <c r="P38" s="1"/>
    </row>
    <row r="39" spans="1:17" x14ac:dyDescent="0.25">
      <c r="A39" s="57">
        <v>292</v>
      </c>
      <c r="B39" s="18" t="s">
        <v>42</v>
      </c>
      <c r="C39" s="64">
        <v>340</v>
      </c>
      <c r="D39" s="64">
        <v>340</v>
      </c>
      <c r="E39" s="64">
        <v>340</v>
      </c>
      <c r="F39" s="64">
        <v>340</v>
      </c>
      <c r="G39" s="64">
        <v>340</v>
      </c>
      <c r="H39" s="64">
        <v>340</v>
      </c>
      <c r="I39" s="64">
        <v>340</v>
      </c>
      <c r="J39" s="64">
        <v>340</v>
      </c>
      <c r="K39" s="64">
        <v>340</v>
      </c>
      <c r="L39" s="64">
        <v>340</v>
      </c>
      <c r="M39" s="64">
        <v>340</v>
      </c>
      <c r="N39" s="64">
        <v>0</v>
      </c>
      <c r="O39" s="808">
        <f t="shared" si="3"/>
        <v>0</v>
      </c>
      <c r="P39" s="1"/>
    </row>
    <row r="40" spans="1:17" x14ac:dyDescent="0.25">
      <c r="A40" s="57">
        <v>292</v>
      </c>
      <c r="B40" s="58" t="s">
        <v>220</v>
      </c>
      <c r="C40" s="60">
        <v>69785</v>
      </c>
      <c r="D40" s="60">
        <v>69785</v>
      </c>
      <c r="E40" s="60">
        <v>69785</v>
      </c>
      <c r="F40" s="60">
        <f>69785</f>
        <v>69785</v>
      </c>
      <c r="G40" s="60">
        <f t="shared" ref="G40" si="15">69785</f>
        <v>69785</v>
      </c>
      <c r="H40" s="745">
        <f>69785+800</f>
        <v>70585</v>
      </c>
      <c r="I40" s="60">
        <f>69785+800</f>
        <v>70585</v>
      </c>
      <c r="J40" s="60">
        <f t="shared" ref="J40:M40" si="16">69785+800</f>
        <v>70585</v>
      </c>
      <c r="K40" s="60">
        <f t="shared" si="16"/>
        <v>70585</v>
      </c>
      <c r="L40" s="60">
        <f t="shared" si="16"/>
        <v>70585</v>
      </c>
      <c r="M40" s="60">
        <f t="shared" si="16"/>
        <v>70585</v>
      </c>
      <c r="N40" s="60">
        <v>13018</v>
      </c>
      <c r="O40" s="808">
        <f t="shared" si="3"/>
        <v>0.18443011971382023</v>
      </c>
      <c r="P40" s="27">
        <f>SUM(C39:C40)</f>
        <v>70125</v>
      </c>
      <c r="Q40" s="27">
        <f t="shared" ref="Q40" si="17">SUM(D39:D40)</f>
        <v>70125</v>
      </c>
    </row>
    <row r="41" spans="1:17" ht="15.75" thickBot="1" x14ac:dyDescent="0.3">
      <c r="A41" s="57">
        <v>292</v>
      </c>
      <c r="B41" s="58" t="s">
        <v>345</v>
      </c>
      <c r="C41" s="60">
        <v>50</v>
      </c>
      <c r="D41" s="60">
        <v>50</v>
      </c>
      <c r="E41" s="60">
        <v>50</v>
      </c>
      <c r="F41" s="60">
        <v>50</v>
      </c>
      <c r="G41" s="60">
        <v>50</v>
      </c>
      <c r="H41" s="60">
        <v>50</v>
      </c>
      <c r="I41" s="60">
        <v>50</v>
      </c>
      <c r="J41" s="60">
        <v>50</v>
      </c>
      <c r="K41" s="60">
        <v>50</v>
      </c>
      <c r="L41" s="60">
        <v>50</v>
      </c>
      <c r="M41" s="60">
        <v>50</v>
      </c>
      <c r="N41" s="60">
        <v>0</v>
      </c>
      <c r="O41" s="808">
        <f t="shared" si="3"/>
        <v>0</v>
      </c>
      <c r="P41" s="1"/>
    </row>
    <row r="42" spans="1:17" ht="15.75" thickBot="1" x14ac:dyDescent="0.3">
      <c r="A42" s="65" t="s">
        <v>43</v>
      </c>
      <c r="B42" s="358"/>
      <c r="C42" s="354">
        <f t="shared" ref="C42:L42" si="18">SUM(C43:C68)</f>
        <v>761910</v>
      </c>
      <c r="D42" s="354">
        <f t="shared" si="18"/>
        <v>761990</v>
      </c>
      <c r="E42" s="354">
        <f t="shared" si="18"/>
        <v>870240</v>
      </c>
      <c r="F42" s="354">
        <f t="shared" si="18"/>
        <v>870240</v>
      </c>
      <c r="G42" s="354">
        <f t="shared" si="18"/>
        <v>930995</v>
      </c>
      <c r="H42" s="354">
        <f t="shared" si="18"/>
        <v>960195</v>
      </c>
      <c r="I42" s="354">
        <f t="shared" si="18"/>
        <v>962735</v>
      </c>
      <c r="J42" s="354">
        <f t="shared" si="18"/>
        <v>962815</v>
      </c>
      <c r="K42" s="354">
        <f t="shared" si="18"/>
        <v>962815</v>
      </c>
      <c r="L42" s="354">
        <f t="shared" si="18"/>
        <v>966527</v>
      </c>
      <c r="M42" s="354">
        <f t="shared" ref="M42" si="19">SUM(M43:M68)</f>
        <v>966527</v>
      </c>
      <c r="N42" s="354">
        <f>SUM(N43:N68)</f>
        <v>322980</v>
      </c>
      <c r="O42" s="808">
        <f t="shared" si="3"/>
        <v>0.33548172653949426</v>
      </c>
      <c r="P42" s="1"/>
    </row>
    <row r="43" spans="1:17" x14ac:dyDescent="0.25">
      <c r="A43" s="67">
        <v>311</v>
      </c>
      <c r="B43" s="359" t="s">
        <v>44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708">
        <v>3000</v>
      </c>
      <c r="M43" s="68">
        <v>3000</v>
      </c>
      <c r="N43" s="68">
        <v>0</v>
      </c>
      <c r="O43" s="808">
        <v>0</v>
      </c>
      <c r="P43" s="1"/>
    </row>
    <row r="44" spans="1:17" x14ac:dyDescent="0.25">
      <c r="A44" s="67">
        <v>312</v>
      </c>
      <c r="B44" s="359" t="s">
        <v>571</v>
      </c>
      <c r="C44" s="68">
        <v>0</v>
      </c>
      <c r="D44" s="68">
        <v>0</v>
      </c>
      <c r="E44" s="68">
        <f>2000-2000</f>
        <v>0</v>
      </c>
      <c r="F44" s="68">
        <v>0</v>
      </c>
      <c r="G44" s="708">
        <v>60000</v>
      </c>
      <c r="H44" s="68">
        <v>60000</v>
      </c>
      <c r="I44" s="68">
        <v>60000</v>
      </c>
      <c r="J44" s="68">
        <v>60000</v>
      </c>
      <c r="K44" s="68">
        <v>60000</v>
      </c>
      <c r="L44" s="68">
        <v>60000</v>
      </c>
      <c r="M44" s="68">
        <v>60000</v>
      </c>
      <c r="N44" s="68">
        <v>11770</v>
      </c>
      <c r="O44" s="808">
        <f t="shared" si="3"/>
        <v>0.19616666666666666</v>
      </c>
      <c r="P44" s="1"/>
    </row>
    <row r="45" spans="1:17" x14ac:dyDescent="0.25">
      <c r="A45" s="798">
        <v>312</v>
      </c>
      <c r="B45" s="799" t="s">
        <v>618</v>
      </c>
      <c r="C45" s="800">
        <v>0</v>
      </c>
      <c r="D45" s="800">
        <v>0</v>
      </c>
      <c r="E45" s="800">
        <v>0</v>
      </c>
      <c r="F45" s="800">
        <v>0</v>
      </c>
      <c r="G45" s="800">
        <v>0</v>
      </c>
      <c r="H45" s="801">
        <v>18200</v>
      </c>
      <c r="I45" s="800">
        <v>18200</v>
      </c>
      <c r="J45" s="800">
        <v>18200</v>
      </c>
      <c r="K45" s="800">
        <v>18200</v>
      </c>
      <c r="L45" s="800">
        <v>18200</v>
      </c>
      <c r="M45" s="800">
        <v>18200</v>
      </c>
      <c r="N45" s="800">
        <v>0</v>
      </c>
      <c r="O45" s="808">
        <f t="shared" si="3"/>
        <v>0</v>
      </c>
      <c r="P45" s="27"/>
    </row>
    <row r="46" spans="1:17" x14ac:dyDescent="0.25">
      <c r="A46" s="71">
        <v>312</v>
      </c>
      <c r="B46" s="352" t="s">
        <v>228</v>
      </c>
      <c r="C46" s="16">
        <f>7600+500</f>
        <v>8100</v>
      </c>
      <c r="D46" s="16">
        <f>7600+500</f>
        <v>8100</v>
      </c>
      <c r="E46" s="709">
        <f>7600+500+170</f>
        <v>8270</v>
      </c>
      <c r="F46" s="16">
        <f>7600+500+170</f>
        <v>8270</v>
      </c>
      <c r="G46" s="16">
        <f t="shared" ref="G46:M46" si="20">7600+500+170</f>
        <v>8270</v>
      </c>
      <c r="H46" s="16">
        <f t="shared" si="20"/>
        <v>8270</v>
      </c>
      <c r="I46" s="16">
        <f t="shared" si="20"/>
        <v>8270</v>
      </c>
      <c r="J46" s="16">
        <f t="shared" si="20"/>
        <v>8270</v>
      </c>
      <c r="K46" s="16">
        <f t="shared" si="20"/>
        <v>8270</v>
      </c>
      <c r="L46" s="16">
        <f t="shared" si="20"/>
        <v>8270</v>
      </c>
      <c r="M46" s="16">
        <f t="shared" si="20"/>
        <v>8270</v>
      </c>
      <c r="N46" s="16">
        <v>4449</v>
      </c>
      <c r="O46" s="808">
        <f t="shared" si="3"/>
        <v>0.53796856106408708</v>
      </c>
      <c r="P46" s="1"/>
    </row>
    <row r="47" spans="1:17" x14ac:dyDescent="0.25">
      <c r="A47" s="71">
        <v>312</v>
      </c>
      <c r="B47" s="352" t="s">
        <v>229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709">
        <v>360</v>
      </c>
      <c r="J47" s="709">
        <f>360+20</f>
        <v>380</v>
      </c>
      <c r="K47" s="16">
        <f>360+20</f>
        <v>380</v>
      </c>
      <c r="L47" s="16">
        <f>360+20</f>
        <v>380</v>
      </c>
      <c r="M47" s="16">
        <f>360+20</f>
        <v>380</v>
      </c>
      <c r="N47" s="16">
        <v>0</v>
      </c>
      <c r="O47" s="808">
        <f t="shared" si="3"/>
        <v>0</v>
      </c>
      <c r="P47" s="1"/>
    </row>
    <row r="48" spans="1:17" x14ac:dyDescent="0.25">
      <c r="A48" s="71">
        <v>312</v>
      </c>
      <c r="B48" s="118" t="s">
        <v>50</v>
      </c>
      <c r="C48" s="73">
        <v>2040</v>
      </c>
      <c r="D48" s="73">
        <v>2040</v>
      </c>
      <c r="E48" s="73">
        <v>2040</v>
      </c>
      <c r="F48" s="73">
        <v>2040</v>
      </c>
      <c r="G48" s="73">
        <v>2040</v>
      </c>
      <c r="H48" s="73">
        <v>2040</v>
      </c>
      <c r="I48" s="73">
        <f>2040</f>
        <v>2040</v>
      </c>
      <c r="J48" s="73">
        <f>2040</f>
        <v>2040</v>
      </c>
      <c r="K48" s="73">
        <f>2040</f>
        <v>2040</v>
      </c>
      <c r="L48" s="73">
        <f>2040</f>
        <v>2040</v>
      </c>
      <c r="M48" s="73">
        <f>2040</f>
        <v>2040</v>
      </c>
      <c r="N48" s="73">
        <v>0</v>
      </c>
      <c r="O48" s="808">
        <f t="shared" si="3"/>
        <v>0</v>
      </c>
      <c r="P48" s="1"/>
    </row>
    <row r="49" spans="1:17" x14ac:dyDescent="0.25">
      <c r="A49" s="71">
        <v>312</v>
      </c>
      <c r="B49" s="351" t="s">
        <v>463</v>
      </c>
      <c r="C49" s="73">
        <v>14170</v>
      </c>
      <c r="D49" s="73">
        <v>14170</v>
      </c>
      <c r="E49" s="73">
        <v>14170</v>
      </c>
      <c r="F49" s="73">
        <v>14170</v>
      </c>
      <c r="G49" s="73">
        <v>14170</v>
      </c>
      <c r="H49" s="73">
        <v>14170</v>
      </c>
      <c r="I49" s="73">
        <v>14170</v>
      </c>
      <c r="J49" s="73">
        <v>14170</v>
      </c>
      <c r="K49" s="73">
        <v>14170</v>
      </c>
      <c r="L49" s="73">
        <v>14170</v>
      </c>
      <c r="M49" s="73">
        <v>14170</v>
      </c>
      <c r="N49" s="73">
        <v>2096</v>
      </c>
      <c r="O49" s="808">
        <f t="shared" si="3"/>
        <v>0.14791813690896261</v>
      </c>
      <c r="P49" s="27"/>
    </row>
    <row r="50" spans="1:17" x14ac:dyDescent="0.25">
      <c r="A50" s="84">
        <v>312</v>
      </c>
      <c r="B50" s="352" t="s">
        <v>607</v>
      </c>
      <c r="C50" s="800">
        <v>0</v>
      </c>
      <c r="D50" s="800">
        <v>0</v>
      </c>
      <c r="E50" s="800">
        <v>0</v>
      </c>
      <c r="F50" s="800">
        <v>0</v>
      </c>
      <c r="G50" s="800">
        <v>0</v>
      </c>
      <c r="H50" s="801">
        <v>11000</v>
      </c>
      <c r="I50" s="800">
        <v>11000</v>
      </c>
      <c r="J50" s="800">
        <v>11000</v>
      </c>
      <c r="K50" s="800">
        <v>11000</v>
      </c>
      <c r="L50" s="800">
        <v>11000</v>
      </c>
      <c r="M50" s="800">
        <v>11000</v>
      </c>
      <c r="N50" s="800">
        <v>0</v>
      </c>
      <c r="O50" s="808">
        <f t="shared" si="3"/>
        <v>0</v>
      </c>
      <c r="P50" s="27"/>
    </row>
    <row r="51" spans="1:17" ht="15.75" thickBot="1" x14ac:dyDescent="0.3">
      <c r="A51" s="74">
        <v>312</v>
      </c>
      <c r="B51" s="82" t="s">
        <v>53</v>
      </c>
      <c r="C51" s="75">
        <v>40</v>
      </c>
      <c r="D51" s="75">
        <f>40</f>
        <v>40</v>
      </c>
      <c r="E51" s="759">
        <f>40+1</f>
        <v>41</v>
      </c>
      <c r="F51" s="75">
        <f>40+1</f>
        <v>41</v>
      </c>
      <c r="G51" s="75">
        <f t="shared" ref="G51:M51" si="21">40+1</f>
        <v>41</v>
      </c>
      <c r="H51" s="75">
        <f t="shared" si="21"/>
        <v>41</v>
      </c>
      <c r="I51" s="75">
        <f t="shared" si="21"/>
        <v>41</v>
      </c>
      <c r="J51" s="75">
        <f t="shared" si="21"/>
        <v>41</v>
      </c>
      <c r="K51" s="75">
        <f t="shared" si="21"/>
        <v>41</v>
      </c>
      <c r="L51" s="75">
        <f t="shared" si="21"/>
        <v>41</v>
      </c>
      <c r="M51" s="75">
        <f t="shared" si="21"/>
        <v>41</v>
      </c>
      <c r="N51" s="75">
        <v>40</v>
      </c>
      <c r="O51" s="808">
        <f t="shared" si="3"/>
        <v>0.97560975609756095</v>
      </c>
      <c r="P51" s="27"/>
    </row>
    <row r="52" spans="1:17" ht="15.75" thickBot="1" x14ac:dyDescent="0.3">
      <c r="A52" s="348">
        <v>312</v>
      </c>
      <c r="B52" s="360" t="s">
        <v>464</v>
      </c>
      <c r="C52" s="349">
        <v>3000</v>
      </c>
      <c r="D52" s="349">
        <v>3000</v>
      </c>
      <c r="E52" s="349">
        <v>3000</v>
      </c>
      <c r="F52" s="349">
        <v>3000</v>
      </c>
      <c r="G52" s="349">
        <v>3000</v>
      </c>
      <c r="H52" s="349">
        <v>3000</v>
      </c>
      <c r="I52" s="349">
        <v>3000</v>
      </c>
      <c r="J52" s="349">
        <v>3000</v>
      </c>
      <c r="K52" s="349">
        <v>3000</v>
      </c>
      <c r="L52" s="349">
        <v>3000</v>
      </c>
      <c r="M52" s="349">
        <v>3000</v>
      </c>
      <c r="N52" s="349">
        <v>0</v>
      </c>
      <c r="O52" s="808">
        <f t="shared" si="3"/>
        <v>0</v>
      </c>
      <c r="P52" s="27"/>
    </row>
    <row r="53" spans="1:17" x14ac:dyDescent="0.25">
      <c r="A53" s="71">
        <v>312</v>
      </c>
      <c r="B53" s="85" t="s">
        <v>54</v>
      </c>
      <c r="C53" s="16">
        <v>20100</v>
      </c>
      <c r="D53" s="16">
        <v>20100</v>
      </c>
      <c r="E53" s="16">
        <v>20100</v>
      </c>
      <c r="F53" s="16">
        <v>20100</v>
      </c>
      <c r="G53" s="16">
        <v>20100</v>
      </c>
      <c r="H53" s="16">
        <v>20100</v>
      </c>
      <c r="I53" s="16">
        <v>20100</v>
      </c>
      <c r="J53" s="16">
        <v>20100</v>
      </c>
      <c r="K53" s="16">
        <v>20100</v>
      </c>
      <c r="L53" s="16">
        <v>20100</v>
      </c>
      <c r="M53" s="16">
        <v>20100</v>
      </c>
      <c r="N53" s="16">
        <v>3483</v>
      </c>
      <c r="O53" s="808">
        <f t="shared" si="3"/>
        <v>0.17328358208955225</v>
      </c>
      <c r="P53" s="1"/>
    </row>
    <row r="54" spans="1:17" x14ac:dyDescent="0.25">
      <c r="A54" s="71">
        <v>312</v>
      </c>
      <c r="B54" s="118" t="s">
        <v>55</v>
      </c>
      <c r="C54" s="16">
        <v>12500</v>
      </c>
      <c r="D54" s="16">
        <v>12500</v>
      </c>
      <c r="E54" s="16">
        <v>12500</v>
      </c>
      <c r="F54" s="16">
        <v>12500</v>
      </c>
      <c r="G54" s="709">
        <f>12500+500</f>
        <v>13000</v>
      </c>
      <c r="H54" s="16">
        <f>12500+500</f>
        <v>13000</v>
      </c>
      <c r="I54" s="16">
        <f>12500+500</f>
        <v>13000</v>
      </c>
      <c r="J54" s="16">
        <f t="shared" ref="J54:M54" si="22">12500+500</f>
        <v>13000</v>
      </c>
      <c r="K54" s="16">
        <f t="shared" si="22"/>
        <v>13000</v>
      </c>
      <c r="L54" s="16">
        <f t="shared" si="22"/>
        <v>13000</v>
      </c>
      <c r="M54" s="16">
        <f t="shared" si="22"/>
        <v>13000</v>
      </c>
      <c r="N54" s="16">
        <v>3250</v>
      </c>
      <c r="O54" s="808">
        <f t="shared" si="3"/>
        <v>0.25</v>
      </c>
      <c r="P54" s="1"/>
    </row>
    <row r="55" spans="1:17" ht="15.75" thickBot="1" x14ac:dyDescent="0.3">
      <c r="A55" s="77">
        <v>312</v>
      </c>
      <c r="B55" s="165" t="s">
        <v>56</v>
      </c>
      <c r="C55" s="79">
        <f>3000+5600</f>
        <v>8600</v>
      </c>
      <c r="D55" s="79">
        <f>3000+5600</f>
        <v>8600</v>
      </c>
      <c r="E55" s="787">
        <f>3200+5600</f>
        <v>8800</v>
      </c>
      <c r="F55" s="79">
        <f>3200+5600</f>
        <v>8800</v>
      </c>
      <c r="G55" s="79">
        <f t="shared" ref="G55:I55" si="23">3200+5600</f>
        <v>8800</v>
      </c>
      <c r="H55" s="79">
        <f t="shared" si="23"/>
        <v>8800</v>
      </c>
      <c r="I55" s="79">
        <f t="shared" si="23"/>
        <v>8800</v>
      </c>
      <c r="J55" s="79">
        <f>3200+5600</f>
        <v>8800</v>
      </c>
      <c r="K55" s="79">
        <f>3200+5600</f>
        <v>8800</v>
      </c>
      <c r="L55" s="79">
        <f>3200+5600</f>
        <v>8800</v>
      </c>
      <c r="M55" s="79">
        <f>3200+5600</f>
        <v>8800</v>
      </c>
      <c r="N55" s="79">
        <v>1400</v>
      </c>
      <c r="O55" s="808">
        <f t="shared" si="3"/>
        <v>0.15909090909090909</v>
      </c>
      <c r="P55" s="27"/>
      <c r="Q55" s="458"/>
    </row>
    <row r="56" spans="1:17" ht="15" customHeight="1" x14ac:dyDescent="0.25">
      <c r="A56" s="71">
        <v>312</v>
      </c>
      <c r="B56" s="85" t="s">
        <v>233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808">
        <v>0</v>
      </c>
      <c r="P56" s="1"/>
    </row>
    <row r="57" spans="1:17" ht="15.75" thickBot="1" x14ac:dyDescent="0.3">
      <c r="A57" s="74">
        <v>312</v>
      </c>
      <c r="B57" s="82" t="s">
        <v>59</v>
      </c>
      <c r="C57" s="75">
        <v>3000</v>
      </c>
      <c r="D57" s="75">
        <v>3000</v>
      </c>
      <c r="E57" s="75">
        <v>3000</v>
      </c>
      <c r="F57" s="75">
        <v>3000</v>
      </c>
      <c r="G57" s="75">
        <v>3000</v>
      </c>
      <c r="H57" s="75">
        <v>3000</v>
      </c>
      <c r="I57" s="75">
        <v>3000</v>
      </c>
      <c r="J57" s="75">
        <v>3000</v>
      </c>
      <c r="K57" s="75">
        <v>3000</v>
      </c>
      <c r="L57" s="75">
        <v>3000</v>
      </c>
      <c r="M57" s="75">
        <v>3000</v>
      </c>
      <c r="N57" s="75">
        <v>3000</v>
      </c>
      <c r="O57" s="808">
        <f t="shared" si="3"/>
        <v>1</v>
      </c>
      <c r="P57" s="27"/>
    </row>
    <row r="58" spans="1:17" x14ac:dyDescent="0.25">
      <c r="A58" s="71">
        <v>312</v>
      </c>
      <c r="B58" s="351" t="s">
        <v>60</v>
      </c>
      <c r="C58" s="83">
        <v>5120</v>
      </c>
      <c r="D58" s="781">
        <f>5120+80</f>
        <v>5200</v>
      </c>
      <c r="E58" s="83">
        <f>5120+80</f>
        <v>5200</v>
      </c>
      <c r="F58" s="83">
        <f>5120+80</f>
        <v>5200</v>
      </c>
      <c r="G58" s="83">
        <f t="shared" ref="G58:M58" si="24">5120+80</f>
        <v>5200</v>
      </c>
      <c r="H58" s="83">
        <f t="shared" si="24"/>
        <v>5200</v>
      </c>
      <c r="I58" s="83">
        <f t="shared" si="24"/>
        <v>5200</v>
      </c>
      <c r="J58" s="83">
        <f t="shared" si="24"/>
        <v>5200</v>
      </c>
      <c r="K58" s="83">
        <f t="shared" si="24"/>
        <v>5200</v>
      </c>
      <c r="L58" s="83">
        <f t="shared" si="24"/>
        <v>5200</v>
      </c>
      <c r="M58" s="83">
        <f t="shared" si="24"/>
        <v>5200</v>
      </c>
      <c r="N58" s="83">
        <v>5167</v>
      </c>
      <c r="O58" s="808">
        <f t="shared" si="3"/>
        <v>0.99365384615384611</v>
      </c>
      <c r="P58" s="1"/>
    </row>
    <row r="59" spans="1:17" x14ac:dyDescent="0.25">
      <c r="A59" s="84">
        <v>312</v>
      </c>
      <c r="B59" s="361" t="s">
        <v>61</v>
      </c>
      <c r="C59" s="21">
        <v>3700</v>
      </c>
      <c r="D59" s="21">
        <v>3700</v>
      </c>
      <c r="E59" s="786">
        <f>3700+400</f>
        <v>4100</v>
      </c>
      <c r="F59" s="21">
        <f>3700+400</f>
        <v>4100</v>
      </c>
      <c r="G59" s="21">
        <f t="shared" ref="G59:I59" si="25">3700+400</f>
        <v>4100</v>
      </c>
      <c r="H59" s="21">
        <f t="shared" si="25"/>
        <v>4100</v>
      </c>
      <c r="I59" s="21">
        <f t="shared" si="25"/>
        <v>4100</v>
      </c>
      <c r="J59" s="786">
        <f>3700+400+60</f>
        <v>4160</v>
      </c>
      <c r="K59" s="21">
        <f>3700+400+60</f>
        <v>4160</v>
      </c>
      <c r="L59" s="21">
        <f>3700+400+60</f>
        <v>4160</v>
      </c>
      <c r="M59" s="21">
        <f>3700+400+60</f>
        <v>4160</v>
      </c>
      <c r="N59" s="21">
        <v>171</v>
      </c>
      <c r="O59" s="808">
        <f t="shared" si="3"/>
        <v>4.1707317073170734E-2</v>
      </c>
      <c r="P59" s="1"/>
    </row>
    <row r="60" spans="1:17" x14ac:dyDescent="0.25">
      <c r="A60" s="84">
        <v>312</v>
      </c>
      <c r="B60" s="362" t="s">
        <v>572</v>
      </c>
      <c r="C60" s="33">
        <v>5000</v>
      </c>
      <c r="D60" s="33">
        <f>5000</f>
        <v>5000</v>
      </c>
      <c r="E60" s="715">
        <f>5000+7200</f>
        <v>12200</v>
      </c>
      <c r="F60" s="33">
        <f>5000+7200</f>
        <v>12200</v>
      </c>
      <c r="G60" s="715">
        <f>5000+7200+155</f>
        <v>12355</v>
      </c>
      <c r="H60" s="33">
        <f>5000+7200+155</f>
        <v>12355</v>
      </c>
      <c r="I60" s="33">
        <f>5000+7200+155</f>
        <v>12355</v>
      </c>
      <c r="J60" s="33">
        <f t="shared" ref="J60:M60" si="26">5000+7200+155</f>
        <v>12355</v>
      </c>
      <c r="K60" s="33">
        <f t="shared" si="26"/>
        <v>12355</v>
      </c>
      <c r="L60" s="33">
        <f t="shared" si="26"/>
        <v>12355</v>
      </c>
      <c r="M60" s="33">
        <f t="shared" si="26"/>
        <v>12355</v>
      </c>
      <c r="N60" s="33">
        <v>6248</v>
      </c>
      <c r="O60" s="808">
        <f t="shared" si="3"/>
        <v>0.50570619182517196</v>
      </c>
      <c r="P60" s="1"/>
    </row>
    <row r="61" spans="1:17" x14ac:dyDescent="0.25">
      <c r="A61" s="71">
        <v>312</v>
      </c>
      <c r="B61" s="118" t="s">
        <v>573</v>
      </c>
      <c r="C61" s="16">
        <v>52550</v>
      </c>
      <c r="D61" s="16">
        <f>52550</f>
        <v>52550</v>
      </c>
      <c r="E61" s="709">
        <f>52550+17050</f>
        <v>69600</v>
      </c>
      <c r="F61" s="16">
        <f>52550+17050</f>
        <v>69600</v>
      </c>
      <c r="G61" s="16">
        <f t="shared" ref="G61:M61" si="27">52550+17050</f>
        <v>69600</v>
      </c>
      <c r="H61" s="16">
        <f t="shared" si="27"/>
        <v>69600</v>
      </c>
      <c r="I61" s="16">
        <f t="shared" si="27"/>
        <v>69600</v>
      </c>
      <c r="J61" s="16">
        <f t="shared" si="27"/>
        <v>69600</v>
      </c>
      <c r="K61" s="16">
        <f t="shared" si="27"/>
        <v>69600</v>
      </c>
      <c r="L61" s="16">
        <f t="shared" si="27"/>
        <v>69600</v>
      </c>
      <c r="M61" s="16">
        <f t="shared" si="27"/>
        <v>69600</v>
      </c>
      <c r="N61" s="16">
        <v>29000</v>
      </c>
      <c r="O61" s="808">
        <f t="shared" si="3"/>
        <v>0.41666666666666669</v>
      </c>
      <c r="P61" s="1"/>
    </row>
    <row r="62" spans="1:17" x14ac:dyDescent="0.25">
      <c r="A62" s="84">
        <v>312</v>
      </c>
      <c r="B62" s="118" t="s">
        <v>62</v>
      </c>
      <c r="C62" s="21">
        <v>47340</v>
      </c>
      <c r="D62" s="21">
        <v>47340</v>
      </c>
      <c r="E62" s="21">
        <v>47340</v>
      </c>
      <c r="F62" s="21">
        <v>47340</v>
      </c>
      <c r="G62" s="21">
        <v>47340</v>
      </c>
      <c r="H62" s="21">
        <v>47340</v>
      </c>
      <c r="I62" s="21">
        <v>47340</v>
      </c>
      <c r="J62" s="21">
        <v>47340</v>
      </c>
      <c r="K62" s="21">
        <v>47340</v>
      </c>
      <c r="L62" s="21">
        <v>47340</v>
      </c>
      <c r="M62" s="21">
        <v>47340</v>
      </c>
      <c r="N62" s="21">
        <v>11276</v>
      </c>
      <c r="O62" s="808">
        <f t="shared" si="3"/>
        <v>0.23819180397127165</v>
      </c>
      <c r="P62" s="27"/>
      <c r="Q62" s="27"/>
    </row>
    <row r="63" spans="1:17" x14ac:dyDescent="0.25">
      <c r="A63" s="71">
        <v>312</v>
      </c>
      <c r="B63" s="444" t="s">
        <v>335</v>
      </c>
      <c r="C63" s="16">
        <v>2000</v>
      </c>
      <c r="D63" s="709">
        <f>2000</f>
        <v>2000</v>
      </c>
      <c r="E63" s="709">
        <f>2000-970</f>
        <v>1030</v>
      </c>
      <c r="F63" s="16">
        <f>2000-970</f>
        <v>1030</v>
      </c>
      <c r="G63" s="16">
        <f t="shared" ref="G63:M63" si="28">2000-970</f>
        <v>1030</v>
      </c>
      <c r="H63" s="16">
        <f t="shared" si="28"/>
        <v>1030</v>
      </c>
      <c r="I63" s="16">
        <f t="shared" si="28"/>
        <v>1030</v>
      </c>
      <c r="J63" s="16">
        <f t="shared" si="28"/>
        <v>1030</v>
      </c>
      <c r="K63" s="16">
        <f t="shared" si="28"/>
        <v>1030</v>
      </c>
      <c r="L63" s="16">
        <f t="shared" si="28"/>
        <v>1030</v>
      </c>
      <c r="M63" s="16">
        <f t="shared" si="28"/>
        <v>1030</v>
      </c>
      <c r="N63" s="16">
        <v>725</v>
      </c>
      <c r="O63" s="808">
        <f t="shared" si="3"/>
        <v>0.70388349514563109</v>
      </c>
      <c r="P63" s="1"/>
    </row>
    <row r="64" spans="1:17" ht="15.75" thickBot="1" x14ac:dyDescent="0.3">
      <c r="A64" s="77">
        <v>312</v>
      </c>
      <c r="B64" s="78" t="s">
        <v>548</v>
      </c>
      <c r="C64" s="789">
        <v>0</v>
      </c>
      <c r="D64" s="789">
        <v>0</v>
      </c>
      <c r="E64" s="790">
        <v>26200</v>
      </c>
      <c r="F64" s="789">
        <v>26200</v>
      </c>
      <c r="G64" s="789">
        <v>26200</v>
      </c>
      <c r="H64" s="789">
        <v>26200</v>
      </c>
      <c r="I64" s="789">
        <v>26200</v>
      </c>
      <c r="J64" s="789">
        <v>26200</v>
      </c>
      <c r="K64" s="789">
        <v>26200</v>
      </c>
      <c r="L64" s="789">
        <v>26200</v>
      </c>
      <c r="M64" s="789">
        <v>26200</v>
      </c>
      <c r="N64" s="789">
        <v>26154</v>
      </c>
      <c r="O64" s="808">
        <f t="shared" si="3"/>
        <v>0.99824427480916034</v>
      </c>
      <c r="P64" s="27">
        <f>SUM(I44:I64)+I68</f>
        <v>959435</v>
      </c>
      <c r="Q64" s="27">
        <f>SUM(N44:N64)+N68</f>
        <v>322880</v>
      </c>
    </row>
    <row r="65" spans="1:23" x14ac:dyDescent="0.25">
      <c r="A65" s="71">
        <v>315</v>
      </c>
      <c r="B65" s="76" t="s">
        <v>58</v>
      </c>
      <c r="C65" s="16">
        <v>3000</v>
      </c>
      <c r="D65" s="16">
        <v>3000</v>
      </c>
      <c r="E65" s="16">
        <v>3000</v>
      </c>
      <c r="F65" s="16">
        <v>3000</v>
      </c>
      <c r="G65" s="16">
        <v>3000</v>
      </c>
      <c r="H65" s="16">
        <v>3000</v>
      </c>
      <c r="I65" s="16">
        <v>3000</v>
      </c>
      <c r="J65" s="16">
        <v>3000</v>
      </c>
      <c r="K65" s="16">
        <v>3000</v>
      </c>
      <c r="L65" s="16">
        <v>3000</v>
      </c>
      <c r="M65" s="16">
        <v>3000</v>
      </c>
      <c r="N65" s="16">
        <v>0</v>
      </c>
      <c r="O65" s="808">
        <f t="shared" si="3"/>
        <v>0</v>
      </c>
      <c r="P65" s="27"/>
      <c r="Q65" s="27"/>
    </row>
    <row r="66" spans="1:23" ht="15.75" thickBot="1" x14ac:dyDescent="0.3">
      <c r="A66" s="77">
        <v>315</v>
      </c>
      <c r="B66" s="78" t="s">
        <v>294</v>
      </c>
      <c r="C66" s="79">
        <v>200</v>
      </c>
      <c r="D66" s="79">
        <v>200</v>
      </c>
      <c r="E66" s="79">
        <v>200</v>
      </c>
      <c r="F66" s="79">
        <v>200</v>
      </c>
      <c r="G66" s="787">
        <f>200+100</f>
        <v>300</v>
      </c>
      <c r="H66" s="79">
        <f>200+100</f>
        <v>300</v>
      </c>
      <c r="I66" s="79">
        <f>200+100</f>
        <v>300</v>
      </c>
      <c r="J66" s="79">
        <f t="shared" ref="J66:M66" si="29">200+100</f>
        <v>300</v>
      </c>
      <c r="K66" s="79">
        <f t="shared" si="29"/>
        <v>300</v>
      </c>
      <c r="L66" s="79">
        <f t="shared" si="29"/>
        <v>300</v>
      </c>
      <c r="M66" s="79">
        <f t="shared" si="29"/>
        <v>300</v>
      </c>
      <c r="N66" s="79">
        <v>100</v>
      </c>
      <c r="O66" s="808">
        <f t="shared" si="3"/>
        <v>0.33333333333333331</v>
      </c>
      <c r="P66" s="27">
        <f>SUM(I65:I66)</f>
        <v>3300</v>
      </c>
      <c r="Q66" s="27">
        <f>SUM(N65:N66)</f>
        <v>100</v>
      </c>
    </row>
    <row r="67" spans="1:23" ht="15.75" x14ac:dyDescent="0.25">
      <c r="A67" s="536">
        <v>312</v>
      </c>
      <c r="B67" s="537" t="s">
        <v>246</v>
      </c>
      <c r="C67" s="541">
        <v>0</v>
      </c>
      <c r="D67" s="541">
        <v>0</v>
      </c>
      <c r="E67" s="541">
        <v>0</v>
      </c>
      <c r="F67" s="541">
        <v>0</v>
      </c>
      <c r="G67" s="541">
        <v>0</v>
      </c>
      <c r="H67" s="541">
        <v>0</v>
      </c>
      <c r="I67" s="541">
        <v>0</v>
      </c>
      <c r="J67" s="541">
        <v>0</v>
      </c>
      <c r="K67" s="541">
        <v>0</v>
      </c>
      <c r="L67" s="541">
        <v>0</v>
      </c>
      <c r="M67" s="541">
        <v>0</v>
      </c>
      <c r="N67" s="541">
        <v>0</v>
      </c>
      <c r="O67" s="808">
        <v>0</v>
      </c>
      <c r="P67" s="27"/>
      <c r="Q67" s="27"/>
    </row>
    <row r="68" spans="1:23" ht="16.5" thickBot="1" x14ac:dyDescent="0.3">
      <c r="A68" s="86">
        <v>312</v>
      </c>
      <c r="B68" s="87" t="s">
        <v>63</v>
      </c>
      <c r="C68" s="88">
        <v>571450</v>
      </c>
      <c r="D68" s="88">
        <v>571450</v>
      </c>
      <c r="E68" s="716">
        <f>571450+57999</f>
        <v>629449</v>
      </c>
      <c r="F68" s="88">
        <f>571450+57999</f>
        <v>629449</v>
      </c>
      <c r="G68" s="88">
        <f t="shared" ref="G68:H68" si="30">571450+57999</f>
        <v>629449</v>
      </c>
      <c r="H68" s="88">
        <f t="shared" si="30"/>
        <v>629449</v>
      </c>
      <c r="I68" s="716">
        <f>571450+57999+2180</f>
        <v>631629</v>
      </c>
      <c r="J68" s="819">
        <f t="shared" ref="J68:K68" si="31">571450+57999+2180</f>
        <v>631629</v>
      </c>
      <c r="K68" s="819">
        <f t="shared" si="31"/>
        <v>631629</v>
      </c>
      <c r="L68" s="716">
        <f>571450+57999+2180+712</f>
        <v>632341</v>
      </c>
      <c r="M68" s="819">
        <f>571450+57999+2180+712</f>
        <v>632341</v>
      </c>
      <c r="N68" s="88">
        <v>214651</v>
      </c>
      <c r="O68" s="808">
        <f t="shared" ref="O68:O131" si="32">N68/I68</f>
        <v>0.33983715123909763</v>
      </c>
      <c r="P68" s="27"/>
      <c r="Q68" s="27"/>
    </row>
    <row r="69" spans="1:23" ht="16.5" thickBot="1" x14ac:dyDescent="0.3">
      <c r="A69" s="89" t="s">
        <v>64</v>
      </c>
      <c r="B69" s="363"/>
      <c r="C69" s="90">
        <f t="shared" ref="C69:L69" si="33">SUM(C3+C11+C32+C34+C42)</f>
        <v>2532250</v>
      </c>
      <c r="D69" s="90">
        <f t="shared" si="33"/>
        <v>2532330</v>
      </c>
      <c r="E69" s="90">
        <f t="shared" si="33"/>
        <v>2640580</v>
      </c>
      <c r="F69" s="90">
        <f t="shared" si="33"/>
        <v>2641080</v>
      </c>
      <c r="G69" s="90">
        <f t="shared" si="33"/>
        <v>2702665</v>
      </c>
      <c r="H69" s="90">
        <f t="shared" si="33"/>
        <v>2740475</v>
      </c>
      <c r="I69" s="90">
        <f t="shared" si="33"/>
        <v>2743045</v>
      </c>
      <c r="J69" s="90">
        <f t="shared" si="33"/>
        <v>2743125</v>
      </c>
      <c r="K69" s="90">
        <f t="shared" si="33"/>
        <v>2748625</v>
      </c>
      <c r="L69" s="90">
        <f t="shared" si="33"/>
        <v>2752437</v>
      </c>
      <c r="M69" s="90">
        <f t="shared" ref="M69" si="34">SUM(M3+M11+M32+M34+M42)</f>
        <v>2752437</v>
      </c>
      <c r="N69" s="90">
        <f>SUM(N3+N11+N32+N34+N42)</f>
        <v>1026794</v>
      </c>
      <c r="O69" s="808">
        <f t="shared" si="32"/>
        <v>0.37432634171149215</v>
      </c>
      <c r="P69" s="27">
        <f>D69-C69</f>
        <v>80</v>
      </c>
      <c r="Q69" s="27">
        <f>E69-D69</f>
        <v>108250</v>
      </c>
      <c r="R69" s="27">
        <f>F69-E69</f>
        <v>500</v>
      </c>
      <c r="S69" s="27">
        <f>G69-F69</f>
        <v>61585</v>
      </c>
      <c r="T69" s="27">
        <f>H69-G69</f>
        <v>37810</v>
      </c>
      <c r="U69" s="27">
        <f>I69-H69</f>
        <v>2570</v>
      </c>
      <c r="V69" s="27">
        <f t="shared" ref="V69:W76" si="35">J69-I69</f>
        <v>80</v>
      </c>
      <c r="W69" s="27">
        <f t="shared" si="35"/>
        <v>5500</v>
      </c>
    </row>
    <row r="70" spans="1:23" x14ac:dyDescent="0.25">
      <c r="A70" s="91" t="s">
        <v>65</v>
      </c>
      <c r="B70" s="92" t="s">
        <v>66</v>
      </c>
      <c r="C70" s="93">
        <v>2450</v>
      </c>
      <c r="D70" s="93">
        <v>2450</v>
      </c>
      <c r="E70" s="93">
        <v>2450</v>
      </c>
      <c r="F70" s="93">
        <v>2450</v>
      </c>
      <c r="G70" s="93">
        <v>2450</v>
      </c>
      <c r="H70" s="93">
        <v>2450</v>
      </c>
      <c r="I70" s="93">
        <v>2450</v>
      </c>
      <c r="J70" s="93">
        <v>2450</v>
      </c>
      <c r="K70" s="93">
        <v>2450</v>
      </c>
      <c r="L70" s="93">
        <v>2450</v>
      </c>
      <c r="M70" s="93">
        <v>2450</v>
      </c>
      <c r="N70" s="93">
        <v>41</v>
      </c>
      <c r="O70" s="808">
        <f t="shared" si="32"/>
        <v>1.673469387755102E-2</v>
      </c>
      <c r="P70" s="27">
        <f>D70-C70</f>
        <v>0</v>
      </c>
      <c r="Q70" s="27">
        <f>E70-D70</f>
        <v>0</v>
      </c>
      <c r="R70" s="27">
        <f>F70-E70</f>
        <v>0</v>
      </c>
      <c r="S70" s="27">
        <f>G70-F70</f>
        <v>0</v>
      </c>
      <c r="T70" s="27">
        <f>H70-G70</f>
        <v>0</v>
      </c>
      <c r="U70" s="27">
        <f>I70-H70</f>
        <v>0</v>
      </c>
      <c r="V70" s="27">
        <f t="shared" si="35"/>
        <v>0</v>
      </c>
      <c r="W70" s="27">
        <f t="shared" si="35"/>
        <v>0</v>
      </c>
    </row>
    <row r="71" spans="1:23" ht="15.75" thickBot="1" x14ac:dyDescent="0.3">
      <c r="A71" s="94" t="s">
        <v>65</v>
      </c>
      <c r="B71" s="92" t="s">
        <v>67</v>
      </c>
      <c r="C71" s="95">
        <v>2600</v>
      </c>
      <c r="D71" s="95">
        <v>2600</v>
      </c>
      <c r="E71" s="95">
        <v>2600</v>
      </c>
      <c r="F71" s="95">
        <v>2600</v>
      </c>
      <c r="G71" s="95">
        <v>2600</v>
      </c>
      <c r="H71" s="95">
        <v>2600</v>
      </c>
      <c r="I71" s="95">
        <v>2600</v>
      </c>
      <c r="J71" s="95">
        <v>2600</v>
      </c>
      <c r="K71" s="95">
        <v>2600</v>
      </c>
      <c r="L71" s="95">
        <v>2600</v>
      </c>
      <c r="M71" s="95">
        <v>2600</v>
      </c>
      <c r="N71" s="95">
        <v>450</v>
      </c>
      <c r="O71" s="808">
        <f t="shared" si="32"/>
        <v>0.17307692307692307</v>
      </c>
      <c r="P71" s="27">
        <f>D71-C71</f>
        <v>0</v>
      </c>
      <c r="Q71" s="27">
        <f>E71-D71</f>
        <v>0</v>
      </c>
      <c r="R71" s="27">
        <f>F71-E71</f>
        <v>0</v>
      </c>
      <c r="S71" s="27">
        <f>G71-F71</f>
        <v>0</v>
      </c>
      <c r="T71" s="27">
        <f>H71-G71</f>
        <v>0</v>
      </c>
      <c r="U71" s="27">
        <f>I71-H71</f>
        <v>0</v>
      </c>
      <c r="V71" s="27">
        <f t="shared" si="35"/>
        <v>0</v>
      </c>
      <c r="W71" s="27">
        <f t="shared" si="35"/>
        <v>0</v>
      </c>
    </row>
    <row r="72" spans="1:23" ht="15.75" thickBot="1" x14ac:dyDescent="0.3">
      <c r="A72" s="882" t="s">
        <v>69</v>
      </c>
      <c r="B72" s="883"/>
      <c r="C72" s="99">
        <f t="shared" ref="C72:N72" si="36">SUM(C70:C71)</f>
        <v>5050</v>
      </c>
      <c r="D72" s="99">
        <f t="shared" si="36"/>
        <v>5050</v>
      </c>
      <c r="E72" s="99">
        <f t="shared" si="36"/>
        <v>5050</v>
      </c>
      <c r="F72" s="99">
        <f t="shared" si="36"/>
        <v>5050</v>
      </c>
      <c r="G72" s="99">
        <f t="shared" si="36"/>
        <v>5050</v>
      </c>
      <c r="H72" s="99">
        <f t="shared" si="36"/>
        <v>5050</v>
      </c>
      <c r="I72" s="99">
        <f t="shared" si="36"/>
        <v>5050</v>
      </c>
      <c r="J72" s="99">
        <f t="shared" ref="J72:L72" si="37">SUM(J70:J71)</f>
        <v>5050</v>
      </c>
      <c r="K72" s="99">
        <f t="shared" si="37"/>
        <v>5050</v>
      </c>
      <c r="L72" s="99">
        <f t="shared" si="37"/>
        <v>5050</v>
      </c>
      <c r="M72" s="99">
        <f t="shared" ref="M72" si="38">SUM(M70:M71)</f>
        <v>5050</v>
      </c>
      <c r="N72" s="99">
        <f t="shared" si="36"/>
        <v>491</v>
      </c>
      <c r="O72" s="808">
        <f t="shared" si="32"/>
        <v>9.7227722772277231E-2</v>
      </c>
      <c r="P72" s="27">
        <f>D72-C72</f>
        <v>0</v>
      </c>
      <c r="Q72" s="27">
        <f>E72-D72</f>
        <v>0</v>
      </c>
      <c r="R72" s="27">
        <f>F72-E72</f>
        <v>0</v>
      </c>
      <c r="S72" s="27">
        <f>G72-F72</f>
        <v>0</v>
      </c>
      <c r="T72" s="27">
        <f>H72-G72</f>
        <v>0</v>
      </c>
      <c r="U72" s="27">
        <f>I72-H72</f>
        <v>0</v>
      </c>
      <c r="V72" s="27">
        <f t="shared" si="35"/>
        <v>0</v>
      </c>
      <c r="W72" s="27">
        <f t="shared" si="35"/>
        <v>0</v>
      </c>
    </row>
    <row r="73" spans="1:23" ht="15.75" thickBot="1" x14ac:dyDescent="0.3">
      <c r="A73" s="100" t="s">
        <v>65</v>
      </c>
      <c r="B73" s="101" t="s">
        <v>70</v>
      </c>
      <c r="C73" s="449">
        <v>10980</v>
      </c>
      <c r="D73" s="449">
        <v>10980</v>
      </c>
      <c r="E73" s="449">
        <v>10980</v>
      </c>
      <c r="F73" s="449">
        <v>10980</v>
      </c>
      <c r="G73" s="449">
        <v>10980</v>
      </c>
      <c r="H73" s="449">
        <v>10980</v>
      </c>
      <c r="I73" s="449">
        <v>10980</v>
      </c>
      <c r="J73" s="449">
        <v>10980</v>
      </c>
      <c r="K73" s="449">
        <v>10980</v>
      </c>
      <c r="L73" s="449">
        <v>10980</v>
      </c>
      <c r="M73" s="449">
        <v>10980</v>
      </c>
      <c r="N73" s="449">
        <v>6025</v>
      </c>
      <c r="O73" s="808">
        <f t="shared" si="32"/>
        <v>0.54872495446265934</v>
      </c>
      <c r="P73" s="27">
        <f>D73-C73</f>
        <v>0</v>
      </c>
      <c r="Q73" s="27">
        <f>E73-D73</f>
        <v>0</v>
      </c>
      <c r="R73" s="27">
        <f>F73-E73</f>
        <v>0</v>
      </c>
      <c r="S73" s="27">
        <f>G73-F73</f>
        <v>0</v>
      </c>
      <c r="T73" s="27">
        <f>H73-G73</f>
        <v>0</v>
      </c>
      <c r="U73" s="27">
        <f>I73-H73</f>
        <v>0</v>
      </c>
      <c r="V73" s="27">
        <f t="shared" si="35"/>
        <v>0</v>
      </c>
      <c r="W73" s="27">
        <f t="shared" si="35"/>
        <v>0</v>
      </c>
    </row>
    <row r="74" spans="1:23" ht="15.75" thickBot="1" x14ac:dyDescent="0.3">
      <c r="A74" s="882" t="s">
        <v>266</v>
      </c>
      <c r="B74" s="883"/>
      <c r="C74" s="445">
        <f t="shared" ref="C74:N74" si="39">SUM(C73:C73)</f>
        <v>10980</v>
      </c>
      <c r="D74" s="445">
        <f t="shared" si="39"/>
        <v>10980</v>
      </c>
      <c r="E74" s="445">
        <f t="shared" si="39"/>
        <v>10980</v>
      </c>
      <c r="F74" s="445">
        <f t="shared" si="39"/>
        <v>10980</v>
      </c>
      <c r="G74" s="445">
        <f t="shared" si="39"/>
        <v>10980</v>
      </c>
      <c r="H74" s="445">
        <f t="shared" si="39"/>
        <v>10980</v>
      </c>
      <c r="I74" s="445">
        <f t="shared" si="39"/>
        <v>10980</v>
      </c>
      <c r="J74" s="445">
        <f t="shared" si="39"/>
        <v>10980</v>
      </c>
      <c r="K74" s="445">
        <f t="shared" si="39"/>
        <v>10980</v>
      </c>
      <c r="L74" s="445">
        <f t="shared" si="39"/>
        <v>10980</v>
      </c>
      <c r="M74" s="445">
        <f t="shared" ref="M74" si="40">SUM(M73:M73)</f>
        <v>10980</v>
      </c>
      <c r="N74" s="445">
        <f t="shared" si="39"/>
        <v>6025</v>
      </c>
      <c r="O74" s="808">
        <f t="shared" si="32"/>
        <v>0.54872495446265934</v>
      </c>
      <c r="P74" s="27">
        <f>D74-C74</f>
        <v>0</v>
      </c>
      <c r="Q74" s="27">
        <f>E74-D74</f>
        <v>0</v>
      </c>
      <c r="R74" s="27">
        <f>F74-E74</f>
        <v>0</v>
      </c>
      <c r="S74" s="27">
        <f>G74-F74</f>
        <v>0</v>
      </c>
      <c r="T74" s="27">
        <f>H74-G74</f>
        <v>0</v>
      </c>
      <c r="U74" s="27">
        <f>I74-H74</f>
        <v>0</v>
      </c>
      <c r="V74" s="27">
        <f t="shared" si="35"/>
        <v>0</v>
      </c>
      <c r="W74" s="27">
        <f t="shared" si="35"/>
        <v>0</v>
      </c>
    </row>
    <row r="75" spans="1:23" ht="16.5" thickBot="1" x14ac:dyDescent="0.3">
      <c r="A75" s="884" t="s">
        <v>71</v>
      </c>
      <c r="B75" s="885"/>
      <c r="C75" s="103">
        <f t="shared" ref="C75:N75" si="41">C72+C74</f>
        <v>16030</v>
      </c>
      <c r="D75" s="103">
        <f t="shared" si="41"/>
        <v>16030</v>
      </c>
      <c r="E75" s="103">
        <f t="shared" si="41"/>
        <v>16030</v>
      </c>
      <c r="F75" s="103">
        <f t="shared" si="41"/>
        <v>16030</v>
      </c>
      <c r="G75" s="103">
        <f t="shared" si="41"/>
        <v>16030</v>
      </c>
      <c r="H75" s="103">
        <f t="shared" si="41"/>
        <v>16030</v>
      </c>
      <c r="I75" s="103">
        <f t="shared" si="41"/>
        <v>16030</v>
      </c>
      <c r="J75" s="103">
        <f t="shared" si="41"/>
        <v>16030</v>
      </c>
      <c r="K75" s="103">
        <f t="shared" si="41"/>
        <v>16030</v>
      </c>
      <c r="L75" s="103">
        <f t="shared" si="41"/>
        <v>16030</v>
      </c>
      <c r="M75" s="103">
        <f t="shared" ref="M75" si="42">M72+M74</f>
        <v>16030</v>
      </c>
      <c r="N75" s="103">
        <f t="shared" si="41"/>
        <v>6516</v>
      </c>
      <c r="O75" s="808">
        <f t="shared" si="32"/>
        <v>0.40648783530879601</v>
      </c>
      <c r="P75" s="27">
        <f>D75-C75</f>
        <v>0</v>
      </c>
      <c r="Q75" s="27">
        <f>E75-D75</f>
        <v>0</v>
      </c>
      <c r="R75" s="27">
        <f>F75-E75</f>
        <v>0</v>
      </c>
      <c r="S75" s="27">
        <f>G75-F75</f>
        <v>0</v>
      </c>
      <c r="T75" s="27">
        <f>H75-G75</f>
        <v>0</v>
      </c>
      <c r="U75" s="27">
        <f>I75-H75</f>
        <v>0</v>
      </c>
      <c r="V75" s="27">
        <f t="shared" si="35"/>
        <v>0</v>
      </c>
      <c r="W75" s="27">
        <f t="shared" si="35"/>
        <v>0</v>
      </c>
    </row>
    <row r="76" spans="1:23" ht="16.5" thickBot="1" x14ac:dyDescent="0.3">
      <c r="A76" s="89" t="s">
        <v>72</v>
      </c>
      <c r="B76" s="66"/>
      <c r="C76" s="90">
        <f t="shared" ref="C76:N76" si="43">C69+C75</f>
        <v>2548280</v>
      </c>
      <c r="D76" s="90">
        <f t="shared" si="43"/>
        <v>2548360</v>
      </c>
      <c r="E76" s="90">
        <f t="shared" si="43"/>
        <v>2656610</v>
      </c>
      <c r="F76" s="90">
        <f t="shared" si="43"/>
        <v>2657110</v>
      </c>
      <c r="G76" s="90">
        <f t="shared" si="43"/>
        <v>2718695</v>
      </c>
      <c r="H76" s="90">
        <f t="shared" si="43"/>
        <v>2756505</v>
      </c>
      <c r="I76" s="90">
        <f t="shared" si="43"/>
        <v>2759075</v>
      </c>
      <c r="J76" s="90">
        <f t="shared" si="43"/>
        <v>2759155</v>
      </c>
      <c r="K76" s="90">
        <f t="shared" si="43"/>
        <v>2764655</v>
      </c>
      <c r="L76" s="90">
        <f t="shared" si="43"/>
        <v>2768467</v>
      </c>
      <c r="M76" s="90">
        <f t="shared" ref="M76" si="44">M69+M75</f>
        <v>2768467</v>
      </c>
      <c r="N76" s="90">
        <f t="shared" si="43"/>
        <v>1033310</v>
      </c>
      <c r="O76" s="808">
        <f t="shared" si="32"/>
        <v>0.37451319735781013</v>
      </c>
      <c r="P76" s="27">
        <f>D76-C76</f>
        <v>80</v>
      </c>
      <c r="Q76" s="27">
        <f>E76-D76</f>
        <v>108250</v>
      </c>
      <c r="R76" s="27">
        <f>F76-E76</f>
        <v>500</v>
      </c>
      <c r="S76" s="27">
        <f>G76-F76</f>
        <v>61585</v>
      </c>
      <c r="T76" s="27">
        <f>H76-G76</f>
        <v>37810</v>
      </c>
      <c r="U76" s="27">
        <f>I76-H76</f>
        <v>2570</v>
      </c>
      <c r="V76" s="27">
        <f t="shared" si="35"/>
        <v>80</v>
      </c>
      <c r="W76" s="27">
        <f t="shared" si="35"/>
        <v>5500</v>
      </c>
    </row>
    <row r="77" spans="1:23" ht="38.25" customHeight="1" x14ac:dyDescent="0.25">
      <c r="A77" s="1"/>
      <c r="B77" s="1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808"/>
      <c r="P77" s="104"/>
    </row>
    <row r="78" spans="1:23" ht="33.75" customHeight="1" x14ac:dyDescent="0.25">
      <c r="A78" s="105"/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808"/>
      <c r="P78" s="107"/>
    </row>
    <row r="79" spans="1:23" ht="18.75" thickBot="1" x14ac:dyDescent="0.3">
      <c r="A79" s="886" t="s">
        <v>73</v>
      </c>
      <c r="B79" s="887"/>
      <c r="C79" s="887"/>
      <c r="D79" s="887"/>
      <c r="E79" s="887"/>
      <c r="F79" s="887"/>
      <c r="G79" s="887"/>
      <c r="H79" s="887"/>
      <c r="I79" s="887"/>
      <c r="J79" s="887"/>
      <c r="K79" s="887"/>
      <c r="L79" s="887"/>
      <c r="M79" s="887"/>
      <c r="N79" s="887"/>
      <c r="O79" s="808"/>
      <c r="P79" s="1"/>
    </row>
    <row r="80" spans="1:23" ht="25.5" customHeight="1" thickBot="1" x14ac:dyDescent="0.3">
      <c r="A80" s="864" t="s">
        <v>1</v>
      </c>
      <c r="B80" s="888"/>
      <c r="C80" s="413" t="s">
        <v>454</v>
      </c>
      <c r="D80" s="413" t="s">
        <v>496</v>
      </c>
      <c r="E80" s="413" t="s">
        <v>547</v>
      </c>
      <c r="F80" s="413" t="s">
        <v>497</v>
      </c>
      <c r="G80" s="413" t="s">
        <v>568</v>
      </c>
      <c r="H80" s="413" t="s">
        <v>569</v>
      </c>
      <c r="I80" s="413" t="s">
        <v>641</v>
      </c>
      <c r="J80" s="413" t="s">
        <v>657</v>
      </c>
      <c r="K80" s="413" t="s">
        <v>658</v>
      </c>
      <c r="L80" s="413" t="s">
        <v>690</v>
      </c>
      <c r="M80" s="413" t="s">
        <v>689</v>
      </c>
      <c r="N80" s="413" t="s">
        <v>642</v>
      </c>
      <c r="O80" s="808"/>
      <c r="P80" s="1"/>
    </row>
    <row r="81" spans="1:16" ht="15.75" thickBot="1" x14ac:dyDescent="0.3">
      <c r="A81" s="108" t="s">
        <v>74</v>
      </c>
      <c r="B81" s="109"/>
      <c r="C81" s="112">
        <f t="shared" ref="C81:N81" si="45">SUM(C82:C86)</f>
        <v>315730</v>
      </c>
      <c r="D81" s="112">
        <f t="shared" si="45"/>
        <v>315810</v>
      </c>
      <c r="E81" s="112">
        <f t="shared" si="45"/>
        <v>314840</v>
      </c>
      <c r="F81" s="112">
        <f t="shared" si="45"/>
        <v>312240</v>
      </c>
      <c r="G81" s="112">
        <f t="shared" si="45"/>
        <v>313440</v>
      </c>
      <c r="H81" s="112">
        <f t="shared" si="45"/>
        <v>314240</v>
      </c>
      <c r="I81" s="112">
        <f t="shared" si="45"/>
        <v>314240</v>
      </c>
      <c r="J81" s="112">
        <f t="shared" si="45"/>
        <v>314240</v>
      </c>
      <c r="K81" s="112">
        <f t="shared" si="45"/>
        <v>314740</v>
      </c>
      <c r="L81" s="112">
        <f t="shared" si="45"/>
        <v>314740</v>
      </c>
      <c r="M81" s="112">
        <f t="shared" ref="M81" si="46">SUM(M82:M86)</f>
        <v>314740</v>
      </c>
      <c r="N81" s="112">
        <f t="shared" si="45"/>
        <v>92476</v>
      </c>
      <c r="O81" s="808">
        <f t="shared" si="32"/>
        <v>0.29428462321792259</v>
      </c>
      <c r="P81" s="1"/>
    </row>
    <row r="82" spans="1:16" x14ac:dyDescent="0.25">
      <c r="A82" s="113" t="s">
        <v>75</v>
      </c>
      <c r="B82" s="85" t="s">
        <v>76</v>
      </c>
      <c r="C82" s="56">
        <v>155900</v>
      </c>
      <c r="D82" s="56">
        <v>155900</v>
      </c>
      <c r="E82" s="56">
        <v>155900</v>
      </c>
      <c r="F82" s="749">
        <f>155900-1600</f>
        <v>154300</v>
      </c>
      <c r="G82" s="749">
        <f>155900-1600+1200</f>
        <v>155500</v>
      </c>
      <c r="H82" s="749">
        <f>155900-1600+1200+800</f>
        <v>156300</v>
      </c>
      <c r="I82" s="56">
        <f>155900-1600+1200+800</f>
        <v>156300</v>
      </c>
      <c r="J82" s="56">
        <f t="shared" ref="J82:M82" si="47">155900-1600+1200+800</f>
        <v>156300</v>
      </c>
      <c r="K82" s="56">
        <f t="shared" si="47"/>
        <v>156300</v>
      </c>
      <c r="L82" s="56">
        <f t="shared" si="47"/>
        <v>156300</v>
      </c>
      <c r="M82" s="56">
        <f t="shared" si="47"/>
        <v>156300</v>
      </c>
      <c r="N82" s="56">
        <v>43765</v>
      </c>
      <c r="O82" s="808">
        <f t="shared" si="32"/>
        <v>0.28000639795265514</v>
      </c>
      <c r="P82" s="1"/>
    </row>
    <row r="83" spans="1:16" x14ac:dyDescent="0.25">
      <c r="A83" s="117" t="s">
        <v>77</v>
      </c>
      <c r="B83" s="118" t="s">
        <v>78</v>
      </c>
      <c r="C83" s="61">
        <f>94000+5700</f>
        <v>99700</v>
      </c>
      <c r="D83" s="61">
        <f>94000+5700</f>
        <v>99700</v>
      </c>
      <c r="E83" s="61">
        <f>94000+5700</f>
        <v>99700</v>
      </c>
      <c r="F83" s="741">
        <f>94000+5700-1000-2000</f>
        <v>96700</v>
      </c>
      <c r="G83" s="61">
        <f t="shared" ref="G83:J83" si="48">94000+5700-1000-2000</f>
        <v>96700</v>
      </c>
      <c r="H83" s="61">
        <f t="shared" si="48"/>
        <v>96700</v>
      </c>
      <c r="I83" s="61">
        <f t="shared" si="48"/>
        <v>96700</v>
      </c>
      <c r="J83" s="61">
        <f t="shared" si="48"/>
        <v>96700</v>
      </c>
      <c r="K83" s="741">
        <f>94000+5700-1000-2000+500</f>
        <v>97200</v>
      </c>
      <c r="L83" s="61">
        <f>94000+5700-1000-2000+500</f>
        <v>97200</v>
      </c>
      <c r="M83" s="61">
        <f>94000+5700-1000-2000+500</f>
        <v>97200</v>
      </c>
      <c r="N83" s="61">
        <v>32273</v>
      </c>
      <c r="O83" s="808">
        <f t="shared" si="32"/>
        <v>0.33374353671147883</v>
      </c>
      <c r="P83" s="1"/>
    </row>
    <row r="84" spans="1:16" x14ac:dyDescent="0.25">
      <c r="A84" s="117" t="s">
        <v>79</v>
      </c>
      <c r="B84" s="118" t="s">
        <v>80</v>
      </c>
      <c r="C84" s="61">
        <v>2500</v>
      </c>
      <c r="D84" s="61">
        <v>2500</v>
      </c>
      <c r="E84" s="61">
        <v>2500</v>
      </c>
      <c r="F84" s="741">
        <f>2500+2000</f>
        <v>4500</v>
      </c>
      <c r="G84" s="61">
        <f t="shared" ref="G84:M84" si="49">2500+2000</f>
        <v>4500</v>
      </c>
      <c r="H84" s="61">
        <f t="shared" si="49"/>
        <v>4500</v>
      </c>
      <c r="I84" s="61">
        <f t="shared" si="49"/>
        <v>4500</v>
      </c>
      <c r="J84" s="61">
        <f t="shared" si="49"/>
        <v>4500</v>
      </c>
      <c r="K84" s="61">
        <f t="shared" si="49"/>
        <v>4500</v>
      </c>
      <c r="L84" s="61">
        <f t="shared" si="49"/>
        <v>4500</v>
      </c>
      <c r="M84" s="61">
        <f t="shared" si="49"/>
        <v>4500</v>
      </c>
      <c r="N84" s="61">
        <v>568</v>
      </c>
      <c r="O84" s="808">
        <f t="shared" si="32"/>
        <v>0.12622222222222224</v>
      </c>
      <c r="P84" s="1"/>
    </row>
    <row r="85" spans="1:16" x14ac:dyDescent="0.25">
      <c r="A85" s="121" t="s">
        <v>81</v>
      </c>
      <c r="B85" s="118" t="s">
        <v>82</v>
      </c>
      <c r="C85" s="61">
        <v>53600</v>
      </c>
      <c r="D85" s="741">
        <f>53600+80</f>
        <v>53680</v>
      </c>
      <c r="E85" s="61">
        <f>53600+80</f>
        <v>53680</v>
      </c>
      <c r="F85" s="61">
        <f>53600+80</f>
        <v>53680</v>
      </c>
      <c r="G85" s="61">
        <f t="shared" ref="G85:M85" si="50">53600+80</f>
        <v>53680</v>
      </c>
      <c r="H85" s="61">
        <f t="shared" si="50"/>
        <v>53680</v>
      </c>
      <c r="I85" s="61">
        <f t="shared" si="50"/>
        <v>53680</v>
      </c>
      <c r="J85" s="61">
        <f t="shared" si="50"/>
        <v>53680</v>
      </c>
      <c r="K85" s="61">
        <f t="shared" si="50"/>
        <v>53680</v>
      </c>
      <c r="L85" s="61">
        <f t="shared" si="50"/>
        <v>53680</v>
      </c>
      <c r="M85" s="61">
        <f t="shared" si="50"/>
        <v>53680</v>
      </c>
      <c r="N85" s="61">
        <v>13121</v>
      </c>
      <c r="O85" s="808">
        <f t="shared" si="32"/>
        <v>0.24442995529061104</v>
      </c>
      <c r="P85" s="1"/>
    </row>
    <row r="86" spans="1:16" ht="15.75" thickBot="1" x14ac:dyDescent="0.3">
      <c r="A86" s="123" t="s">
        <v>83</v>
      </c>
      <c r="B86" s="124" t="s">
        <v>498</v>
      </c>
      <c r="C86" s="128">
        <v>4030</v>
      </c>
      <c r="D86" s="128">
        <f>4030</f>
        <v>4030</v>
      </c>
      <c r="E86" s="742">
        <f>4030-970</f>
        <v>3060</v>
      </c>
      <c r="F86" s="128">
        <f>4030-970</f>
        <v>3060</v>
      </c>
      <c r="G86" s="128">
        <f t="shared" ref="G86:M86" si="51">4030-970</f>
        <v>3060</v>
      </c>
      <c r="H86" s="128">
        <f t="shared" si="51"/>
        <v>3060</v>
      </c>
      <c r="I86" s="128">
        <f t="shared" si="51"/>
        <v>3060</v>
      </c>
      <c r="J86" s="128">
        <f t="shared" si="51"/>
        <v>3060</v>
      </c>
      <c r="K86" s="128">
        <f t="shared" si="51"/>
        <v>3060</v>
      </c>
      <c r="L86" s="128">
        <f t="shared" si="51"/>
        <v>3060</v>
      </c>
      <c r="M86" s="128">
        <f t="shared" si="51"/>
        <v>3060</v>
      </c>
      <c r="N86" s="128">
        <v>2749</v>
      </c>
      <c r="O86" s="808">
        <f t="shared" si="32"/>
        <v>0.89836601307189545</v>
      </c>
      <c r="P86" s="1"/>
    </row>
    <row r="87" spans="1:16" ht="15.75" thickBot="1" x14ac:dyDescent="0.3">
      <c r="A87" s="129" t="s">
        <v>84</v>
      </c>
      <c r="B87" s="130"/>
      <c r="C87" s="112">
        <f t="shared" ref="C87:N87" si="52">SUM(C88)</f>
        <v>4900</v>
      </c>
      <c r="D87" s="112">
        <f t="shared" si="52"/>
        <v>4900</v>
      </c>
      <c r="E87" s="112">
        <f t="shared" si="52"/>
        <v>4900</v>
      </c>
      <c r="F87" s="112">
        <f t="shared" si="52"/>
        <v>4900</v>
      </c>
      <c r="G87" s="112">
        <f t="shared" si="52"/>
        <v>4900</v>
      </c>
      <c r="H87" s="112">
        <f t="shared" si="52"/>
        <v>5900</v>
      </c>
      <c r="I87" s="112">
        <f t="shared" si="52"/>
        <v>5900</v>
      </c>
      <c r="J87" s="112">
        <f t="shared" si="52"/>
        <v>5900</v>
      </c>
      <c r="K87" s="112">
        <f t="shared" si="52"/>
        <v>5900</v>
      </c>
      <c r="L87" s="112">
        <f t="shared" si="52"/>
        <v>5900</v>
      </c>
      <c r="M87" s="112">
        <f t="shared" si="52"/>
        <v>5900</v>
      </c>
      <c r="N87" s="112">
        <f t="shared" si="52"/>
        <v>70</v>
      </c>
      <c r="O87" s="808">
        <f t="shared" si="32"/>
        <v>1.1864406779661017E-2</v>
      </c>
      <c r="P87" s="1"/>
    </row>
    <row r="88" spans="1:16" ht="15.75" thickBot="1" x14ac:dyDescent="0.3">
      <c r="A88" s="131" t="s">
        <v>85</v>
      </c>
      <c r="B88" s="106" t="s">
        <v>269</v>
      </c>
      <c r="C88" s="134">
        <v>4900</v>
      </c>
      <c r="D88" s="134">
        <v>4900</v>
      </c>
      <c r="E88" s="134">
        <v>4900</v>
      </c>
      <c r="F88" s="134">
        <v>4900</v>
      </c>
      <c r="G88" s="134">
        <v>4900</v>
      </c>
      <c r="H88" s="802">
        <f>4900+1000</f>
        <v>5900</v>
      </c>
      <c r="I88" s="134">
        <f>4900+1000</f>
        <v>5900</v>
      </c>
      <c r="J88" s="134">
        <f t="shared" ref="J88:M88" si="53">4900+1000</f>
        <v>5900</v>
      </c>
      <c r="K88" s="134">
        <f t="shared" si="53"/>
        <v>5900</v>
      </c>
      <c r="L88" s="134">
        <f t="shared" si="53"/>
        <v>5900</v>
      </c>
      <c r="M88" s="134">
        <f t="shared" si="53"/>
        <v>5900</v>
      </c>
      <c r="N88" s="134">
        <v>70</v>
      </c>
      <c r="O88" s="808">
        <f t="shared" si="32"/>
        <v>1.1864406779661017E-2</v>
      </c>
      <c r="P88" s="1"/>
    </row>
    <row r="89" spans="1:16" ht="15.75" thickBot="1" x14ac:dyDescent="0.3">
      <c r="A89" s="129" t="s">
        <v>86</v>
      </c>
      <c r="B89" s="130"/>
      <c r="C89" s="112">
        <f t="shared" ref="C89:N89" si="54">SUM(C90:C91)</f>
        <v>26400</v>
      </c>
      <c r="D89" s="112">
        <f t="shared" ref="D89:L89" si="55">SUM(D90:D91)</f>
        <v>26400</v>
      </c>
      <c r="E89" s="112">
        <f t="shared" si="55"/>
        <v>26400</v>
      </c>
      <c r="F89" s="112">
        <f t="shared" si="55"/>
        <v>30100</v>
      </c>
      <c r="G89" s="112">
        <f t="shared" si="55"/>
        <v>41850</v>
      </c>
      <c r="H89" s="112">
        <f t="shared" si="55"/>
        <v>42410</v>
      </c>
      <c r="I89" s="112">
        <f t="shared" si="55"/>
        <v>42410</v>
      </c>
      <c r="J89" s="112">
        <f t="shared" si="55"/>
        <v>42410</v>
      </c>
      <c r="K89" s="112">
        <f t="shared" si="55"/>
        <v>42410</v>
      </c>
      <c r="L89" s="112">
        <f t="shared" si="55"/>
        <v>42410</v>
      </c>
      <c r="M89" s="112">
        <f t="shared" ref="M89" si="56">SUM(M90:M91)</f>
        <v>42410</v>
      </c>
      <c r="N89" s="112">
        <f t="shared" si="54"/>
        <v>7250</v>
      </c>
      <c r="O89" s="808">
        <f t="shared" si="32"/>
        <v>0.17095024758311719</v>
      </c>
      <c r="P89" s="1"/>
    </row>
    <row r="90" spans="1:16" x14ac:dyDescent="0.25">
      <c r="A90" s="135" t="s">
        <v>87</v>
      </c>
      <c r="B90" s="136" t="s">
        <v>88</v>
      </c>
      <c r="C90" s="139">
        <v>24600</v>
      </c>
      <c r="D90" s="139">
        <v>24600</v>
      </c>
      <c r="E90" s="139">
        <v>24600</v>
      </c>
      <c r="F90" s="761">
        <f>24600+1700</f>
        <v>26300</v>
      </c>
      <c r="G90" s="761">
        <f>24600+1700+11750</f>
        <v>38050</v>
      </c>
      <c r="H90" s="139">
        <f>24600+1700+11750</f>
        <v>38050</v>
      </c>
      <c r="I90" s="139">
        <f>24600+1700+11750</f>
        <v>38050</v>
      </c>
      <c r="J90" s="139">
        <f t="shared" ref="J90:M90" si="57">24600+1700+11750</f>
        <v>38050</v>
      </c>
      <c r="K90" s="139">
        <f t="shared" si="57"/>
        <v>38050</v>
      </c>
      <c r="L90" s="139">
        <f t="shared" si="57"/>
        <v>38050</v>
      </c>
      <c r="M90" s="139">
        <f t="shared" si="57"/>
        <v>38050</v>
      </c>
      <c r="N90" s="139">
        <v>6914</v>
      </c>
      <c r="O90" s="808">
        <f t="shared" si="32"/>
        <v>0.18170827858081473</v>
      </c>
      <c r="P90" s="1"/>
    </row>
    <row r="91" spans="1:16" ht="15.75" thickBot="1" x14ac:dyDescent="0.3">
      <c r="A91" s="140" t="s">
        <v>89</v>
      </c>
      <c r="B91" s="141" t="s">
        <v>90</v>
      </c>
      <c r="C91" s="128">
        <v>1800</v>
      </c>
      <c r="D91" s="128">
        <v>1800</v>
      </c>
      <c r="E91" s="128">
        <v>1800</v>
      </c>
      <c r="F91" s="742">
        <f>1800+2000</f>
        <v>3800</v>
      </c>
      <c r="G91" s="128">
        <f t="shared" ref="G91" si="58">1800+2000</f>
        <v>3800</v>
      </c>
      <c r="H91" s="742">
        <f>1800+2000+560</f>
        <v>4360</v>
      </c>
      <c r="I91" s="128">
        <f>1800+2000+560</f>
        <v>4360</v>
      </c>
      <c r="J91" s="128">
        <f t="shared" ref="J91:M91" si="59">1800+2000+560</f>
        <v>4360</v>
      </c>
      <c r="K91" s="128">
        <f t="shared" si="59"/>
        <v>4360</v>
      </c>
      <c r="L91" s="128">
        <f t="shared" si="59"/>
        <v>4360</v>
      </c>
      <c r="M91" s="128">
        <f t="shared" si="59"/>
        <v>4360</v>
      </c>
      <c r="N91" s="128">
        <v>336</v>
      </c>
      <c r="O91" s="808">
        <f t="shared" si="32"/>
        <v>7.7064220183486243E-2</v>
      </c>
      <c r="P91" s="1"/>
    </row>
    <row r="92" spans="1:16" ht="15.75" thickBot="1" x14ac:dyDescent="0.3">
      <c r="A92" s="108" t="s">
        <v>91</v>
      </c>
      <c r="B92" s="144"/>
      <c r="C92" s="112">
        <f t="shared" ref="C92:N92" si="60">SUM(C93:C95)</f>
        <v>81600</v>
      </c>
      <c r="D92" s="112">
        <f t="shared" si="60"/>
        <v>81600</v>
      </c>
      <c r="E92" s="112">
        <f t="shared" si="60"/>
        <v>82200</v>
      </c>
      <c r="F92" s="112">
        <f t="shared" si="60"/>
        <v>82200</v>
      </c>
      <c r="G92" s="112">
        <f t="shared" si="60"/>
        <v>82200</v>
      </c>
      <c r="H92" s="112">
        <f t="shared" si="60"/>
        <v>83350</v>
      </c>
      <c r="I92" s="112">
        <f t="shared" si="60"/>
        <v>83350</v>
      </c>
      <c r="J92" s="112">
        <f t="shared" si="60"/>
        <v>83410</v>
      </c>
      <c r="K92" s="112">
        <f t="shared" si="60"/>
        <v>86212</v>
      </c>
      <c r="L92" s="112">
        <f t="shared" si="60"/>
        <v>86212</v>
      </c>
      <c r="M92" s="112">
        <f t="shared" ref="M92" si="61">SUM(M93:M95)</f>
        <v>86212</v>
      </c>
      <c r="N92" s="112">
        <f t="shared" si="60"/>
        <v>26068</v>
      </c>
      <c r="O92" s="808">
        <f t="shared" si="32"/>
        <v>0.31275344931013799</v>
      </c>
      <c r="P92" s="1"/>
    </row>
    <row r="93" spans="1:16" x14ac:dyDescent="0.25">
      <c r="A93" s="145" t="s">
        <v>92</v>
      </c>
      <c r="B93" s="146" t="s">
        <v>93</v>
      </c>
      <c r="C93" s="55">
        <v>27600</v>
      </c>
      <c r="D93" s="55">
        <v>27600</v>
      </c>
      <c r="E93" s="55">
        <v>27600</v>
      </c>
      <c r="F93" s="55">
        <v>27600</v>
      </c>
      <c r="G93" s="55">
        <v>27600</v>
      </c>
      <c r="H93" s="55">
        <v>27600</v>
      </c>
      <c r="I93" s="55">
        <v>27600</v>
      </c>
      <c r="J93" s="55">
        <v>27600</v>
      </c>
      <c r="K93" s="743">
        <f>27600+242</f>
        <v>27842</v>
      </c>
      <c r="L93" s="55">
        <f>27600+242</f>
        <v>27842</v>
      </c>
      <c r="M93" s="55">
        <f>27600+242</f>
        <v>27842</v>
      </c>
      <c r="N93" s="55">
        <v>8193</v>
      </c>
      <c r="O93" s="808">
        <f t="shared" si="32"/>
        <v>0.29684782608695653</v>
      </c>
      <c r="P93" s="1"/>
    </row>
    <row r="94" spans="1:16" x14ac:dyDescent="0.25">
      <c r="A94" s="121" t="s">
        <v>94</v>
      </c>
      <c r="B94" s="118" t="s">
        <v>95</v>
      </c>
      <c r="C94" s="60">
        <v>33900</v>
      </c>
      <c r="D94" s="60">
        <v>33900</v>
      </c>
      <c r="E94" s="745">
        <f>33900+600</f>
        <v>34500</v>
      </c>
      <c r="F94" s="60">
        <f>33900+600</f>
        <v>34500</v>
      </c>
      <c r="G94" s="60">
        <f t="shared" ref="G94" si="62">33900+600</f>
        <v>34500</v>
      </c>
      <c r="H94" s="745">
        <f>33900+600+1150</f>
        <v>35650</v>
      </c>
      <c r="I94" s="60">
        <f>33900+600+1150</f>
        <v>35650</v>
      </c>
      <c r="J94" s="745">
        <f>33900+600+1150+60</f>
        <v>35710</v>
      </c>
      <c r="K94" s="745">
        <f>33900+600+1150+60+2560</f>
        <v>38270</v>
      </c>
      <c r="L94" s="60">
        <f>33900+600+1150+60+2560</f>
        <v>38270</v>
      </c>
      <c r="M94" s="60">
        <f>33900+600+1150+60+2560</f>
        <v>38270</v>
      </c>
      <c r="N94" s="60">
        <v>8254</v>
      </c>
      <c r="O94" s="808">
        <f t="shared" si="32"/>
        <v>0.23152875175315568</v>
      </c>
      <c r="P94" s="1"/>
    </row>
    <row r="95" spans="1:16" ht="15.75" thickBot="1" x14ac:dyDescent="0.3">
      <c r="A95" s="121" t="s">
        <v>96</v>
      </c>
      <c r="B95" s="118" t="s">
        <v>97</v>
      </c>
      <c r="C95" s="60">
        <v>20100</v>
      </c>
      <c r="D95" s="60">
        <v>20100</v>
      </c>
      <c r="E95" s="60">
        <v>20100</v>
      </c>
      <c r="F95" s="60">
        <v>20100</v>
      </c>
      <c r="G95" s="60">
        <v>20100</v>
      </c>
      <c r="H95" s="60">
        <v>20100</v>
      </c>
      <c r="I95" s="60">
        <v>20100</v>
      </c>
      <c r="J95" s="60">
        <v>20100</v>
      </c>
      <c r="K95" s="60">
        <v>20100</v>
      </c>
      <c r="L95" s="60">
        <v>20100</v>
      </c>
      <c r="M95" s="60">
        <v>20100</v>
      </c>
      <c r="N95" s="60">
        <v>9621</v>
      </c>
      <c r="O95" s="808">
        <f t="shared" si="32"/>
        <v>0.47865671641791047</v>
      </c>
      <c r="P95" s="1"/>
    </row>
    <row r="96" spans="1:16" ht="15.75" thickBot="1" x14ac:dyDescent="0.3">
      <c r="A96" s="889" t="s">
        <v>98</v>
      </c>
      <c r="B96" s="890"/>
      <c r="C96" s="112">
        <f t="shared" ref="C96:N96" si="63">SUM(C97:C100)</f>
        <v>152200</v>
      </c>
      <c r="D96" s="112">
        <f t="shared" si="63"/>
        <v>152200</v>
      </c>
      <c r="E96" s="112">
        <f t="shared" si="63"/>
        <v>152200</v>
      </c>
      <c r="F96" s="112">
        <f t="shared" si="63"/>
        <v>155100</v>
      </c>
      <c r="G96" s="112">
        <f t="shared" si="63"/>
        <v>168130</v>
      </c>
      <c r="H96" s="112">
        <f t="shared" si="63"/>
        <v>168130</v>
      </c>
      <c r="I96" s="112">
        <f t="shared" si="63"/>
        <v>168130</v>
      </c>
      <c r="J96" s="112">
        <f t="shared" ref="J96:L96" si="64">SUM(J97:J100)</f>
        <v>168130</v>
      </c>
      <c r="K96" s="112">
        <f t="shared" si="64"/>
        <v>168130</v>
      </c>
      <c r="L96" s="112">
        <f t="shared" si="64"/>
        <v>168130</v>
      </c>
      <c r="M96" s="112">
        <f t="shared" ref="M96" si="65">SUM(M97:M100)</f>
        <v>168130</v>
      </c>
      <c r="N96" s="112">
        <f t="shared" si="63"/>
        <v>48818</v>
      </c>
      <c r="O96" s="808">
        <f t="shared" si="32"/>
        <v>0.29035865104383513</v>
      </c>
      <c r="P96" s="1"/>
    </row>
    <row r="97" spans="1:16" x14ac:dyDescent="0.25">
      <c r="A97" s="153" t="s">
        <v>99</v>
      </c>
      <c r="B97" s="154" t="s">
        <v>100</v>
      </c>
      <c r="C97" s="139">
        <v>70400</v>
      </c>
      <c r="D97" s="139">
        <v>70400</v>
      </c>
      <c r="E97" s="139">
        <v>70400</v>
      </c>
      <c r="F97" s="139">
        <v>70400</v>
      </c>
      <c r="G97" s="761">
        <f>70400+930</f>
        <v>71330</v>
      </c>
      <c r="H97" s="139">
        <f>70400+930</f>
        <v>71330</v>
      </c>
      <c r="I97" s="139">
        <f>70400+930</f>
        <v>71330</v>
      </c>
      <c r="J97" s="139">
        <f t="shared" ref="J97:M97" si="66">70400+930</f>
        <v>71330</v>
      </c>
      <c r="K97" s="139">
        <f t="shared" si="66"/>
        <v>71330</v>
      </c>
      <c r="L97" s="139">
        <f t="shared" si="66"/>
        <v>71330</v>
      </c>
      <c r="M97" s="139">
        <f t="shared" si="66"/>
        <v>71330</v>
      </c>
      <c r="N97" s="139">
        <v>20790</v>
      </c>
      <c r="O97" s="808">
        <f t="shared" si="32"/>
        <v>0.29146221786064769</v>
      </c>
      <c r="P97" s="1"/>
    </row>
    <row r="98" spans="1:16" x14ac:dyDescent="0.25">
      <c r="A98" s="121" t="s">
        <v>101</v>
      </c>
      <c r="B98" s="118" t="s">
        <v>102</v>
      </c>
      <c r="C98" s="152">
        <v>70300</v>
      </c>
      <c r="D98" s="152">
        <v>70300</v>
      </c>
      <c r="E98" s="152">
        <v>70300</v>
      </c>
      <c r="F98" s="762">
        <f>70300+2900</f>
        <v>73200</v>
      </c>
      <c r="G98" s="762">
        <f>70300+2900+12100</f>
        <v>85300</v>
      </c>
      <c r="H98" s="152">
        <f>70300+2900+12100</f>
        <v>85300</v>
      </c>
      <c r="I98" s="152">
        <f>70300+2900+12100</f>
        <v>85300</v>
      </c>
      <c r="J98" s="152">
        <f t="shared" ref="J98:M98" si="67">70300+2900+12100</f>
        <v>85300</v>
      </c>
      <c r="K98" s="152">
        <f t="shared" si="67"/>
        <v>85300</v>
      </c>
      <c r="L98" s="152">
        <f t="shared" si="67"/>
        <v>85300</v>
      </c>
      <c r="M98" s="152">
        <f t="shared" si="67"/>
        <v>85300</v>
      </c>
      <c r="N98" s="152">
        <v>27583</v>
      </c>
      <c r="O98" s="808">
        <f t="shared" si="32"/>
        <v>0.3233645955451348</v>
      </c>
      <c r="P98" s="1"/>
    </row>
    <row r="99" spans="1:16" x14ac:dyDescent="0.25">
      <c r="A99" s="131" t="s">
        <v>103</v>
      </c>
      <c r="B99" s="159" t="s">
        <v>104</v>
      </c>
      <c r="C99" s="163">
        <v>1700</v>
      </c>
      <c r="D99" s="163">
        <v>1700</v>
      </c>
      <c r="E99" s="163">
        <v>1700</v>
      </c>
      <c r="F99" s="163">
        <v>1700</v>
      </c>
      <c r="G99" s="163">
        <v>1700</v>
      </c>
      <c r="H99" s="163">
        <v>1700</v>
      </c>
      <c r="I99" s="163">
        <v>1700</v>
      </c>
      <c r="J99" s="163">
        <v>1700</v>
      </c>
      <c r="K99" s="163">
        <v>1700</v>
      </c>
      <c r="L99" s="163">
        <v>1700</v>
      </c>
      <c r="M99" s="163">
        <v>1700</v>
      </c>
      <c r="N99" s="163">
        <v>0</v>
      </c>
      <c r="O99" s="808">
        <f t="shared" si="32"/>
        <v>0</v>
      </c>
      <c r="P99" s="1"/>
    </row>
    <row r="100" spans="1:16" ht="15.75" thickBot="1" x14ac:dyDescent="0.3">
      <c r="A100" s="164" t="s">
        <v>105</v>
      </c>
      <c r="B100" s="165" t="s">
        <v>106</v>
      </c>
      <c r="C100" s="168">
        <v>9800</v>
      </c>
      <c r="D100" s="168">
        <v>9800</v>
      </c>
      <c r="E100" s="168">
        <v>9800</v>
      </c>
      <c r="F100" s="168">
        <v>9800</v>
      </c>
      <c r="G100" s="168">
        <v>9800</v>
      </c>
      <c r="H100" s="168">
        <v>9800</v>
      </c>
      <c r="I100" s="168">
        <v>9800</v>
      </c>
      <c r="J100" s="168">
        <v>9800</v>
      </c>
      <c r="K100" s="168">
        <v>9800</v>
      </c>
      <c r="L100" s="168">
        <v>9800</v>
      </c>
      <c r="M100" s="168">
        <v>9800</v>
      </c>
      <c r="N100" s="168">
        <v>445</v>
      </c>
      <c r="O100" s="808">
        <f t="shared" si="32"/>
        <v>4.5408163265306126E-2</v>
      </c>
      <c r="P100" s="1"/>
    </row>
    <row r="101" spans="1:16" ht="15.75" thickBot="1" x14ac:dyDescent="0.3">
      <c r="A101" s="108" t="s">
        <v>107</v>
      </c>
      <c r="B101" s="144"/>
      <c r="C101" s="110">
        <f t="shared" ref="C101:N101" si="68">SUM(C102:C104)</f>
        <v>259100</v>
      </c>
      <c r="D101" s="110">
        <f t="shared" ref="D101:L101" si="69">SUM(D102:D104)</f>
        <v>259100</v>
      </c>
      <c r="E101" s="110">
        <f t="shared" si="69"/>
        <v>259100</v>
      </c>
      <c r="F101" s="110">
        <f t="shared" si="69"/>
        <v>261000</v>
      </c>
      <c r="G101" s="110">
        <f t="shared" si="69"/>
        <v>280970</v>
      </c>
      <c r="H101" s="110">
        <f t="shared" si="69"/>
        <v>280970</v>
      </c>
      <c r="I101" s="110">
        <f t="shared" si="69"/>
        <v>280970</v>
      </c>
      <c r="J101" s="110">
        <f t="shared" si="69"/>
        <v>280970</v>
      </c>
      <c r="K101" s="110">
        <f t="shared" si="69"/>
        <v>281210</v>
      </c>
      <c r="L101" s="110">
        <f t="shared" si="69"/>
        <v>281210</v>
      </c>
      <c r="M101" s="110">
        <f t="shared" ref="M101" si="70">SUM(M102:M104)</f>
        <v>281210</v>
      </c>
      <c r="N101" s="110">
        <f t="shared" si="68"/>
        <v>71621</v>
      </c>
      <c r="O101" s="808">
        <f t="shared" si="32"/>
        <v>0.2549062177456668</v>
      </c>
      <c r="P101" s="1"/>
    </row>
    <row r="102" spans="1:16" x14ac:dyDescent="0.25">
      <c r="A102" s="145" t="s">
        <v>108</v>
      </c>
      <c r="B102" s="85" t="s">
        <v>109</v>
      </c>
      <c r="C102" s="116">
        <v>181000</v>
      </c>
      <c r="D102" s="116">
        <v>181000</v>
      </c>
      <c r="E102" s="116">
        <v>181000</v>
      </c>
      <c r="F102" s="763">
        <f>181000-18200</f>
        <v>162800</v>
      </c>
      <c r="G102" s="763">
        <f>181000-18200+3780</f>
        <v>166580</v>
      </c>
      <c r="H102" s="116">
        <f>181000-18200+3780</f>
        <v>166580</v>
      </c>
      <c r="I102" s="116">
        <f>181000-18200+3780</f>
        <v>166580</v>
      </c>
      <c r="J102" s="116">
        <f t="shared" ref="J102:M102" si="71">181000-18200+3780</f>
        <v>166580</v>
      </c>
      <c r="K102" s="116">
        <f t="shared" si="71"/>
        <v>166580</v>
      </c>
      <c r="L102" s="116">
        <f t="shared" si="71"/>
        <v>166580</v>
      </c>
      <c r="M102" s="116">
        <f t="shared" si="71"/>
        <v>166580</v>
      </c>
      <c r="N102" s="116">
        <v>38651</v>
      </c>
      <c r="O102" s="808">
        <f t="shared" si="32"/>
        <v>0.2320266538600072</v>
      </c>
      <c r="P102" s="1"/>
    </row>
    <row r="103" spans="1:16" x14ac:dyDescent="0.25">
      <c r="A103" s="170" t="s">
        <v>110</v>
      </c>
      <c r="B103" s="118" t="s">
        <v>111</v>
      </c>
      <c r="C103" s="152">
        <v>58200</v>
      </c>
      <c r="D103" s="152">
        <v>58200</v>
      </c>
      <c r="E103" s="152">
        <v>58200</v>
      </c>
      <c r="F103" s="762">
        <f>58200+15600</f>
        <v>73800</v>
      </c>
      <c r="G103" s="762">
        <f>58200+15600+12400</f>
        <v>86200</v>
      </c>
      <c r="H103" s="152">
        <f>58200+15600+12400</f>
        <v>86200</v>
      </c>
      <c r="I103" s="152">
        <f>58200+15600+12400</f>
        <v>86200</v>
      </c>
      <c r="J103" s="152">
        <f t="shared" ref="J103:M103" si="72">58200+15600+12400</f>
        <v>86200</v>
      </c>
      <c r="K103" s="152">
        <f t="shared" si="72"/>
        <v>86200</v>
      </c>
      <c r="L103" s="152">
        <f t="shared" si="72"/>
        <v>86200</v>
      </c>
      <c r="M103" s="152">
        <f t="shared" si="72"/>
        <v>86200</v>
      </c>
      <c r="N103" s="152">
        <v>26828</v>
      </c>
      <c r="O103" s="808">
        <f t="shared" si="32"/>
        <v>0.31122969837587006</v>
      </c>
      <c r="P103" s="1"/>
    </row>
    <row r="104" spans="1:16" ht="15.75" thickBot="1" x14ac:dyDescent="0.3">
      <c r="A104" s="171" t="s">
        <v>112</v>
      </c>
      <c r="B104" s="165" t="s">
        <v>113</v>
      </c>
      <c r="C104" s="174">
        <v>19900</v>
      </c>
      <c r="D104" s="174">
        <v>19900</v>
      </c>
      <c r="E104" s="174">
        <v>19900</v>
      </c>
      <c r="F104" s="764">
        <f>19900+7500-3000</f>
        <v>24400</v>
      </c>
      <c r="G104" s="764">
        <f>19900+7500-3000+3790</f>
        <v>28190</v>
      </c>
      <c r="H104" s="174">
        <f>19900+7500-3000+3790</f>
        <v>28190</v>
      </c>
      <c r="I104" s="174">
        <f>19900+7500-3000+3790</f>
        <v>28190</v>
      </c>
      <c r="J104" s="174">
        <f t="shared" ref="J104" si="73">19900+7500-3000+3790</f>
        <v>28190</v>
      </c>
      <c r="K104" s="764">
        <f>19900+7500-3000+3790+240</f>
        <v>28430</v>
      </c>
      <c r="L104" s="174">
        <f>19900+7500-3000+3790+240</f>
        <v>28430</v>
      </c>
      <c r="M104" s="174">
        <f>19900+7500-3000+3790+240</f>
        <v>28430</v>
      </c>
      <c r="N104" s="174">
        <v>6142</v>
      </c>
      <c r="O104" s="808">
        <f t="shared" si="32"/>
        <v>0.21787868038311459</v>
      </c>
      <c r="P104" s="1"/>
    </row>
    <row r="105" spans="1:16" ht="15.75" thickBot="1" x14ac:dyDescent="0.3">
      <c r="A105" s="175" t="s">
        <v>114</v>
      </c>
      <c r="B105" s="176"/>
      <c r="C105" s="177">
        <f t="shared" ref="C105:N105" si="74">SUM(C106:C109)</f>
        <v>830</v>
      </c>
      <c r="D105" s="177">
        <f t="shared" ref="D105:L105" si="75">SUM(D106:D109)</f>
        <v>830</v>
      </c>
      <c r="E105" s="177">
        <f t="shared" si="75"/>
        <v>830</v>
      </c>
      <c r="F105" s="177">
        <f t="shared" si="75"/>
        <v>830</v>
      </c>
      <c r="G105" s="177">
        <f t="shared" si="75"/>
        <v>830</v>
      </c>
      <c r="H105" s="177">
        <f t="shared" si="75"/>
        <v>830</v>
      </c>
      <c r="I105" s="177">
        <f t="shared" si="75"/>
        <v>860</v>
      </c>
      <c r="J105" s="177">
        <f t="shared" si="75"/>
        <v>860</v>
      </c>
      <c r="K105" s="177">
        <f t="shared" si="75"/>
        <v>860</v>
      </c>
      <c r="L105" s="177">
        <f t="shared" si="75"/>
        <v>860</v>
      </c>
      <c r="M105" s="177">
        <f t="shared" ref="M105" si="76">SUM(M106:M109)</f>
        <v>860</v>
      </c>
      <c r="N105" s="177">
        <f t="shared" si="74"/>
        <v>125</v>
      </c>
      <c r="O105" s="808">
        <f t="shared" si="32"/>
        <v>0.14534883720930233</v>
      </c>
      <c r="P105" s="1"/>
    </row>
    <row r="106" spans="1:16" x14ac:dyDescent="0.25">
      <c r="A106" s="135" t="s">
        <v>115</v>
      </c>
      <c r="B106" s="154" t="s">
        <v>116</v>
      </c>
      <c r="C106" s="181">
        <v>50</v>
      </c>
      <c r="D106" s="181">
        <v>50</v>
      </c>
      <c r="E106" s="181">
        <v>50</v>
      </c>
      <c r="F106" s="181">
        <v>50</v>
      </c>
      <c r="G106" s="181">
        <v>50</v>
      </c>
      <c r="H106" s="181">
        <v>50</v>
      </c>
      <c r="I106" s="181">
        <v>50</v>
      </c>
      <c r="J106" s="181">
        <v>50</v>
      </c>
      <c r="K106" s="181">
        <v>50</v>
      </c>
      <c r="L106" s="181">
        <v>50</v>
      </c>
      <c r="M106" s="181">
        <v>50</v>
      </c>
      <c r="N106" s="181">
        <v>0</v>
      </c>
      <c r="O106" s="808">
        <f t="shared" si="32"/>
        <v>0</v>
      </c>
      <c r="P106" s="1"/>
    </row>
    <row r="107" spans="1:16" x14ac:dyDescent="0.25">
      <c r="A107" s="170" t="s">
        <v>117</v>
      </c>
      <c r="B107" s="118" t="s">
        <v>118</v>
      </c>
      <c r="C107" s="184">
        <v>50</v>
      </c>
      <c r="D107" s="184">
        <v>50</v>
      </c>
      <c r="E107" s="184">
        <v>50</v>
      </c>
      <c r="F107" s="184">
        <v>50</v>
      </c>
      <c r="G107" s="184">
        <v>50</v>
      </c>
      <c r="H107" s="184">
        <v>50</v>
      </c>
      <c r="I107" s="184">
        <v>50</v>
      </c>
      <c r="J107" s="184">
        <v>50</v>
      </c>
      <c r="K107" s="184">
        <v>50</v>
      </c>
      <c r="L107" s="184">
        <v>50</v>
      </c>
      <c r="M107" s="184">
        <v>50</v>
      </c>
      <c r="N107" s="184">
        <v>0</v>
      </c>
      <c r="O107" s="808">
        <f t="shared" si="32"/>
        <v>0</v>
      </c>
      <c r="P107" s="1"/>
    </row>
    <row r="108" spans="1:16" x14ac:dyDescent="0.25">
      <c r="A108" s="170" t="s">
        <v>119</v>
      </c>
      <c r="B108" s="118" t="s">
        <v>120</v>
      </c>
      <c r="C108" s="60">
        <v>730</v>
      </c>
      <c r="D108" s="60">
        <v>730</v>
      </c>
      <c r="E108" s="60">
        <v>730</v>
      </c>
      <c r="F108" s="60">
        <v>730</v>
      </c>
      <c r="G108" s="60">
        <v>730</v>
      </c>
      <c r="H108" s="60">
        <v>730</v>
      </c>
      <c r="I108" s="745">
        <f>730+30</f>
        <v>760</v>
      </c>
      <c r="J108" s="60">
        <f t="shared" ref="J108:M108" si="77">730+30</f>
        <v>760</v>
      </c>
      <c r="K108" s="60">
        <f t="shared" si="77"/>
        <v>760</v>
      </c>
      <c r="L108" s="60">
        <f t="shared" si="77"/>
        <v>760</v>
      </c>
      <c r="M108" s="60">
        <f t="shared" si="77"/>
        <v>760</v>
      </c>
      <c r="N108" s="60">
        <v>125</v>
      </c>
      <c r="O108" s="808">
        <f t="shared" si="32"/>
        <v>0.16447368421052633</v>
      </c>
      <c r="P108" s="1"/>
    </row>
    <row r="109" spans="1:16" ht="15.75" thickBot="1" x14ac:dyDescent="0.3">
      <c r="A109" s="187" t="s">
        <v>121</v>
      </c>
      <c r="B109" s="188" t="s">
        <v>550</v>
      </c>
      <c r="C109" s="191">
        <v>0</v>
      </c>
      <c r="D109" s="191">
        <v>0</v>
      </c>
      <c r="E109" s="191">
        <v>0</v>
      </c>
      <c r="F109" s="191">
        <v>0</v>
      </c>
      <c r="G109" s="191">
        <v>0</v>
      </c>
      <c r="H109" s="191">
        <v>0</v>
      </c>
      <c r="I109" s="191">
        <v>0</v>
      </c>
      <c r="J109" s="191">
        <v>0</v>
      </c>
      <c r="K109" s="191">
        <v>0</v>
      </c>
      <c r="L109" s="191">
        <v>0</v>
      </c>
      <c r="M109" s="191">
        <v>0</v>
      </c>
      <c r="N109" s="191">
        <v>0</v>
      </c>
      <c r="O109" s="808">
        <v>0</v>
      </c>
      <c r="P109" s="1"/>
    </row>
    <row r="110" spans="1:16" ht="15.75" thickBot="1" x14ac:dyDescent="0.3">
      <c r="A110" s="192" t="s">
        <v>122</v>
      </c>
      <c r="B110" s="193"/>
      <c r="C110" s="194">
        <f t="shared" ref="C110:N110" si="78">SUM(C111:C115)</f>
        <v>123600</v>
      </c>
      <c r="D110" s="194">
        <f t="shared" si="78"/>
        <v>123600</v>
      </c>
      <c r="E110" s="194">
        <f t="shared" si="78"/>
        <v>123601</v>
      </c>
      <c r="F110" s="194">
        <f t="shared" si="78"/>
        <v>124901</v>
      </c>
      <c r="G110" s="194">
        <f t="shared" si="78"/>
        <v>134341</v>
      </c>
      <c r="H110" s="194">
        <f t="shared" si="78"/>
        <v>147341</v>
      </c>
      <c r="I110" s="194">
        <f t="shared" si="78"/>
        <v>147341</v>
      </c>
      <c r="J110" s="194">
        <f t="shared" si="78"/>
        <v>147341</v>
      </c>
      <c r="K110" s="194">
        <f t="shared" si="78"/>
        <v>149299</v>
      </c>
      <c r="L110" s="194">
        <f t="shared" si="78"/>
        <v>152299</v>
      </c>
      <c r="M110" s="194">
        <f t="shared" ref="M110" si="79">SUM(M111:M115)</f>
        <v>152299</v>
      </c>
      <c r="N110" s="194">
        <f t="shared" si="78"/>
        <v>35718</v>
      </c>
      <c r="O110" s="808">
        <f t="shared" si="32"/>
        <v>0.24241724978111998</v>
      </c>
      <c r="P110" s="1"/>
    </row>
    <row r="111" spans="1:16" x14ac:dyDescent="0.25">
      <c r="A111" s="153" t="s">
        <v>123</v>
      </c>
      <c r="B111" s="154" t="s">
        <v>124</v>
      </c>
      <c r="C111" s="139">
        <f>48000-3000</f>
        <v>45000</v>
      </c>
      <c r="D111" s="139">
        <f>48000-3000</f>
        <v>45000</v>
      </c>
      <c r="E111" s="139">
        <f>48000-3000</f>
        <v>45000</v>
      </c>
      <c r="F111" s="761">
        <f>48000-3000+1700</f>
        <v>46700</v>
      </c>
      <c r="G111" s="761">
        <f>48000-3000+1700+8920</f>
        <v>55620</v>
      </c>
      <c r="H111" s="761">
        <f>48000-3000+1700+8920+200</f>
        <v>55820</v>
      </c>
      <c r="I111" s="139">
        <f>48000-3000+1700+8920+200</f>
        <v>55820</v>
      </c>
      <c r="J111" s="139">
        <f t="shared" ref="J111:M111" si="80">48000-3000+1700+8920+200</f>
        <v>55820</v>
      </c>
      <c r="K111" s="139">
        <f t="shared" si="80"/>
        <v>55820</v>
      </c>
      <c r="L111" s="139">
        <f t="shared" si="80"/>
        <v>55820</v>
      </c>
      <c r="M111" s="139">
        <f t="shared" si="80"/>
        <v>55820</v>
      </c>
      <c r="N111" s="139">
        <v>20684</v>
      </c>
      <c r="O111" s="808">
        <f t="shared" si="32"/>
        <v>0.37054819061268363</v>
      </c>
      <c r="P111" s="1"/>
    </row>
    <row r="112" spans="1:16" x14ac:dyDescent="0.25">
      <c r="A112" s="196" t="s">
        <v>125</v>
      </c>
      <c r="B112" s="197" t="s">
        <v>126</v>
      </c>
      <c r="C112" s="55">
        <v>47700</v>
      </c>
      <c r="D112" s="55">
        <v>47700</v>
      </c>
      <c r="E112" s="55">
        <v>47700</v>
      </c>
      <c r="F112" s="743">
        <f>47700-1000+500+1600</f>
        <v>48800</v>
      </c>
      <c r="G112" s="743">
        <f>47700-1000+500+1600+540-340</f>
        <v>49000</v>
      </c>
      <c r="H112" s="743">
        <f>47700-1000+500+1600+540-340+12000+300</f>
        <v>61300</v>
      </c>
      <c r="I112" s="55">
        <f>47700-1000+500+1600+540-340+12000+300</f>
        <v>61300</v>
      </c>
      <c r="J112" s="55">
        <f t="shared" ref="J112" si="81">47700-1000+500+1600+540-340+12000+300</f>
        <v>61300</v>
      </c>
      <c r="K112" s="743">
        <f>47700-1000+500+1600+540-340+12000+300+1858</f>
        <v>63158</v>
      </c>
      <c r="L112" s="743">
        <f>47700-1000+500+1600+540-340+12000+300+1858+3000</f>
        <v>66158</v>
      </c>
      <c r="M112" s="55">
        <f>47700-1000+500+1600+540-340+12000+300+1858+3000</f>
        <v>66158</v>
      </c>
      <c r="N112" s="55">
        <v>10534</v>
      </c>
      <c r="O112" s="808">
        <f t="shared" si="32"/>
        <v>0.17184339314845024</v>
      </c>
      <c r="P112" s="1"/>
    </row>
    <row r="113" spans="1:17" x14ac:dyDescent="0.25">
      <c r="A113" s="196" t="s">
        <v>127</v>
      </c>
      <c r="B113" s="85" t="s">
        <v>128</v>
      </c>
      <c r="C113" s="55">
        <v>5900</v>
      </c>
      <c r="D113" s="55">
        <v>5900</v>
      </c>
      <c r="E113" s="55">
        <v>5900</v>
      </c>
      <c r="F113" s="55">
        <v>5900</v>
      </c>
      <c r="G113" s="55">
        <v>5900</v>
      </c>
      <c r="H113" s="743">
        <f>5900+500</f>
        <v>6400</v>
      </c>
      <c r="I113" s="55">
        <f>5900+500</f>
        <v>6400</v>
      </c>
      <c r="J113" s="55">
        <f t="shared" ref="J113:M113" si="82">5900+500</f>
        <v>6400</v>
      </c>
      <c r="K113" s="55">
        <f t="shared" si="82"/>
        <v>6400</v>
      </c>
      <c r="L113" s="55">
        <f t="shared" si="82"/>
        <v>6400</v>
      </c>
      <c r="M113" s="55">
        <f t="shared" si="82"/>
        <v>6400</v>
      </c>
      <c r="N113" s="55">
        <v>1401</v>
      </c>
      <c r="O113" s="808">
        <f t="shared" si="32"/>
        <v>0.21890625</v>
      </c>
      <c r="P113" s="1"/>
    </row>
    <row r="114" spans="1:17" x14ac:dyDescent="0.25">
      <c r="A114" s="196" t="s">
        <v>129</v>
      </c>
      <c r="B114" s="85" t="s">
        <v>130</v>
      </c>
      <c r="C114" s="55">
        <v>20000</v>
      </c>
      <c r="D114" s="55">
        <f>20000</f>
        <v>20000</v>
      </c>
      <c r="E114" s="743">
        <f>20000+1</f>
        <v>20001</v>
      </c>
      <c r="F114" s="743">
        <f>20000+1-1500</f>
        <v>18501</v>
      </c>
      <c r="G114" s="743">
        <f>20000+1-1500+320</f>
        <v>18821</v>
      </c>
      <c r="H114" s="55">
        <f>20000+1-1500+320</f>
        <v>18821</v>
      </c>
      <c r="I114" s="55">
        <f>20000+1-1500+320</f>
        <v>18821</v>
      </c>
      <c r="J114" s="55">
        <f t="shared" ref="J114:M114" si="83">20000+1-1500+320</f>
        <v>18821</v>
      </c>
      <c r="K114" s="55">
        <f t="shared" si="83"/>
        <v>18821</v>
      </c>
      <c r="L114" s="55">
        <f t="shared" si="83"/>
        <v>18821</v>
      </c>
      <c r="M114" s="55">
        <f t="shared" si="83"/>
        <v>18821</v>
      </c>
      <c r="N114" s="55">
        <v>3099</v>
      </c>
      <c r="O114" s="808">
        <f t="shared" si="32"/>
        <v>0.16465650071728388</v>
      </c>
      <c r="P114" s="1"/>
    </row>
    <row r="115" spans="1:17" ht="15.75" thickBot="1" x14ac:dyDescent="0.3">
      <c r="A115" s="164" t="s">
        <v>131</v>
      </c>
      <c r="B115" s="165" t="s">
        <v>132</v>
      </c>
      <c r="C115" s="186">
        <v>5000</v>
      </c>
      <c r="D115" s="186">
        <v>5000</v>
      </c>
      <c r="E115" s="186">
        <v>5000</v>
      </c>
      <c r="F115" s="186">
        <v>5000</v>
      </c>
      <c r="G115" s="186">
        <v>5000</v>
      </c>
      <c r="H115" s="186">
        <v>5000</v>
      </c>
      <c r="I115" s="186">
        <v>5000</v>
      </c>
      <c r="J115" s="186">
        <v>5000</v>
      </c>
      <c r="K115" s="829">
        <f>5000+100</f>
        <v>5100</v>
      </c>
      <c r="L115" s="186">
        <f>5000+100</f>
        <v>5100</v>
      </c>
      <c r="M115" s="186">
        <f>5000+100</f>
        <v>5100</v>
      </c>
      <c r="N115" s="186">
        <v>0</v>
      </c>
      <c r="O115" s="808">
        <f t="shared" si="32"/>
        <v>0</v>
      </c>
      <c r="P115" s="1"/>
    </row>
    <row r="116" spans="1:17" ht="15.75" thickBot="1" x14ac:dyDescent="0.3">
      <c r="A116" s="129" t="s">
        <v>133</v>
      </c>
      <c r="B116" s="130"/>
      <c r="C116" s="110">
        <f>SUM(C117:C123)</f>
        <v>421600</v>
      </c>
      <c r="D116" s="110">
        <f>SUM(D117:D123)</f>
        <v>421600</v>
      </c>
      <c r="E116" s="110">
        <f>SUM(E117:E123)</f>
        <v>429490</v>
      </c>
      <c r="F116" s="110">
        <f>SUM(F117:F123)</f>
        <v>422590</v>
      </c>
      <c r="G116" s="110">
        <f t="shared" ref="G116:L116" si="84">SUM(G117:G123)</f>
        <v>428225</v>
      </c>
      <c r="H116" s="110">
        <f t="shared" si="84"/>
        <v>433525</v>
      </c>
      <c r="I116" s="110">
        <f t="shared" si="84"/>
        <v>433525</v>
      </c>
      <c r="J116" s="110">
        <f t="shared" si="84"/>
        <v>433525</v>
      </c>
      <c r="K116" s="110">
        <f t="shared" si="84"/>
        <v>433525</v>
      </c>
      <c r="L116" s="110">
        <f t="shared" si="84"/>
        <v>433525</v>
      </c>
      <c r="M116" s="110">
        <f t="shared" ref="M116" si="85">SUM(M117:M123)</f>
        <v>433525</v>
      </c>
      <c r="N116" s="110">
        <f>SUM(N117:N123)</f>
        <v>117146</v>
      </c>
      <c r="O116" s="808">
        <f t="shared" si="32"/>
        <v>0.27021740384060894</v>
      </c>
      <c r="P116" s="1"/>
    </row>
    <row r="117" spans="1:17" x14ac:dyDescent="0.25">
      <c r="A117" s="200" t="s">
        <v>134</v>
      </c>
      <c r="B117" s="201" t="s">
        <v>135</v>
      </c>
      <c r="C117" s="205">
        <v>188100</v>
      </c>
      <c r="D117" s="205">
        <f>188100</f>
        <v>188100</v>
      </c>
      <c r="E117" s="744">
        <f>188100+7200</f>
        <v>195300</v>
      </c>
      <c r="F117" s="744">
        <f>188100+7200-6900</f>
        <v>188400</v>
      </c>
      <c r="G117" s="744">
        <f>188100+7200-6900+1055</f>
        <v>189455</v>
      </c>
      <c r="H117" s="205">
        <f>188100+7200-6900+1055</f>
        <v>189455</v>
      </c>
      <c r="I117" s="205">
        <f>188100+7200-6900+1055</f>
        <v>189455</v>
      </c>
      <c r="J117" s="205">
        <f t="shared" ref="J117:M117" si="86">188100+7200-6900+1055</f>
        <v>189455</v>
      </c>
      <c r="K117" s="205">
        <f t="shared" si="86"/>
        <v>189455</v>
      </c>
      <c r="L117" s="205">
        <f t="shared" si="86"/>
        <v>189455</v>
      </c>
      <c r="M117" s="205">
        <f t="shared" si="86"/>
        <v>189455</v>
      </c>
      <c r="N117" s="205">
        <v>54911</v>
      </c>
      <c r="O117" s="808">
        <f t="shared" si="32"/>
        <v>0.28983663666833814</v>
      </c>
      <c r="P117" s="1"/>
    </row>
    <row r="118" spans="1:17" x14ac:dyDescent="0.25">
      <c r="A118" s="209" t="s">
        <v>140</v>
      </c>
      <c r="B118" s="210" t="s">
        <v>141</v>
      </c>
      <c r="C118" s="61">
        <v>3600</v>
      </c>
      <c r="D118" s="61">
        <v>3600</v>
      </c>
      <c r="E118" s="61">
        <v>3600</v>
      </c>
      <c r="F118" s="61">
        <v>3600</v>
      </c>
      <c r="G118" s="61">
        <v>3600</v>
      </c>
      <c r="H118" s="61">
        <v>3600</v>
      </c>
      <c r="I118" s="61">
        <v>3600</v>
      </c>
      <c r="J118" s="61">
        <v>3600</v>
      </c>
      <c r="K118" s="61">
        <v>3600</v>
      </c>
      <c r="L118" s="61">
        <v>3600</v>
      </c>
      <c r="M118" s="61">
        <v>3600</v>
      </c>
      <c r="N118" s="61">
        <v>1070</v>
      </c>
      <c r="O118" s="808">
        <f t="shared" si="32"/>
        <v>0.29722222222222222</v>
      </c>
      <c r="P118" s="1"/>
    </row>
    <row r="119" spans="1:17" x14ac:dyDescent="0.25">
      <c r="A119" s="209" t="s">
        <v>142</v>
      </c>
      <c r="B119" s="210" t="s">
        <v>143</v>
      </c>
      <c r="C119" s="61">
        <v>29400</v>
      </c>
      <c r="D119" s="61">
        <v>29400</v>
      </c>
      <c r="E119" s="61">
        <v>29400</v>
      </c>
      <c r="F119" s="61">
        <v>29400</v>
      </c>
      <c r="G119" s="61">
        <v>29400</v>
      </c>
      <c r="H119" s="61">
        <f>29400+2650</f>
        <v>32050</v>
      </c>
      <c r="I119" s="61">
        <f>29400+2650</f>
        <v>32050</v>
      </c>
      <c r="J119" s="61">
        <f t="shared" ref="J119:M119" si="87">29400+2650</f>
        <v>32050</v>
      </c>
      <c r="K119" s="61">
        <f t="shared" si="87"/>
        <v>32050</v>
      </c>
      <c r="L119" s="61">
        <f t="shared" si="87"/>
        <v>32050</v>
      </c>
      <c r="M119" s="61">
        <f t="shared" si="87"/>
        <v>32050</v>
      </c>
      <c r="N119" s="61">
        <v>7910</v>
      </c>
      <c r="O119" s="808">
        <f t="shared" si="32"/>
        <v>0.24680187207488299</v>
      </c>
      <c r="P119" s="1"/>
    </row>
    <row r="120" spans="1:17" x14ac:dyDescent="0.25">
      <c r="A120" s="209" t="s">
        <v>144</v>
      </c>
      <c r="B120" s="210" t="s">
        <v>145</v>
      </c>
      <c r="C120" s="60">
        <v>32800</v>
      </c>
      <c r="D120" s="60">
        <v>32800</v>
      </c>
      <c r="E120" s="60">
        <v>32800</v>
      </c>
      <c r="F120" s="60">
        <v>32800</v>
      </c>
      <c r="G120" s="60">
        <v>32800</v>
      </c>
      <c r="H120" s="60">
        <f>32800+2650</f>
        <v>35450</v>
      </c>
      <c r="I120" s="60">
        <f>32800+2650</f>
        <v>35450</v>
      </c>
      <c r="J120" s="60">
        <f t="shared" ref="J120:M120" si="88">32800+2650</f>
        <v>35450</v>
      </c>
      <c r="K120" s="60">
        <f t="shared" si="88"/>
        <v>35450</v>
      </c>
      <c r="L120" s="60">
        <f t="shared" si="88"/>
        <v>35450</v>
      </c>
      <c r="M120" s="60">
        <f t="shared" si="88"/>
        <v>35450</v>
      </c>
      <c r="N120" s="60">
        <v>7926</v>
      </c>
      <c r="O120" s="808">
        <f t="shared" si="32"/>
        <v>0.22358251057827927</v>
      </c>
      <c r="P120" s="1"/>
    </row>
    <row r="121" spans="1:17" x14ac:dyDescent="0.25">
      <c r="A121" s="209" t="s">
        <v>146</v>
      </c>
      <c r="B121" s="210" t="s">
        <v>230</v>
      </c>
      <c r="C121" s="60">
        <f>147700</f>
        <v>147700</v>
      </c>
      <c r="D121" s="60">
        <f>147700</f>
        <v>147700</v>
      </c>
      <c r="E121" s="745">
        <f>147700+690</f>
        <v>148390</v>
      </c>
      <c r="F121" s="60">
        <f>147700+690</f>
        <v>148390</v>
      </c>
      <c r="G121" s="745">
        <f>147700+690+4080</f>
        <v>152470</v>
      </c>
      <c r="H121" s="60">
        <f>147700+690+4080</f>
        <v>152470</v>
      </c>
      <c r="I121" s="60">
        <f>147700+690+4080</f>
        <v>152470</v>
      </c>
      <c r="J121" s="60">
        <f t="shared" ref="J121:M121" si="89">147700+690+4080</f>
        <v>152470</v>
      </c>
      <c r="K121" s="60">
        <f t="shared" si="89"/>
        <v>152470</v>
      </c>
      <c r="L121" s="60">
        <f t="shared" si="89"/>
        <v>152470</v>
      </c>
      <c r="M121" s="60">
        <f t="shared" si="89"/>
        <v>152470</v>
      </c>
      <c r="N121" s="60">
        <v>41577</v>
      </c>
      <c r="O121" s="808">
        <f t="shared" si="32"/>
        <v>0.27268970945103954</v>
      </c>
      <c r="P121" s="27">
        <f>SUM(C119:C121)</f>
        <v>209900</v>
      </c>
      <c r="Q121" s="27"/>
    </row>
    <row r="122" spans="1:17" x14ac:dyDescent="0.25">
      <c r="A122" s="211" t="s">
        <v>147</v>
      </c>
      <c r="B122" s="210" t="s">
        <v>231</v>
      </c>
      <c r="C122" s="215">
        <v>13000</v>
      </c>
      <c r="D122" s="215">
        <v>13000</v>
      </c>
      <c r="E122" s="215">
        <v>13000</v>
      </c>
      <c r="F122" s="215">
        <v>13000</v>
      </c>
      <c r="G122" s="791">
        <f>13000+500</f>
        <v>13500</v>
      </c>
      <c r="H122" s="215">
        <f>13000+500</f>
        <v>13500</v>
      </c>
      <c r="I122" s="215">
        <f>13000+500</f>
        <v>13500</v>
      </c>
      <c r="J122" s="215">
        <f t="shared" ref="J122:M122" si="90">13000+500</f>
        <v>13500</v>
      </c>
      <c r="K122" s="215">
        <f t="shared" si="90"/>
        <v>13500</v>
      </c>
      <c r="L122" s="215">
        <f t="shared" si="90"/>
        <v>13500</v>
      </c>
      <c r="M122" s="215">
        <f t="shared" si="90"/>
        <v>13500</v>
      </c>
      <c r="N122" s="215">
        <v>3652</v>
      </c>
      <c r="O122" s="808">
        <f t="shared" si="32"/>
        <v>0.27051851851851849</v>
      </c>
      <c r="P122" s="1"/>
    </row>
    <row r="123" spans="1:17" ht="15.75" thickBot="1" x14ac:dyDescent="0.3">
      <c r="A123" s="209" t="s">
        <v>148</v>
      </c>
      <c r="B123" s="210" t="s">
        <v>253</v>
      </c>
      <c r="C123" s="215">
        <v>7000</v>
      </c>
      <c r="D123" s="215">
        <v>7000</v>
      </c>
      <c r="E123" s="215">
        <v>7000</v>
      </c>
      <c r="F123" s="215">
        <v>7000</v>
      </c>
      <c r="G123" s="215">
        <v>7000</v>
      </c>
      <c r="H123" s="215">
        <v>7000</v>
      </c>
      <c r="I123" s="215">
        <v>7000</v>
      </c>
      <c r="J123" s="215">
        <v>7000</v>
      </c>
      <c r="K123" s="215">
        <v>7000</v>
      </c>
      <c r="L123" s="215">
        <v>7000</v>
      </c>
      <c r="M123" s="215">
        <v>7000</v>
      </c>
      <c r="N123" s="215">
        <v>100</v>
      </c>
      <c r="O123" s="808">
        <f t="shared" si="32"/>
        <v>1.4285714285714285E-2</v>
      </c>
      <c r="P123" s="1"/>
    </row>
    <row r="124" spans="1:17" ht="15.75" thickBot="1" x14ac:dyDescent="0.3">
      <c r="A124" s="108" t="s">
        <v>149</v>
      </c>
      <c r="B124" s="109"/>
      <c r="C124" s="112">
        <f t="shared" ref="C124:N124" si="91">SUM(C125:C129)</f>
        <v>380400</v>
      </c>
      <c r="D124" s="112">
        <f t="shared" si="91"/>
        <v>380400</v>
      </c>
      <c r="E124" s="112">
        <f t="shared" si="91"/>
        <v>406100</v>
      </c>
      <c r="F124" s="112">
        <f t="shared" si="91"/>
        <v>406300</v>
      </c>
      <c r="G124" s="112">
        <f t="shared" si="91"/>
        <v>406860</v>
      </c>
      <c r="H124" s="112">
        <f t="shared" si="91"/>
        <v>422860</v>
      </c>
      <c r="I124" s="112">
        <f t="shared" si="91"/>
        <v>423220</v>
      </c>
      <c r="J124" s="112">
        <f t="shared" si="91"/>
        <v>423240</v>
      </c>
      <c r="K124" s="112">
        <f t="shared" si="91"/>
        <v>423240</v>
      </c>
      <c r="L124" s="112">
        <f t="shared" si="91"/>
        <v>423240</v>
      </c>
      <c r="M124" s="112">
        <f t="shared" ref="M124" si="92">SUM(M125:M129)</f>
        <v>423240</v>
      </c>
      <c r="N124" s="112">
        <f t="shared" si="91"/>
        <v>111609</v>
      </c>
      <c r="O124" s="808">
        <f t="shared" si="32"/>
        <v>0.26371390766031849</v>
      </c>
      <c r="P124" s="1"/>
    </row>
    <row r="125" spans="1:17" x14ac:dyDescent="0.25">
      <c r="A125" s="196" t="s">
        <v>150</v>
      </c>
      <c r="B125" s="85" t="s">
        <v>499</v>
      </c>
      <c r="C125" s="55">
        <v>322000</v>
      </c>
      <c r="D125" s="55">
        <v>322000</v>
      </c>
      <c r="E125" s="743">
        <f>322000+26200-670</f>
        <v>347530</v>
      </c>
      <c r="F125" s="743">
        <f>322000+26200-670+1800-1600</f>
        <v>347730</v>
      </c>
      <c r="G125" s="743">
        <f>322000+26200-670+1800-1600+400+160</f>
        <v>348290</v>
      </c>
      <c r="H125" s="55">
        <f>322000+26200-670+1800-1600+400+160</f>
        <v>348290</v>
      </c>
      <c r="I125" s="55">
        <f>322000+26200-670+1800-1600+400+160</f>
        <v>348290</v>
      </c>
      <c r="J125" s="55">
        <f t="shared" ref="J125:M125" si="93">322000+26200-670+1800-1600+400+160</f>
        <v>348290</v>
      </c>
      <c r="K125" s="55">
        <f t="shared" si="93"/>
        <v>348290</v>
      </c>
      <c r="L125" s="55">
        <f t="shared" si="93"/>
        <v>348290</v>
      </c>
      <c r="M125" s="55">
        <f t="shared" si="93"/>
        <v>348290</v>
      </c>
      <c r="N125" s="55">
        <v>96735</v>
      </c>
      <c r="O125" s="808">
        <f t="shared" si="32"/>
        <v>0.27774268569295701</v>
      </c>
      <c r="P125" s="1"/>
      <c r="Q125" s="404"/>
    </row>
    <row r="126" spans="1:17" x14ac:dyDescent="0.25">
      <c r="A126" s="196" t="s">
        <v>151</v>
      </c>
      <c r="B126" s="85" t="s">
        <v>152</v>
      </c>
      <c r="C126" s="55">
        <v>500</v>
      </c>
      <c r="D126" s="55">
        <v>500</v>
      </c>
      <c r="E126" s="743">
        <f>500+170</f>
        <v>670</v>
      </c>
      <c r="F126" s="55">
        <f>500+170</f>
        <v>670</v>
      </c>
      <c r="G126" s="55">
        <f t="shared" ref="G126" si="94">500+170</f>
        <v>670</v>
      </c>
      <c r="H126" s="55">
        <f>500+170</f>
        <v>670</v>
      </c>
      <c r="I126" s="743">
        <f>500+170+360</f>
        <v>1030</v>
      </c>
      <c r="J126" s="743">
        <f>500+170+360+20</f>
        <v>1050</v>
      </c>
      <c r="K126" s="55">
        <f>500+170+360+20</f>
        <v>1050</v>
      </c>
      <c r="L126" s="55">
        <f>500+170+360+20</f>
        <v>1050</v>
      </c>
      <c r="M126" s="55">
        <f>500+170+360+20</f>
        <v>1050</v>
      </c>
      <c r="N126" s="55">
        <v>249</v>
      </c>
      <c r="O126" s="808">
        <f t="shared" si="32"/>
        <v>0.24174757281553397</v>
      </c>
      <c r="P126" s="1"/>
      <c r="Q126" s="404"/>
    </row>
    <row r="127" spans="1:17" x14ac:dyDescent="0.25">
      <c r="A127" s="121" t="s">
        <v>153</v>
      </c>
      <c r="B127" s="118" t="s">
        <v>154</v>
      </c>
      <c r="C127" s="60">
        <v>56900</v>
      </c>
      <c r="D127" s="60">
        <v>56900</v>
      </c>
      <c r="E127" s="60">
        <v>56900</v>
      </c>
      <c r="F127" s="60">
        <v>56900</v>
      </c>
      <c r="G127" s="60">
        <v>56900</v>
      </c>
      <c r="H127" s="745">
        <f>56900+16000</f>
        <v>72900</v>
      </c>
      <c r="I127" s="60">
        <f>56900+16000</f>
        <v>72900</v>
      </c>
      <c r="J127" s="60">
        <f t="shared" ref="J127:M127" si="95">56900+16000</f>
        <v>72900</v>
      </c>
      <c r="K127" s="60">
        <f t="shared" si="95"/>
        <v>72900</v>
      </c>
      <c r="L127" s="60">
        <f t="shared" si="95"/>
        <v>72900</v>
      </c>
      <c r="M127" s="60">
        <f t="shared" si="95"/>
        <v>72900</v>
      </c>
      <c r="N127" s="60">
        <v>14625</v>
      </c>
      <c r="O127" s="808">
        <f t="shared" si="32"/>
        <v>0.20061728395061729</v>
      </c>
      <c r="P127" s="1"/>
    </row>
    <row r="128" spans="1:17" x14ac:dyDescent="0.25">
      <c r="A128" s="121" t="s">
        <v>155</v>
      </c>
      <c r="B128" s="118" t="s">
        <v>156</v>
      </c>
      <c r="C128" s="60">
        <v>500</v>
      </c>
      <c r="D128" s="60">
        <v>500</v>
      </c>
      <c r="E128" s="60">
        <v>500</v>
      </c>
      <c r="F128" s="60">
        <v>500</v>
      </c>
      <c r="G128" s="60">
        <v>500</v>
      </c>
      <c r="H128" s="60">
        <v>500</v>
      </c>
      <c r="I128" s="60">
        <v>500</v>
      </c>
      <c r="J128" s="60">
        <v>500</v>
      </c>
      <c r="K128" s="60">
        <v>500</v>
      </c>
      <c r="L128" s="60">
        <v>500</v>
      </c>
      <c r="M128" s="60">
        <v>500</v>
      </c>
      <c r="N128" s="60">
        <v>0</v>
      </c>
      <c r="O128" s="808">
        <f t="shared" si="32"/>
        <v>0</v>
      </c>
      <c r="P128" s="1"/>
    </row>
    <row r="129" spans="1:23" ht="15.75" thickBot="1" x14ac:dyDescent="0.3">
      <c r="A129" s="164" t="s">
        <v>157</v>
      </c>
      <c r="B129" s="165" t="s">
        <v>158</v>
      </c>
      <c r="C129" s="186">
        <v>500</v>
      </c>
      <c r="D129" s="186">
        <v>500</v>
      </c>
      <c r="E129" s="186">
        <v>500</v>
      </c>
      <c r="F129" s="186">
        <v>500</v>
      </c>
      <c r="G129" s="186">
        <v>500</v>
      </c>
      <c r="H129" s="186">
        <v>500</v>
      </c>
      <c r="I129" s="186">
        <v>500</v>
      </c>
      <c r="J129" s="186">
        <v>500</v>
      </c>
      <c r="K129" s="186">
        <v>500</v>
      </c>
      <c r="L129" s="186">
        <v>500</v>
      </c>
      <c r="M129" s="186">
        <v>500</v>
      </c>
      <c r="N129" s="186">
        <v>0</v>
      </c>
      <c r="O129" s="808">
        <f t="shared" si="32"/>
        <v>0</v>
      </c>
      <c r="P129" s="1"/>
    </row>
    <row r="130" spans="1:23" ht="16.5" thickBot="1" x14ac:dyDescent="0.3">
      <c r="A130" s="216" t="s">
        <v>159</v>
      </c>
      <c r="B130" s="176"/>
      <c r="C130" s="219">
        <f>SUM(C81+C87+C89+C92+C96+C101+C105+C110+C116+C124)</f>
        <v>1766360</v>
      </c>
      <c r="D130" s="219">
        <f>SUM(D81+D87+D89+D92+D96+D101+D105+D110+D116+D124)</f>
        <v>1766440</v>
      </c>
      <c r="E130" s="219">
        <f>SUM(E81+E87+E89+E92+E96+E101+E105+E110+E116+E124)</f>
        <v>1799661</v>
      </c>
      <c r="F130" s="219">
        <f>SUM(F81+F87+F89+F92+F96+F101+F105+F110+F116+F124)</f>
        <v>1800161</v>
      </c>
      <c r="G130" s="219">
        <f t="shared" ref="G130:L130" si="96">SUM(G81+G87+G89+G92+G96+G101+G105+G110+G116+G124)</f>
        <v>1861746</v>
      </c>
      <c r="H130" s="219">
        <f t="shared" si="96"/>
        <v>1899556</v>
      </c>
      <c r="I130" s="219">
        <f t="shared" si="96"/>
        <v>1899946</v>
      </c>
      <c r="J130" s="219">
        <f t="shared" si="96"/>
        <v>1900026</v>
      </c>
      <c r="K130" s="219">
        <f t="shared" si="96"/>
        <v>1905526</v>
      </c>
      <c r="L130" s="219">
        <f t="shared" si="96"/>
        <v>1908526</v>
      </c>
      <c r="M130" s="219">
        <f t="shared" ref="M130" si="97">SUM(M81+M87+M89+M92+M96+M101+M105+M110+M116+M124)</f>
        <v>1908526</v>
      </c>
      <c r="N130" s="219">
        <f>SUM(N81+N87+N89+N92+N96+N101+N105+N110+N116+N124)</f>
        <v>510901</v>
      </c>
      <c r="O130" s="808">
        <f t="shared" si="32"/>
        <v>0.2689029056615293</v>
      </c>
      <c r="P130" s="27">
        <f t="shared" ref="P130:T142" si="98">D130-C130</f>
        <v>80</v>
      </c>
      <c r="Q130" s="27">
        <f t="shared" si="98"/>
        <v>33221</v>
      </c>
      <c r="R130" s="27">
        <f t="shared" si="98"/>
        <v>500</v>
      </c>
      <c r="S130" s="27">
        <f t="shared" si="98"/>
        <v>61585</v>
      </c>
      <c r="T130" s="27">
        <f t="shared" si="98"/>
        <v>37810</v>
      </c>
      <c r="U130" s="27">
        <f>I130-H130</f>
        <v>390</v>
      </c>
      <c r="V130" s="27">
        <f>J130-I130</f>
        <v>80</v>
      </c>
      <c r="W130" s="27">
        <f>K130-J130</f>
        <v>5500</v>
      </c>
    </row>
    <row r="131" spans="1:23" x14ac:dyDescent="0.25">
      <c r="A131" s="220" t="s">
        <v>138</v>
      </c>
      <c r="B131" s="221" t="s">
        <v>161</v>
      </c>
      <c r="C131" s="224">
        <f t="shared" ref="C131:N131" si="99">C68</f>
        <v>571450</v>
      </c>
      <c r="D131" s="224">
        <f t="shared" si="99"/>
        <v>571450</v>
      </c>
      <c r="E131" s="224">
        <f t="shared" si="99"/>
        <v>629449</v>
      </c>
      <c r="F131" s="224">
        <f t="shared" si="99"/>
        <v>629449</v>
      </c>
      <c r="G131" s="224">
        <f t="shared" si="99"/>
        <v>629449</v>
      </c>
      <c r="H131" s="224">
        <f t="shared" si="99"/>
        <v>629449</v>
      </c>
      <c r="I131" s="224">
        <f t="shared" si="99"/>
        <v>631629</v>
      </c>
      <c r="J131" s="224">
        <f t="shared" si="99"/>
        <v>631629</v>
      </c>
      <c r="K131" s="224">
        <f t="shared" si="99"/>
        <v>631629</v>
      </c>
      <c r="L131" s="224">
        <f t="shared" si="99"/>
        <v>632341</v>
      </c>
      <c r="M131" s="224">
        <f t="shared" ref="M131" si="100">M68</f>
        <v>632341</v>
      </c>
      <c r="N131" s="224">
        <f t="shared" si="99"/>
        <v>214651</v>
      </c>
      <c r="O131" s="808">
        <f t="shared" si="32"/>
        <v>0.33983715123909763</v>
      </c>
      <c r="P131" s="27">
        <f t="shared" si="98"/>
        <v>0</v>
      </c>
      <c r="Q131" s="27">
        <f t="shared" si="98"/>
        <v>57999</v>
      </c>
      <c r="R131" s="27">
        <f t="shared" si="98"/>
        <v>0</v>
      </c>
      <c r="S131" s="27">
        <f t="shared" si="98"/>
        <v>0</v>
      </c>
      <c r="T131" s="27">
        <f t="shared" si="98"/>
        <v>0</v>
      </c>
      <c r="U131" s="27">
        <f>I131-H131</f>
        <v>2180</v>
      </c>
      <c r="V131" s="27">
        <f>J131-I131</f>
        <v>0</v>
      </c>
      <c r="W131" s="27">
        <f>K131-J131</f>
        <v>0</v>
      </c>
    </row>
    <row r="132" spans="1:23" x14ac:dyDescent="0.25">
      <c r="A132" s="225" t="s">
        <v>138</v>
      </c>
      <c r="B132" s="226" t="s">
        <v>162</v>
      </c>
      <c r="C132" s="229">
        <f t="shared" ref="C132:N132" si="101">C70</f>
        <v>2450</v>
      </c>
      <c r="D132" s="229">
        <f t="shared" si="101"/>
        <v>2450</v>
      </c>
      <c r="E132" s="229">
        <f t="shared" si="101"/>
        <v>2450</v>
      </c>
      <c r="F132" s="229">
        <f t="shared" si="101"/>
        <v>2450</v>
      </c>
      <c r="G132" s="229">
        <f t="shared" si="101"/>
        <v>2450</v>
      </c>
      <c r="H132" s="229">
        <f t="shared" si="101"/>
        <v>2450</v>
      </c>
      <c r="I132" s="229">
        <f t="shared" si="101"/>
        <v>2450</v>
      </c>
      <c r="J132" s="229">
        <f t="shared" si="101"/>
        <v>2450</v>
      </c>
      <c r="K132" s="229">
        <f t="shared" si="101"/>
        <v>2450</v>
      </c>
      <c r="L132" s="229">
        <f t="shared" si="101"/>
        <v>2450</v>
      </c>
      <c r="M132" s="229">
        <f t="shared" ref="M132" si="102">M70</f>
        <v>2450</v>
      </c>
      <c r="N132" s="229">
        <f t="shared" si="101"/>
        <v>41</v>
      </c>
      <c r="O132" s="808">
        <f t="shared" ref="O132:O192" si="103">N132/I132</f>
        <v>1.673469387755102E-2</v>
      </c>
      <c r="P132" s="27">
        <f t="shared" si="98"/>
        <v>0</v>
      </c>
      <c r="Q132" s="27">
        <f t="shared" si="98"/>
        <v>0</v>
      </c>
      <c r="R132" s="27">
        <f t="shared" si="98"/>
        <v>0</v>
      </c>
      <c r="S132" s="27">
        <f t="shared" si="98"/>
        <v>0</v>
      </c>
      <c r="T132" s="27">
        <f t="shared" si="98"/>
        <v>0</v>
      </c>
      <c r="U132" s="27">
        <f>I132-H132</f>
        <v>0</v>
      </c>
      <c r="V132" s="27">
        <f>J132-I132</f>
        <v>0</v>
      </c>
      <c r="W132" s="27">
        <f>K132-J132</f>
        <v>0</v>
      </c>
    </row>
    <row r="133" spans="1:23" x14ac:dyDescent="0.25">
      <c r="A133" s="235" t="s">
        <v>138</v>
      </c>
      <c r="B133" s="236" t="s">
        <v>708</v>
      </c>
      <c r="C133" s="239">
        <v>0</v>
      </c>
      <c r="D133" s="239">
        <v>0</v>
      </c>
      <c r="E133" s="239">
        <v>0</v>
      </c>
      <c r="F133" s="239">
        <v>0</v>
      </c>
      <c r="G133" s="239">
        <v>0</v>
      </c>
      <c r="H133" s="239">
        <v>0</v>
      </c>
      <c r="I133" s="239">
        <v>0</v>
      </c>
      <c r="J133" s="239">
        <v>0</v>
      </c>
      <c r="K133" s="239">
        <v>0</v>
      </c>
      <c r="L133" s="749">
        <v>100</v>
      </c>
      <c r="M133" s="239">
        <v>100</v>
      </c>
      <c r="N133" s="239">
        <v>0</v>
      </c>
      <c r="O133" s="808">
        <v>0</v>
      </c>
      <c r="P133" s="27"/>
      <c r="Q133" s="27"/>
      <c r="R133" s="27"/>
      <c r="S133" s="27"/>
      <c r="T133" s="27"/>
      <c r="U133" s="27"/>
      <c r="V133" s="27"/>
      <c r="W133" s="27"/>
    </row>
    <row r="134" spans="1:23" x14ac:dyDescent="0.25">
      <c r="A134" s="235" t="s">
        <v>140</v>
      </c>
      <c r="B134" s="236" t="s">
        <v>165</v>
      </c>
      <c r="C134" s="239">
        <v>35400</v>
      </c>
      <c r="D134" s="239">
        <v>35400</v>
      </c>
      <c r="E134" s="239">
        <v>35400</v>
      </c>
      <c r="F134" s="239">
        <v>35400</v>
      </c>
      <c r="G134" s="239">
        <v>35400</v>
      </c>
      <c r="H134" s="239">
        <v>35400</v>
      </c>
      <c r="I134" s="239">
        <v>35400</v>
      </c>
      <c r="J134" s="239">
        <v>35400</v>
      </c>
      <c r="K134" s="239">
        <v>35400</v>
      </c>
      <c r="L134" s="239">
        <v>35400</v>
      </c>
      <c r="M134" s="239">
        <v>35400</v>
      </c>
      <c r="N134" s="239">
        <v>12100</v>
      </c>
      <c r="O134" s="808">
        <f t="shared" si="103"/>
        <v>0.34180790960451979</v>
      </c>
      <c r="P134" s="27">
        <f t="shared" si="98"/>
        <v>0</v>
      </c>
      <c r="Q134" s="27">
        <f t="shared" si="98"/>
        <v>0</v>
      </c>
      <c r="R134" s="27">
        <f t="shared" si="98"/>
        <v>0</v>
      </c>
      <c r="S134" s="27">
        <f t="shared" si="98"/>
        <v>0</v>
      </c>
      <c r="T134" s="27">
        <f t="shared" si="98"/>
        <v>0</v>
      </c>
      <c r="U134" s="27">
        <f>I134-H134</f>
        <v>0</v>
      </c>
      <c r="V134" s="27">
        <f>J134-I134</f>
        <v>0</v>
      </c>
      <c r="W134" s="27">
        <f>K134-J134</f>
        <v>0</v>
      </c>
    </row>
    <row r="135" spans="1:23" ht="15.75" thickBot="1" x14ac:dyDescent="0.3">
      <c r="A135" s="225" t="s">
        <v>140</v>
      </c>
      <c r="B135" s="226" t="s">
        <v>166</v>
      </c>
      <c r="C135" s="229">
        <f t="shared" ref="C135:N135" si="104">C71</f>
        <v>2600</v>
      </c>
      <c r="D135" s="229">
        <f t="shared" si="104"/>
        <v>2600</v>
      </c>
      <c r="E135" s="229">
        <f t="shared" si="104"/>
        <v>2600</v>
      </c>
      <c r="F135" s="229">
        <f t="shared" si="104"/>
        <v>2600</v>
      </c>
      <c r="G135" s="229">
        <f t="shared" si="104"/>
        <v>2600</v>
      </c>
      <c r="H135" s="229">
        <f t="shared" si="104"/>
        <v>2600</v>
      </c>
      <c r="I135" s="229">
        <f t="shared" si="104"/>
        <v>2600</v>
      </c>
      <c r="J135" s="229">
        <f t="shared" si="104"/>
        <v>2600</v>
      </c>
      <c r="K135" s="229">
        <f t="shared" si="104"/>
        <v>2600</v>
      </c>
      <c r="L135" s="229">
        <f t="shared" si="104"/>
        <v>2600</v>
      </c>
      <c r="M135" s="229">
        <f t="shared" ref="M135" si="105">M71</f>
        <v>2600</v>
      </c>
      <c r="N135" s="229">
        <f t="shared" si="104"/>
        <v>450</v>
      </c>
      <c r="O135" s="808">
        <f t="shared" si="103"/>
        <v>0.17307692307692307</v>
      </c>
      <c r="P135" s="27">
        <f t="shared" si="98"/>
        <v>0</v>
      </c>
      <c r="Q135" s="27">
        <f t="shared" si="98"/>
        <v>0</v>
      </c>
      <c r="R135" s="27">
        <f t="shared" si="98"/>
        <v>0</v>
      </c>
      <c r="S135" s="27">
        <f t="shared" si="98"/>
        <v>0</v>
      </c>
      <c r="T135" s="27">
        <f t="shared" si="98"/>
        <v>0</v>
      </c>
      <c r="U135" s="27">
        <f>I135-H135</f>
        <v>0</v>
      </c>
      <c r="V135" s="27">
        <f>J135-I135</f>
        <v>0</v>
      </c>
      <c r="W135" s="27">
        <f>K135-J135</f>
        <v>0</v>
      </c>
    </row>
    <row r="136" spans="1:23" ht="15.75" thickBot="1" x14ac:dyDescent="0.3">
      <c r="A136" s="891" t="s">
        <v>167</v>
      </c>
      <c r="B136" s="892"/>
      <c r="C136" s="242">
        <f t="shared" ref="C136:N136" si="106">SUM(C131:C135)</f>
        <v>611900</v>
      </c>
      <c r="D136" s="242">
        <f t="shared" si="106"/>
        <v>611900</v>
      </c>
      <c r="E136" s="242">
        <f t="shared" si="106"/>
        <v>669899</v>
      </c>
      <c r="F136" s="242">
        <f t="shared" si="106"/>
        <v>669899</v>
      </c>
      <c r="G136" s="242">
        <f t="shared" si="106"/>
        <v>669899</v>
      </c>
      <c r="H136" s="242">
        <f t="shared" si="106"/>
        <v>669899</v>
      </c>
      <c r="I136" s="242">
        <f t="shared" si="106"/>
        <v>672079</v>
      </c>
      <c r="J136" s="242">
        <f t="shared" ref="J136:L136" si="107">SUM(J131:J135)</f>
        <v>672079</v>
      </c>
      <c r="K136" s="242">
        <f t="shared" si="107"/>
        <v>672079</v>
      </c>
      <c r="L136" s="242">
        <f t="shared" si="107"/>
        <v>672891</v>
      </c>
      <c r="M136" s="242">
        <f t="shared" ref="M136" si="108">SUM(M131:M135)</f>
        <v>672891</v>
      </c>
      <c r="N136" s="242">
        <f t="shared" si="106"/>
        <v>227242</v>
      </c>
      <c r="O136" s="808">
        <f t="shared" si="103"/>
        <v>0.33811798910544744</v>
      </c>
      <c r="P136" s="27">
        <f t="shared" si="98"/>
        <v>0</v>
      </c>
      <c r="Q136" s="27">
        <f t="shared" si="98"/>
        <v>57999</v>
      </c>
      <c r="R136" s="27">
        <f t="shared" si="98"/>
        <v>0</v>
      </c>
      <c r="S136" s="27">
        <f t="shared" si="98"/>
        <v>0</v>
      </c>
      <c r="T136" s="27">
        <f t="shared" si="98"/>
        <v>0</v>
      </c>
      <c r="U136" s="27">
        <f>I136-H136</f>
        <v>2180</v>
      </c>
      <c r="V136" s="27">
        <f>J136-I136</f>
        <v>0</v>
      </c>
      <c r="W136" s="27">
        <f>K136-J136</f>
        <v>0</v>
      </c>
    </row>
    <row r="137" spans="1:23" x14ac:dyDescent="0.25">
      <c r="A137" s="243" t="s">
        <v>140</v>
      </c>
      <c r="B137" s="244" t="s">
        <v>168</v>
      </c>
      <c r="C137" s="247">
        <f>278720+13000</f>
        <v>291720</v>
      </c>
      <c r="D137" s="247">
        <f>278720+13000</f>
        <v>291720</v>
      </c>
      <c r="E137" s="247">
        <f>278720+13000</f>
        <v>291720</v>
      </c>
      <c r="F137" s="247">
        <f>278720+13000</f>
        <v>291720</v>
      </c>
      <c r="G137" s="247">
        <f t="shared" ref="G137:M137" si="109">278720+13000</f>
        <v>291720</v>
      </c>
      <c r="H137" s="247">
        <f t="shared" si="109"/>
        <v>291720</v>
      </c>
      <c r="I137" s="247">
        <f t="shared" si="109"/>
        <v>291720</v>
      </c>
      <c r="J137" s="247">
        <f t="shared" si="109"/>
        <v>291720</v>
      </c>
      <c r="K137" s="247">
        <f t="shared" si="109"/>
        <v>291720</v>
      </c>
      <c r="L137" s="247">
        <f t="shared" si="109"/>
        <v>291720</v>
      </c>
      <c r="M137" s="247">
        <f t="shared" si="109"/>
        <v>291720</v>
      </c>
      <c r="N137" s="247">
        <v>72930</v>
      </c>
      <c r="O137" s="808">
        <f t="shared" si="103"/>
        <v>0.25</v>
      </c>
      <c r="P137" s="27">
        <f t="shared" si="98"/>
        <v>0</v>
      </c>
      <c r="Q137" s="27">
        <f t="shared" si="98"/>
        <v>0</v>
      </c>
      <c r="R137" s="27">
        <f t="shared" si="98"/>
        <v>0</v>
      </c>
      <c r="S137" s="27">
        <f t="shared" si="98"/>
        <v>0</v>
      </c>
      <c r="T137" s="27">
        <f t="shared" si="98"/>
        <v>0</v>
      </c>
      <c r="U137" s="27">
        <f>I137-H137</f>
        <v>0</v>
      </c>
      <c r="V137" s="27">
        <f>J137-I137</f>
        <v>0</v>
      </c>
      <c r="W137" s="27">
        <f>K137-J137</f>
        <v>0</v>
      </c>
    </row>
    <row r="138" spans="1:23" x14ac:dyDescent="0.25">
      <c r="A138" s="248" t="s">
        <v>140</v>
      </c>
      <c r="B138" s="249" t="s">
        <v>551</v>
      </c>
      <c r="C138" s="93">
        <v>0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808">
        <v>0</v>
      </c>
      <c r="P138" s="27">
        <f t="shared" si="98"/>
        <v>0</v>
      </c>
      <c r="Q138" s="27">
        <f t="shared" si="98"/>
        <v>0</v>
      </c>
      <c r="R138" s="27">
        <f t="shared" si="98"/>
        <v>0</v>
      </c>
      <c r="S138" s="27">
        <f t="shared" si="98"/>
        <v>0</v>
      </c>
      <c r="T138" s="27">
        <f t="shared" si="98"/>
        <v>0</v>
      </c>
      <c r="U138" s="27">
        <f>I138-H138</f>
        <v>0</v>
      </c>
      <c r="V138" s="27">
        <f>J138-I138</f>
        <v>0</v>
      </c>
      <c r="W138" s="27">
        <f>K138-J138</f>
        <v>0</v>
      </c>
    </row>
    <row r="139" spans="1:23" ht="15.75" thickBot="1" x14ac:dyDescent="0.3">
      <c r="A139" s="248" t="s">
        <v>140</v>
      </c>
      <c r="B139" s="249" t="s">
        <v>169</v>
      </c>
      <c r="C139" s="93">
        <f t="shared" ref="C139:N139" si="110">C73</f>
        <v>10980</v>
      </c>
      <c r="D139" s="93">
        <f t="shared" si="110"/>
        <v>10980</v>
      </c>
      <c r="E139" s="93">
        <f t="shared" si="110"/>
        <v>10980</v>
      </c>
      <c r="F139" s="93">
        <f t="shared" si="110"/>
        <v>10980</v>
      </c>
      <c r="G139" s="93">
        <f t="shared" si="110"/>
        <v>10980</v>
      </c>
      <c r="H139" s="93">
        <f t="shared" si="110"/>
        <v>10980</v>
      </c>
      <c r="I139" s="93">
        <f t="shared" si="110"/>
        <v>10980</v>
      </c>
      <c r="J139" s="93">
        <f t="shared" si="110"/>
        <v>10980</v>
      </c>
      <c r="K139" s="93">
        <f t="shared" si="110"/>
        <v>10980</v>
      </c>
      <c r="L139" s="93">
        <f t="shared" si="110"/>
        <v>10980</v>
      </c>
      <c r="M139" s="93">
        <f t="shared" ref="M139" si="111">M73</f>
        <v>10980</v>
      </c>
      <c r="N139" s="93">
        <f t="shared" si="110"/>
        <v>6025</v>
      </c>
      <c r="O139" s="808">
        <f t="shared" si="103"/>
        <v>0.54872495446265934</v>
      </c>
      <c r="P139" s="27">
        <f t="shared" si="98"/>
        <v>0</v>
      </c>
      <c r="Q139" s="27">
        <f t="shared" si="98"/>
        <v>0</v>
      </c>
      <c r="R139" s="27">
        <f t="shared" si="98"/>
        <v>0</v>
      </c>
      <c r="S139" s="27">
        <f t="shared" si="98"/>
        <v>0</v>
      </c>
      <c r="T139" s="27">
        <f t="shared" si="98"/>
        <v>0</v>
      </c>
      <c r="U139" s="27">
        <f>I139-H139</f>
        <v>0</v>
      </c>
      <c r="V139" s="27">
        <f>J139-I139</f>
        <v>0</v>
      </c>
      <c r="W139" s="27">
        <f>K139-J139</f>
        <v>0</v>
      </c>
    </row>
    <row r="140" spans="1:23" ht="15.75" thickBot="1" x14ac:dyDescent="0.3">
      <c r="A140" s="874" t="s">
        <v>170</v>
      </c>
      <c r="B140" s="875"/>
      <c r="C140" s="254">
        <f t="shared" ref="C140:N140" si="112">SUM(C137:C139)</f>
        <v>302700</v>
      </c>
      <c r="D140" s="254">
        <f t="shared" si="112"/>
        <v>302700</v>
      </c>
      <c r="E140" s="254">
        <f t="shared" si="112"/>
        <v>302700</v>
      </c>
      <c r="F140" s="254">
        <f t="shared" si="112"/>
        <v>302700</v>
      </c>
      <c r="G140" s="254">
        <f t="shared" si="112"/>
        <v>302700</v>
      </c>
      <c r="H140" s="254">
        <f t="shared" si="112"/>
        <v>302700</v>
      </c>
      <c r="I140" s="254">
        <f t="shared" si="112"/>
        <v>302700</v>
      </c>
      <c r="J140" s="254">
        <f t="shared" si="112"/>
        <v>302700</v>
      </c>
      <c r="K140" s="254">
        <f t="shared" si="112"/>
        <v>302700</v>
      </c>
      <c r="L140" s="254">
        <f t="shared" si="112"/>
        <v>302700</v>
      </c>
      <c r="M140" s="254">
        <f t="shared" ref="M140" si="113">SUM(M137:M139)</f>
        <v>302700</v>
      </c>
      <c r="N140" s="254">
        <f t="shared" si="112"/>
        <v>78955</v>
      </c>
      <c r="O140" s="808">
        <f t="shared" si="103"/>
        <v>0.26083581103402709</v>
      </c>
      <c r="P140" s="27">
        <f t="shared" si="98"/>
        <v>0</v>
      </c>
      <c r="Q140" s="27">
        <f t="shared" si="98"/>
        <v>0</v>
      </c>
      <c r="R140" s="27">
        <f t="shared" si="98"/>
        <v>0</v>
      </c>
      <c r="S140" s="27">
        <f t="shared" si="98"/>
        <v>0</v>
      </c>
      <c r="T140" s="27">
        <f t="shared" si="98"/>
        <v>0</v>
      </c>
      <c r="U140" s="27">
        <f>I140-H140</f>
        <v>0</v>
      </c>
      <c r="V140" s="27">
        <f>J140-I140</f>
        <v>0</v>
      </c>
      <c r="W140" s="27">
        <f>K140-J140</f>
        <v>0</v>
      </c>
    </row>
    <row r="141" spans="1:23" ht="15.75" thickBot="1" x14ac:dyDescent="0.3">
      <c r="A141" s="860" t="s">
        <v>171</v>
      </c>
      <c r="B141" s="861"/>
      <c r="C141" s="257">
        <f t="shared" ref="C141:N141" si="114">C136+C140</f>
        <v>914600</v>
      </c>
      <c r="D141" s="257">
        <f t="shared" si="114"/>
        <v>914600</v>
      </c>
      <c r="E141" s="257">
        <f t="shared" si="114"/>
        <v>972599</v>
      </c>
      <c r="F141" s="257">
        <f t="shared" si="114"/>
        <v>972599</v>
      </c>
      <c r="G141" s="257">
        <f t="shared" si="114"/>
        <v>972599</v>
      </c>
      <c r="H141" s="257">
        <f t="shared" si="114"/>
        <v>972599</v>
      </c>
      <c r="I141" s="257">
        <f t="shared" si="114"/>
        <v>974779</v>
      </c>
      <c r="J141" s="257">
        <f t="shared" si="114"/>
        <v>974779</v>
      </c>
      <c r="K141" s="257">
        <f t="shared" si="114"/>
        <v>974779</v>
      </c>
      <c r="L141" s="257">
        <f t="shared" si="114"/>
        <v>975591</v>
      </c>
      <c r="M141" s="257">
        <f t="shared" ref="M141" si="115">M136+M140</f>
        <v>975591</v>
      </c>
      <c r="N141" s="257">
        <f t="shared" si="114"/>
        <v>306197</v>
      </c>
      <c r="O141" s="808">
        <f t="shared" si="103"/>
        <v>0.31411940552679118</v>
      </c>
      <c r="P141" s="27">
        <f t="shared" si="98"/>
        <v>0</v>
      </c>
      <c r="Q141" s="27">
        <f t="shared" si="98"/>
        <v>57999</v>
      </c>
      <c r="R141" s="27">
        <f t="shared" si="98"/>
        <v>0</v>
      </c>
      <c r="S141" s="27">
        <f t="shared" si="98"/>
        <v>0</v>
      </c>
      <c r="T141" s="27">
        <f t="shared" si="98"/>
        <v>0</v>
      </c>
      <c r="U141" s="27">
        <f>I141-H141</f>
        <v>2180</v>
      </c>
      <c r="V141" s="27">
        <f>J141-I141</f>
        <v>0</v>
      </c>
      <c r="W141" s="27">
        <f>K141-J141</f>
        <v>0</v>
      </c>
    </row>
    <row r="142" spans="1:23" ht="16.5" thickBot="1" x14ac:dyDescent="0.3">
      <c r="A142" s="258" t="s">
        <v>172</v>
      </c>
      <c r="B142" s="144"/>
      <c r="C142" s="261">
        <f t="shared" ref="C142:N142" si="116">C130+C141</f>
        <v>2680960</v>
      </c>
      <c r="D142" s="261">
        <f t="shared" si="116"/>
        <v>2681040</v>
      </c>
      <c r="E142" s="261">
        <f t="shared" si="116"/>
        <v>2772260</v>
      </c>
      <c r="F142" s="261">
        <f t="shared" si="116"/>
        <v>2772760</v>
      </c>
      <c r="G142" s="261">
        <f t="shared" si="116"/>
        <v>2834345</v>
      </c>
      <c r="H142" s="261">
        <f t="shared" si="116"/>
        <v>2872155</v>
      </c>
      <c r="I142" s="261">
        <f t="shared" si="116"/>
        <v>2874725</v>
      </c>
      <c r="J142" s="261">
        <f t="shared" si="116"/>
        <v>2874805</v>
      </c>
      <c r="K142" s="261">
        <f t="shared" si="116"/>
        <v>2880305</v>
      </c>
      <c r="L142" s="261">
        <f t="shared" si="116"/>
        <v>2884117</v>
      </c>
      <c r="M142" s="261">
        <f t="shared" ref="M142" si="117">M130+M141</f>
        <v>2884117</v>
      </c>
      <c r="N142" s="261">
        <f t="shared" si="116"/>
        <v>817098</v>
      </c>
      <c r="O142" s="808">
        <f t="shared" si="103"/>
        <v>0.2842351877136074</v>
      </c>
      <c r="P142" s="27">
        <f t="shared" si="98"/>
        <v>80</v>
      </c>
      <c r="Q142" s="27">
        <f t="shared" si="98"/>
        <v>91220</v>
      </c>
      <c r="R142" s="27">
        <f t="shared" si="98"/>
        <v>500</v>
      </c>
      <c r="S142" s="27">
        <f t="shared" si="98"/>
        <v>61585</v>
      </c>
      <c r="T142" s="27">
        <f t="shared" si="98"/>
        <v>37810</v>
      </c>
      <c r="U142" s="27">
        <f>I142-H142</f>
        <v>2570</v>
      </c>
      <c r="V142" s="27">
        <f>J142-I142</f>
        <v>80</v>
      </c>
      <c r="W142" s="27">
        <f>K142-J142</f>
        <v>5500</v>
      </c>
    </row>
    <row r="143" spans="1:2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08"/>
      <c r="P143" s="1"/>
    </row>
    <row r="144" spans="1:2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08"/>
      <c r="P144" s="1"/>
    </row>
    <row r="145" spans="1:23" ht="18.75" thickBot="1" x14ac:dyDescent="0.3">
      <c r="A145" s="862" t="s">
        <v>173</v>
      </c>
      <c r="B145" s="863"/>
      <c r="C145" s="863"/>
      <c r="D145" s="863"/>
      <c r="E145" s="863"/>
      <c r="F145" s="863"/>
      <c r="G145" s="863"/>
      <c r="H145" s="863"/>
      <c r="I145" s="863"/>
      <c r="J145" s="863"/>
      <c r="K145" s="863"/>
      <c r="L145" s="863"/>
      <c r="M145" s="863"/>
      <c r="N145" s="863"/>
      <c r="O145" s="808"/>
      <c r="P145" s="1"/>
    </row>
    <row r="146" spans="1:23" ht="27" customHeight="1" thickBot="1" x14ac:dyDescent="0.3">
      <c r="A146" s="864" t="s">
        <v>1</v>
      </c>
      <c r="B146" s="865"/>
      <c r="C146" s="413" t="s">
        <v>454</v>
      </c>
      <c r="D146" s="413" t="s">
        <v>496</v>
      </c>
      <c r="E146" s="413" t="s">
        <v>547</v>
      </c>
      <c r="F146" s="413" t="s">
        <v>497</v>
      </c>
      <c r="G146" s="413" t="s">
        <v>568</v>
      </c>
      <c r="H146" s="413" t="s">
        <v>569</v>
      </c>
      <c r="I146" s="413" t="s">
        <v>641</v>
      </c>
      <c r="J146" s="413" t="s">
        <v>657</v>
      </c>
      <c r="K146" s="413" t="s">
        <v>658</v>
      </c>
      <c r="L146" s="413" t="s">
        <v>690</v>
      </c>
      <c r="M146" s="413" t="s">
        <v>689</v>
      </c>
      <c r="N146" s="413" t="s">
        <v>642</v>
      </c>
      <c r="O146" s="808"/>
      <c r="P146" s="1"/>
    </row>
    <row r="147" spans="1:23" ht="16.5" thickBot="1" x14ac:dyDescent="0.3">
      <c r="A147" s="866" t="s">
        <v>174</v>
      </c>
      <c r="B147" s="867"/>
      <c r="C147" s="262">
        <f>SUM(C148:C154)</f>
        <v>869220</v>
      </c>
      <c r="D147" s="262">
        <f t="shared" ref="D147:N147" si="118">SUM(D148:D154)</f>
        <v>869220</v>
      </c>
      <c r="E147" s="262">
        <f t="shared" si="118"/>
        <v>869220</v>
      </c>
      <c r="F147" s="262">
        <f t="shared" si="118"/>
        <v>1047220</v>
      </c>
      <c r="G147" s="262">
        <f t="shared" si="118"/>
        <v>1047220</v>
      </c>
      <c r="H147" s="262">
        <f t="shared" si="118"/>
        <v>1047220</v>
      </c>
      <c r="I147" s="262">
        <f t="shared" si="118"/>
        <v>1047220</v>
      </c>
      <c r="J147" s="262">
        <f t="shared" si="118"/>
        <v>1047220</v>
      </c>
      <c r="K147" s="262">
        <f t="shared" si="118"/>
        <v>1047220</v>
      </c>
      <c r="L147" s="262">
        <f t="shared" si="118"/>
        <v>1047220</v>
      </c>
      <c r="M147" s="262">
        <f t="shared" ref="M147" si="119">SUM(M148:M154)</f>
        <v>1047220</v>
      </c>
      <c r="N147" s="262">
        <f t="shared" si="118"/>
        <v>0</v>
      </c>
      <c r="O147" s="808">
        <f t="shared" si="103"/>
        <v>0</v>
      </c>
      <c r="P147" s="27">
        <f>D147-C147</f>
        <v>0</v>
      </c>
      <c r="Q147" s="27">
        <f>E147-D147</f>
        <v>0</v>
      </c>
      <c r="R147" s="27">
        <f>F147-E147</f>
        <v>178000</v>
      </c>
      <c r="S147" s="27">
        <f>G147-F147</f>
        <v>0</v>
      </c>
      <c r="T147" s="27">
        <f>H147-G147</f>
        <v>0</v>
      </c>
      <c r="U147" s="27">
        <f>I147-H147</f>
        <v>0</v>
      </c>
      <c r="V147" s="27">
        <f t="shared" ref="V147:W147" si="120">J147-I147</f>
        <v>0</v>
      </c>
      <c r="W147" s="27">
        <f t="shared" si="120"/>
        <v>0</v>
      </c>
    </row>
    <row r="148" spans="1:23" x14ac:dyDescent="0.25">
      <c r="A148" s="711">
        <v>231</v>
      </c>
      <c r="B148" s="526" t="s">
        <v>306</v>
      </c>
      <c r="C148" s="712">
        <v>0</v>
      </c>
      <c r="D148" s="712">
        <v>0</v>
      </c>
      <c r="E148" s="712">
        <v>0</v>
      </c>
      <c r="F148" s="712">
        <v>0</v>
      </c>
      <c r="G148" s="712">
        <v>0</v>
      </c>
      <c r="H148" s="712">
        <v>0</v>
      </c>
      <c r="I148" s="712">
        <v>0</v>
      </c>
      <c r="J148" s="712">
        <v>0</v>
      </c>
      <c r="K148" s="712">
        <v>0</v>
      </c>
      <c r="L148" s="712">
        <v>0</v>
      </c>
      <c r="M148" s="712">
        <v>0</v>
      </c>
      <c r="N148" s="712">
        <v>0</v>
      </c>
      <c r="O148" s="808">
        <v>0</v>
      </c>
      <c r="P148" s="1"/>
      <c r="Q148" s="1"/>
      <c r="R148" s="1"/>
      <c r="S148" s="1"/>
      <c r="T148" s="1"/>
      <c r="U148" s="1"/>
      <c r="V148" s="1"/>
      <c r="W148" s="1"/>
    </row>
    <row r="149" spans="1:23" ht="15.75" thickBot="1" x14ac:dyDescent="0.3">
      <c r="A149" s="3">
        <v>233</v>
      </c>
      <c r="B149" s="328" t="s">
        <v>175</v>
      </c>
      <c r="C149" s="710">
        <v>5000</v>
      </c>
      <c r="D149" s="710">
        <v>5000</v>
      </c>
      <c r="E149" s="710">
        <v>5000</v>
      </c>
      <c r="F149" s="710">
        <v>5000</v>
      </c>
      <c r="G149" s="710">
        <v>5000</v>
      </c>
      <c r="H149" s="710">
        <v>5000</v>
      </c>
      <c r="I149" s="710">
        <v>5000</v>
      </c>
      <c r="J149" s="710">
        <v>5000</v>
      </c>
      <c r="K149" s="710">
        <f>5000</f>
        <v>5000</v>
      </c>
      <c r="L149" s="710">
        <f>5000</f>
        <v>5000</v>
      </c>
      <c r="M149" s="710">
        <f>5000</f>
        <v>5000</v>
      </c>
      <c r="N149" s="710">
        <v>0</v>
      </c>
      <c r="O149" s="808">
        <f t="shared" si="103"/>
        <v>0</v>
      </c>
      <c r="P149" s="27">
        <f>SUM(C148:C149)</f>
        <v>5000</v>
      </c>
      <c r="Q149" s="27">
        <f>SUM(D148:D149)</f>
        <v>5000</v>
      </c>
      <c r="R149" s="27">
        <f>SUM(E148:E149)</f>
        <v>5000</v>
      </c>
      <c r="S149" s="27">
        <f>SUM(F148:F149)</f>
        <v>5000</v>
      </c>
      <c r="T149" s="27">
        <f>SUM(G148:G149)</f>
        <v>5000</v>
      </c>
      <c r="U149" s="27">
        <f>SUM(H148:H149)</f>
        <v>5000</v>
      </c>
      <c r="V149" s="27">
        <f t="shared" ref="V149:W149" si="121">SUM(I148:I149)</f>
        <v>5000</v>
      </c>
      <c r="W149" s="27">
        <f t="shared" si="121"/>
        <v>5000</v>
      </c>
    </row>
    <row r="150" spans="1:23" x14ac:dyDescent="0.25">
      <c r="A150" s="271">
        <v>322</v>
      </c>
      <c r="B150" s="76" t="s">
        <v>237</v>
      </c>
      <c r="C150" s="273">
        <v>355220</v>
      </c>
      <c r="D150" s="273">
        <v>355220</v>
      </c>
      <c r="E150" s="273">
        <v>355220</v>
      </c>
      <c r="F150" s="273">
        <v>355220</v>
      </c>
      <c r="G150" s="273">
        <v>355220</v>
      </c>
      <c r="H150" s="273">
        <v>355220</v>
      </c>
      <c r="I150" s="273">
        <v>355220</v>
      </c>
      <c r="J150" s="273">
        <v>355220</v>
      </c>
      <c r="K150" s="273">
        <v>355220</v>
      </c>
      <c r="L150" s="273">
        <v>355220</v>
      </c>
      <c r="M150" s="273">
        <v>355220</v>
      </c>
      <c r="N150" s="267">
        <v>0</v>
      </c>
      <c r="O150" s="808">
        <f t="shared" si="103"/>
        <v>0</v>
      </c>
      <c r="P150" s="1"/>
      <c r="Q150" s="1"/>
      <c r="R150" s="1"/>
      <c r="S150" s="1"/>
      <c r="T150" s="1"/>
      <c r="U150" s="1"/>
      <c r="V150" s="1"/>
      <c r="W150" s="1"/>
    </row>
    <row r="151" spans="1:23" x14ac:dyDescent="0.25">
      <c r="A151" s="271">
        <v>322</v>
      </c>
      <c r="B151" s="274" t="s">
        <v>243</v>
      </c>
      <c r="C151" s="270">
        <v>19000</v>
      </c>
      <c r="D151" s="270">
        <v>19000</v>
      </c>
      <c r="E151" s="270">
        <v>19000</v>
      </c>
      <c r="F151" s="270">
        <v>19000</v>
      </c>
      <c r="G151" s="270">
        <v>19000</v>
      </c>
      <c r="H151" s="270">
        <v>19000</v>
      </c>
      <c r="I151" s="270">
        <v>19000</v>
      </c>
      <c r="J151" s="270">
        <v>19000</v>
      </c>
      <c r="K151" s="270">
        <v>19000</v>
      </c>
      <c r="L151" s="270">
        <v>19000</v>
      </c>
      <c r="M151" s="270">
        <v>19000</v>
      </c>
      <c r="N151" s="267">
        <v>0</v>
      </c>
      <c r="O151" s="808">
        <f t="shared" si="103"/>
        <v>0</v>
      </c>
      <c r="P151" s="1"/>
      <c r="Q151" s="1"/>
      <c r="R151" s="1"/>
      <c r="S151" s="1"/>
      <c r="T151" s="1"/>
      <c r="U151" s="1"/>
      <c r="V151" s="1"/>
      <c r="W151" s="1"/>
    </row>
    <row r="152" spans="1:23" x14ac:dyDescent="0.25">
      <c r="A152" s="271">
        <v>322</v>
      </c>
      <c r="B152" s="85" t="s">
        <v>303</v>
      </c>
      <c r="C152" s="273">
        <v>190000</v>
      </c>
      <c r="D152" s="273">
        <v>190000</v>
      </c>
      <c r="E152" s="273">
        <v>190000</v>
      </c>
      <c r="F152" s="273">
        <v>190000</v>
      </c>
      <c r="G152" s="273">
        <v>190000</v>
      </c>
      <c r="H152" s="273">
        <v>190000</v>
      </c>
      <c r="I152" s="273">
        <v>190000</v>
      </c>
      <c r="J152" s="273">
        <v>190000</v>
      </c>
      <c r="K152" s="273">
        <v>190000</v>
      </c>
      <c r="L152" s="273">
        <v>190000</v>
      </c>
      <c r="M152" s="273">
        <v>190000</v>
      </c>
      <c r="N152" s="267">
        <v>0</v>
      </c>
      <c r="O152" s="808">
        <f t="shared" si="103"/>
        <v>0</v>
      </c>
      <c r="P152" s="1"/>
      <c r="Q152" s="1"/>
      <c r="R152" s="1"/>
      <c r="S152" s="1"/>
      <c r="T152" s="1"/>
      <c r="U152" s="1"/>
      <c r="V152" s="1"/>
      <c r="W152" s="1"/>
    </row>
    <row r="153" spans="1:23" x14ac:dyDescent="0.25">
      <c r="A153" s="268">
        <v>322</v>
      </c>
      <c r="B153" s="72" t="s">
        <v>179</v>
      </c>
      <c r="C153" s="270">
        <v>300000</v>
      </c>
      <c r="D153" s="270">
        <v>300000</v>
      </c>
      <c r="E153" s="270">
        <v>300000</v>
      </c>
      <c r="F153" s="270">
        <v>300000</v>
      </c>
      <c r="G153" s="270">
        <v>300000</v>
      </c>
      <c r="H153" s="270">
        <v>300000</v>
      </c>
      <c r="I153" s="270">
        <v>300000</v>
      </c>
      <c r="J153" s="270">
        <v>300000</v>
      </c>
      <c r="K153" s="270">
        <v>300000</v>
      </c>
      <c r="L153" s="270">
        <v>300000</v>
      </c>
      <c r="M153" s="270">
        <v>300000</v>
      </c>
      <c r="N153" s="270">
        <v>0</v>
      </c>
      <c r="O153" s="808">
        <f t="shared" si="103"/>
        <v>0</v>
      </c>
    </row>
    <row r="154" spans="1:23" ht="15.75" thickBot="1" x14ac:dyDescent="0.3">
      <c r="A154" s="765">
        <v>322</v>
      </c>
      <c r="B154" s="766" t="s">
        <v>539</v>
      </c>
      <c r="C154" s="409">
        <v>0</v>
      </c>
      <c r="D154" s="409">
        <v>0</v>
      </c>
      <c r="E154" s="409">
        <v>0</v>
      </c>
      <c r="F154" s="767">
        <v>178000</v>
      </c>
      <c r="G154" s="409">
        <v>178000</v>
      </c>
      <c r="H154" s="409">
        <v>178000</v>
      </c>
      <c r="I154" s="409">
        <v>178000</v>
      </c>
      <c r="J154" s="409">
        <v>178000</v>
      </c>
      <c r="K154" s="409">
        <v>178000</v>
      </c>
      <c r="L154" s="409">
        <v>178000</v>
      </c>
      <c r="M154" s="409">
        <v>178000</v>
      </c>
      <c r="N154" s="409">
        <v>0</v>
      </c>
      <c r="O154" s="808">
        <f t="shared" si="103"/>
        <v>0</v>
      </c>
      <c r="P154" s="27">
        <f>SUM(C150:C154)</f>
        <v>864220</v>
      </c>
      <c r="Q154" s="27">
        <f>SUM(D150:D154)</f>
        <v>864220</v>
      </c>
      <c r="R154" s="27">
        <f>SUM(E150:E154)</f>
        <v>864220</v>
      </c>
      <c r="S154" s="27">
        <f>SUM(F150:F154)</f>
        <v>1042220</v>
      </c>
      <c r="T154" s="27">
        <f>SUM(G150:G154)</f>
        <v>1042220</v>
      </c>
      <c r="U154" s="27">
        <f>SUM(H150:H154)</f>
        <v>1042220</v>
      </c>
      <c r="V154" s="27">
        <f t="shared" ref="V154:W154" si="122">SUM(I150:I154)</f>
        <v>1042220</v>
      </c>
      <c r="W154" s="27">
        <f t="shared" si="122"/>
        <v>1042220</v>
      </c>
    </row>
    <row r="155" spans="1:23" ht="16.5" thickBot="1" x14ac:dyDescent="0.3">
      <c r="A155" s="866" t="s">
        <v>180</v>
      </c>
      <c r="B155" s="867"/>
      <c r="C155" s="262">
        <f>SUM(C156:C169)</f>
        <v>1445946</v>
      </c>
      <c r="D155" s="262">
        <f>SUM(D156:D169)</f>
        <v>1445946</v>
      </c>
      <c r="E155" s="262">
        <f>SUM(E156:E169)</f>
        <v>1445946</v>
      </c>
      <c r="F155" s="262">
        <f>SUM(F156:F169)</f>
        <v>1623946</v>
      </c>
      <c r="G155" s="262">
        <f t="shared" ref="G155:L155" si="123">SUM(G156:G169)</f>
        <v>1623946</v>
      </c>
      <c r="H155" s="262">
        <f t="shared" si="123"/>
        <v>1623946</v>
      </c>
      <c r="I155" s="262">
        <f t="shared" si="123"/>
        <v>1623946</v>
      </c>
      <c r="J155" s="262">
        <f t="shared" si="123"/>
        <v>1623946</v>
      </c>
      <c r="K155" s="262">
        <f t="shared" si="123"/>
        <v>1623946</v>
      </c>
      <c r="L155" s="262">
        <f t="shared" si="123"/>
        <v>1623946</v>
      </c>
      <c r="M155" s="262">
        <f t="shared" ref="M155" si="124">SUM(M156:M169)</f>
        <v>1623946</v>
      </c>
      <c r="N155" s="262">
        <f>SUM(N156:N169)</f>
        <v>8937</v>
      </c>
      <c r="O155" s="808">
        <f t="shared" si="103"/>
        <v>5.5032618079665207E-3</v>
      </c>
      <c r="P155" s="27">
        <f>D155-C155</f>
        <v>0</v>
      </c>
      <c r="Q155" s="27">
        <f>E155-D155</f>
        <v>0</v>
      </c>
      <c r="R155" s="27">
        <f>F155-E155</f>
        <v>178000</v>
      </c>
      <c r="S155" s="27">
        <f>G155-F155</f>
        <v>0</v>
      </c>
      <c r="T155" s="27">
        <f>H155-G155</f>
        <v>0</v>
      </c>
      <c r="U155" s="27">
        <f>I155-H155</f>
        <v>0</v>
      </c>
      <c r="V155" s="27">
        <f t="shared" ref="V155:W155" si="125">J155-I155</f>
        <v>0</v>
      </c>
      <c r="W155" s="27">
        <f t="shared" si="125"/>
        <v>0</v>
      </c>
    </row>
    <row r="156" spans="1:23" x14ac:dyDescent="0.25">
      <c r="A156" s="286" t="s">
        <v>94</v>
      </c>
      <c r="B156" s="275" t="s">
        <v>184</v>
      </c>
      <c r="C156" s="287">
        <v>1500</v>
      </c>
      <c r="D156" s="287">
        <v>1500</v>
      </c>
      <c r="E156" s="287">
        <v>1500</v>
      </c>
      <c r="F156" s="287">
        <v>1500</v>
      </c>
      <c r="G156" s="287">
        <v>1500</v>
      </c>
      <c r="H156" s="287">
        <v>1500</v>
      </c>
      <c r="I156" s="287">
        <v>1500</v>
      </c>
      <c r="J156" s="287">
        <v>1500</v>
      </c>
      <c r="K156" s="287">
        <v>1500</v>
      </c>
      <c r="L156" s="287">
        <v>1500</v>
      </c>
      <c r="M156" s="287">
        <v>1500</v>
      </c>
      <c r="N156" s="287">
        <v>0</v>
      </c>
      <c r="O156" s="808">
        <f t="shared" si="103"/>
        <v>0</v>
      </c>
      <c r="P156" s="1"/>
    </row>
    <row r="157" spans="1:23" x14ac:dyDescent="0.25">
      <c r="A157" s="288" t="s">
        <v>96</v>
      </c>
      <c r="B157" s="561" t="s">
        <v>347</v>
      </c>
      <c r="C157" s="290">
        <v>5000</v>
      </c>
      <c r="D157" s="290">
        <v>5000</v>
      </c>
      <c r="E157" s="290">
        <v>5000</v>
      </c>
      <c r="F157" s="737">
        <f>5000-2000</f>
        <v>3000</v>
      </c>
      <c r="G157" s="290">
        <f t="shared" ref="G157:M157" si="126">5000-2000</f>
        <v>3000</v>
      </c>
      <c r="H157" s="290">
        <f t="shared" si="126"/>
        <v>3000</v>
      </c>
      <c r="I157" s="290">
        <f t="shared" si="126"/>
        <v>3000</v>
      </c>
      <c r="J157" s="290">
        <f t="shared" si="126"/>
        <v>3000</v>
      </c>
      <c r="K157" s="290">
        <f t="shared" si="126"/>
        <v>3000</v>
      </c>
      <c r="L157" s="290">
        <f t="shared" si="126"/>
        <v>3000</v>
      </c>
      <c r="M157" s="290">
        <f t="shared" si="126"/>
        <v>3000</v>
      </c>
      <c r="N157" s="290">
        <v>2943</v>
      </c>
      <c r="O157" s="808">
        <f t="shared" si="103"/>
        <v>0.98099999999999998</v>
      </c>
      <c r="P157" s="1"/>
    </row>
    <row r="158" spans="1:23" x14ac:dyDescent="0.25">
      <c r="A158" s="279" t="s">
        <v>101</v>
      </c>
      <c r="B158" s="294" t="s">
        <v>236</v>
      </c>
      <c r="C158" s="281">
        <v>390000</v>
      </c>
      <c r="D158" s="281">
        <v>390000</v>
      </c>
      <c r="E158" s="281">
        <v>390000</v>
      </c>
      <c r="F158" s="731">
        <f>390000-50000</f>
        <v>340000</v>
      </c>
      <c r="G158" s="281">
        <f t="shared" ref="G158:M158" si="127">390000-50000</f>
        <v>340000</v>
      </c>
      <c r="H158" s="281">
        <f t="shared" si="127"/>
        <v>340000</v>
      </c>
      <c r="I158" s="281">
        <f t="shared" si="127"/>
        <v>340000</v>
      </c>
      <c r="J158" s="281">
        <f t="shared" si="127"/>
        <v>340000</v>
      </c>
      <c r="K158" s="281">
        <f t="shared" si="127"/>
        <v>340000</v>
      </c>
      <c r="L158" s="281">
        <f t="shared" si="127"/>
        <v>340000</v>
      </c>
      <c r="M158" s="281">
        <f t="shared" si="127"/>
        <v>340000</v>
      </c>
      <c r="N158" s="281">
        <v>0</v>
      </c>
      <c r="O158" s="808">
        <f t="shared" si="103"/>
        <v>0</v>
      </c>
      <c r="P158" s="1"/>
    </row>
    <row r="159" spans="1:23" x14ac:dyDescent="0.25">
      <c r="A159" s="288" t="s">
        <v>188</v>
      </c>
      <c r="B159" s="289" t="s">
        <v>189</v>
      </c>
      <c r="C159" s="290">
        <v>25000</v>
      </c>
      <c r="D159" s="290">
        <v>25000</v>
      </c>
      <c r="E159" s="290">
        <v>25000</v>
      </c>
      <c r="F159" s="290">
        <v>25000</v>
      </c>
      <c r="G159" s="290">
        <v>25000</v>
      </c>
      <c r="H159" s="290">
        <v>25000</v>
      </c>
      <c r="I159" s="290">
        <v>25000</v>
      </c>
      <c r="J159" s="290">
        <v>25000</v>
      </c>
      <c r="K159" s="290">
        <v>25000</v>
      </c>
      <c r="L159" s="290">
        <v>25000</v>
      </c>
      <c r="M159" s="290">
        <v>25000</v>
      </c>
      <c r="N159" s="290">
        <v>0</v>
      </c>
      <c r="O159" s="808">
        <f t="shared" si="103"/>
        <v>0</v>
      </c>
      <c r="P159" s="1"/>
    </row>
    <row r="160" spans="1:23" x14ac:dyDescent="0.25">
      <c r="A160" s="297" t="s">
        <v>188</v>
      </c>
      <c r="B160" s="294" t="s">
        <v>242</v>
      </c>
      <c r="C160" s="281">
        <v>30000</v>
      </c>
      <c r="D160" s="281">
        <v>30000</v>
      </c>
      <c r="E160" s="281">
        <v>30000</v>
      </c>
      <c r="F160" s="731">
        <f>30000+37000</f>
        <v>67000</v>
      </c>
      <c r="G160" s="281">
        <f t="shared" ref="G160:M160" si="128">30000+37000</f>
        <v>67000</v>
      </c>
      <c r="H160" s="281">
        <f t="shared" si="128"/>
        <v>67000</v>
      </c>
      <c r="I160" s="281">
        <f t="shared" si="128"/>
        <v>67000</v>
      </c>
      <c r="J160" s="281">
        <f t="shared" si="128"/>
        <v>67000</v>
      </c>
      <c r="K160" s="281">
        <f t="shared" si="128"/>
        <v>67000</v>
      </c>
      <c r="L160" s="281">
        <f t="shared" si="128"/>
        <v>67000</v>
      </c>
      <c r="M160" s="281">
        <f t="shared" si="128"/>
        <v>67000</v>
      </c>
      <c r="N160" s="281">
        <v>4980</v>
      </c>
      <c r="O160" s="808">
        <f t="shared" si="103"/>
        <v>7.4328358208955225E-2</v>
      </c>
      <c r="P160" s="27"/>
    </row>
    <row r="161" spans="1:23" x14ac:dyDescent="0.25">
      <c r="A161" s="300" t="s">
        <v>108</v>
      </c>
      <c r="B161" s="298" t="s">
        <v>549</v>
      </c>
      <c r="C161" s="281">
        <v>10000</v>
      </c>
      <c r="D161" s="281">
        <v>10000</v>
      </c>
      <c r="E161" s="281">
        <v>10000</v>
      </c>
      <c r="F161" s="281">
        <v>10000</v>
      </c>
      <c r="G161" s="281">
        <v>10000</v>
      </c>
      <c r="H161" s="281">
        <v>10000</v>
      </c>
      <c r="I161" s="281">
        <v>10000</v>
      </c>
      <c r="J161" s="281">
        <v>10000</v>
      </c>
      <c r="K161" s="731">
        <f>10000+6000</f>
        <v>16000</v>
      </c>
      <c r="L161" s="281">
        <f>10000+6000</f>
        <v>16000</v>
      </c>
      <c r="M161" s="281">
        <f>10000+6000</f>
        <v>16000</v>
      </c>
      <c r="N161" s="281">
        <v>0</v>
      </c>
      <c r="O161" s="808">
        <f t="shared" si="103"/>
        <v>0</v>
      </c>
      <c r="P161" s="1"/>
    </row>
    <row r="162" spans="1:23" x14ac:dyDescent="0.25">
      <c r="A162" s="297" t="s">
        <v>108</v>
      </c>
      <c r="B162" s="770" t="s">
        <v>235</v>
      </c>
      <c r="C162" s="281">
        <v>100000</v>
      </c>
      <c r="D162" s="281">
        <v>100000</v>
      </c>
      <c r="E162" s="281">
        <v>100000</v>
      </c>
      <c r="F162" s="731">
        <f>100000-38000</f>
        <v>62000</v>
      </c>
      <c r="G162" s="281">
        <f t="shared" ref="G162:M162" si="129">100000-38000</f>
        <v>62000</v>
      </c>
      <c r="H162" s="281">
        <f t="shared" si="129"/>
        <v>62000</v>
      </c>
      <c r="I162" s="281">
        <f t="shared" si="129"/>
        <v>62000</v>
      </c>
      <c r="J162" s="281">
        <f t="shared" si="129"/>
        <v>62000</v>
      </c>
      <c r="K162" s="281">
        <f t="shared" si="129"/>
        <v>62000</v>
      </c>
      <c r="L162" s="281">
        <f t="shared" si="129"/>
        <v>62000</v>
      </c>
      <c r="M162" s="281">
        <f t="shared" si="129"/>
        <v>62000</v>
      </c>
      <c r="N162" s="281">
        <v>1014</v>
      </c>
      <c r="O162" s="808">
        <f t="shared" si="103"/>
        <v>1.6354838709677421E-2</v>
      </c>
      <c r="P162" s="27"/>
    </row>
    <row r="163" spans="1:23" ht="15.75" thickBot="1" x14ac:dyDescent="0.3">
      <c r="A163" s="768" t="s">
        <v>112</v>
      </c>
      <c r="B163" s="769" t="s">
        <v>540</v>
      </c>
      <c r="C163" s="285">
        <v>0</v>
      </c>
      <c r="D163" s="285">
        <v>0</v>
      </c>
      <c r="E163" s="285">
        <v>0</v>
      </c>
      <c r="F163" s="756">
        <v>70000</v>
      </c>
      <c r="G163" s="285">
        <v>70000</v>
      </c>
      <c r="H163" s="285">
        <v>70000</v>
      </c>
      <c r="I163" s="285">
        <v>70000</v>
      </c>
      <c r="J163" s="285">
        <v>70000</v>
      </c>
      <c r="K163" s="756">
        <f>70000+19000</f>
        <v>89000</v>
      </c>
      <c r="L163" s="285">
        <f>70000+19000</f>
        <v>89000</v>
      </c>
      <c r="M163" s="285">
        <f>70000+19000</f>
        <v>89000</v>
      </c>
      <c r="N163" s="285">
        <v>0</v>
      </c>
      <c r="O163" s="808">
        <f t="shared" si="103"/>
        <v>0</v>
      </c>
      <c r="P163" s="27"/>
    </row>
    <row r="164" spans="1:23" x14ac:dyDescent="0.25">
      <c r="A164" s="771" t="s">
        <v>123</v>
      </c>
      <c r="B164" s="772" t="s">
        <v>193</v>
      </c>
      <c r="C164" s="773">
        <v>21000</v>
      </c>
      <c r="D164" s="773">
        <v>21000</v>
      </c>
      <c r="E164" s="773">
        <v>21000</v>
      </c>
      <c r="F164" s="773">
        <v>21000</v>
      </c>
      <c r="G164" s="773">
        <v>21000</v>
      </c>
      <c r="H164" s="773">
        <v>21000</v>
      </c>
      <c r="I164" s="773">
        <v>21000</v>
      </c>
      <c r="J164" s="773">
        <v>21000</v>
      </c>
      <c r="K164" s="773">
        <v>21000</v>
      </c>
      <c r="L164" s="773">
        <v>21000</v>
      </c>
      <c r="M164" s="773">
        <v>21000</v>
      </c>
      <c r="N164" s="773">
        <v>0</v>
      </c>
      <c r="O164" s="808">
        <f t="shared" si="103"/>
        <v>0</v>
      </c>
      <c r="P164" s="27"/>
    </row>
    <row r="165" spans="1:23" x14ac:dyDescent="0.25">
      <c r="A165" s="303" t="s">
        <v>123</v>
      </c>
      <c r="B165" s="304" t="s">
        <v>541</v>
      </c>
      <c r="C165" s="293">
        <v>8000</v>
      </c>
      <c r="D165" s="293">
        <v>8000</v>
      </c>
      <c r="E165" s="293">
        <v>8000</v>
      </c>
      <c r="F165" s="730">
        <f>8000+246000</f>
        <v>254000</v>
      </c>
      <c r="G165" s="293">
        <f t="shared" ref="G165:M165" si="130">8000+246000</f>
        <v>254000</v>
      </c>
      <c r="H165" s="293">
        <f t="shared" si="130"/>
        <v>254000</v>
      </c>
      <c r="I165" s="293">
        <f t="shared" si="130"/>
        <v>254000</v>
      </c>
      <c r="J165" s="293">
        <f t="shared" si="130"/>
        <v>254000</v>
      </c>
      <c r="K165" s="293">
        <f t="shared" si="130"/>
        <v>254000</v>
      </c>
      <c r="L165" s="293">
        <f t="shared" si="130"/>
        <v>254000</v>
      </c>
      <c r="M165" s="293">
        <f t="shared" si="130"/>
        <v>254000</v>
      </c>
      <c r="N165" s="293">
        <v>0</v>
      </c>
      <c r="O165" s="808">
        <f t="shared" si="103"/>
        <v>0</v>
      </c>
      <c r="P165" s="1"/>
    </row>
    <row r="166" spans="1:23" x14ac:dyDescent="0.25">
      <c r="A166" s="303" t="s">
        <v>125</v>
      </c>
      <c r="B166" s="304" t="s">
        <v>522</v>
      </c>
      <c r="C166" s="293">
        <v>0</v>
      </c>
      <c r="D166" s="293">
        <v>0</v>
      </c>
      <c r="E166" s="293">
        <v>0</v>
      </c>
      <c r="F166" s="730">
        <v>15000</v>
      </c>
      <c r="G166" s="293">
        <v>15000</v>
      </c>
      <c r="H166" s="293">
        <v>15000</v>
      </c>
      <c r="I166" s="293">
        <v>15000</v>
      </c>
      <c r="J166" s="293">
        <v>15000</v>
      </c>
      <c r="K166" s="730">
        <f>15000-15000</f>
        <v>0</v>
      </c>
      <c r="L166" s="293">
        <f>15000-15000</f>
        <v>0</v>
      </c>
      <c r="M166" s="293">
        <f>15000-15000</f>
        <v>0</v>
      </c>
      <c r="N166" s="293">
        <v>0</v>
      </c>
      <c r="O166" s="808">
        <f t="shared" si="103"/>
        <v>0</v>
      </c>
      <c r="P166" s="1"/>
    </row>
    <row r="167" spans="1:23" x14ac:dyDescent="0.25">
      <c r="A167" s="303" t="s">
        <v>125</v>
      </c>
      <c r="B167" s="294" t="s">
        <v>259</v>
      </c>
      <c r="C167" s="293">
        <v>200000</v>
      </c>
      <c r="D167" s="293">
        <v>200000</v>
      </c>
      <c r="E167" s="293">
        <v>200000</v>
      </c>
      <c r="F167" s="293">
        <v>200000</v>
      </c>
      <c r="G167" s="293">
        <v>200000</v>
      </c>
      <c r="H167" s="293">
        <v>200000</v>
      </c>
      <c r="I167" s="293">
        <v>200000</v>
      </c>
      <c r="J167" s="293">
        <v>200000</v>
      </c>
      <c r="K167" s="293">
        <v>200000</v>
      </c>
      <c r="L167" s="293">
        <v>200000</v>
      </c>
      <c r="M167" s="293">
        <v>200000</v>
      </c>
      <c r="N167" s="293">
        <v>0</v>
      </c>
      <c r="O167" s="808">
        <f t="shared" si="103"/>
        <v>0</v>
      </c>
      <c r="P167" s="1"/>
    </row>
    <row r="168" spans="1:23" ht="15.75" thickBot="1" x14ac:dyDescent="0.3">
      <c r="A168" s="299" t="s">
        <v>125</v>
      </c>
      <c r="B168" s="774" t="s">
        <v>523</v>
      </c>
      <c r="C168" s="284">
        <v>160886</v>
      </c>
      <c r="D168" s="284">
        <v>160886</v>
      </c>
      <c r="E168" s="284">
        <v>160886</v>
      </c>
      <c r="F168" s="753">
        <f>160886-100000</f>
        <v>60886</v>
      </c>
      <c r="G168" s="284">
        <f t="shared" ref="G168" si="131">160886-100000</f>
        <v>60886</v>
      </c>
      <c r="H168" s="284">
        <f>160886-100000</f>
        <v>60886</v>
      </c>
      <c r="I168" s="284">
        <f>160886-100000</f>
        <v>60886</v>
      </c>
      <c r="J168" s="284">
        <f t="shared" ref="J168" si="132">160886-100000</f>
        <v>60886</v>
      </c>
      <c r="K168" s="753">
        <f>160886-100000-10000</f>
        <v>50886</v>
      </c>
      <c r="L168" s="284">
        <f>160886-100000-10000</f>
        <v>50886</v>
      </c>
      <c r="M168" s="284">
        <f>160886-100000-10000</f>
        <v>50886</v>
      </c>
      <c r="N168" s="284">
        <v>0</v>
      </c>
      <c r="O168" s="808">
        <f t="shared" si="103"/>
        <v>0</v>
      </c>
      <c r="P168" s="1"/>
    </row>
    <row r="169" spans="1:23" ht="15.75" thickBot="1" x14ac:dyDescent="0.3">
      <c r="A169" s="775" t="s">
        <v>134</v>
      </c>
      <c r="B169" s="407" t="s">
        <v>261</v>
      </c>
      <c r="C169" s="408">
        <v>494560</v>
      </c>
      <c r="D169" s="408">
        <v>494560</v>
      </c>
      <c r="E169" s="408">
        <v>494560</v>
      </c>
      <c r="F169" s="408">
        <v>494560</v>
      </c>
      <c r="G169" s="408">
        <v>494560</v>
      </c>
      <c r="H169" s="408">
        <f>494560</f>
        <v>494560</v>
      </c>
      <c r="I169" s="408">
        <f>494560</f>
        <v>494560</v>
      </c>
      <c r="J169" s="408">
        <f t="shared" ref="J169:M169" si="133">494560</f>
        <v>494560</v>
      </c>
      <c r="K169" s="408">
        <f t="shared" si="133"/>
        <v>494560</v>
      </c>
      <c r="L169" s="408">
        <f t="shared" si="133"/>
        <v>494560</v>
      </c>
      <c r="M169" s="408">
        <f t="shared" si="133"/>
        <v>494560</v>
      </c>
      <c r="N169" s="408">
        <v>0</v>
      </c>
      <c r="O169" s="808">
        <f t="shared" si="103"/>
        <v>0</v>
      </c>
      <c r="P169" s="1"/>
    </row>
    <row r="170" spans="1:23" x14ac:dyDescent="0.25">
      <c r="A170" s="311"/>
      <c r="B170" s="312"/>
      <c r="C170" s="313"/>
      <c r="D170" s="313"/>
      <c r="E170" s="313"/>
      <c r="F170" s="313"/>
      <c r="G170" s="313"/>
      <c r="H170" s="313"/>
      <c r="I170" s="313"/>
      <c r="J170" s="313"/>
      <c r="K170" s="313"/>
      <c r="L170" s="313"/>
      <c r="M170" s="313"/>
      <c r="N170" s="313"/>
      <c r="O170" s="808"/>
      <c r="P170" s="313"/>
    </row>
    <row r="171" spans="1:23" x14ac:dyDescent="0.25">
      <c r="A171" s="314"/>
      <c r="B171" s="315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808"/>
      <c r="P171" s="316"/>
    </row>
    <row r="172" spans="1:23" ht="18.75" thickBot="1" x14ac:dyDescent="0.3">
      <c r="A172" s="868" t="s">
        <v>195</v>
      </c>
      <c r="B172" s="869"/>
      <c r="C172" s="869"/>
      <c r="D172" s="869"/>
      <c r="E172" s="869"/>
      <c r="F172" s="869"/>
      <c r="G172" s="869"/>
      <c r="H172" s="869"/>
      <c r="I172" s="869"/>
      <c r="J172" s="869"/>
      <c r="K172" s="869"/>
      <c r="L172" s="869"/>
      <c r="M172" s="869"/>
      <c r="N172" s="869"/>
      <c r="O172" s="808"/>
      <c r="P172" s="1"/>
    </row>
    <row r="173" spans="1:23" ht="27" customHeight="1" thickBot="1" x14ac:dyDescent="0.3">
      <c r="A173" s="864" t="s">
        <v>1</v>
      </c>
      <c r="B173" s="865"/>
      <c r="C173" s="413" t="s">
        <v>454</v>
      </c>
      <c r="D173" s="413" t="s">
        <v>496</v>
      </c>
      <c r="E173" s="413" t="s">
        <v>547</v>
      </c>
      <c r="F173" s="413" t="s">
        <v>497</v>
      </c>
      <c r="G173" s="413" t="s">
        <v>568</v>
      </c>
      <c r="H173" s="413" t="s">
        <v>569</v>
      </c>
      <c r="I173" s="413" t="s">
        <v>641</v>
      </c>
      <c r="J173" s="413" t="s">
        <v>657</v>
      </c>
      <c r="K173" s="413" t="s">
        <v>658</v>
      </c>
      <c r="L173" s="413" t="s">
        <v>690</v>
      </c>
      <c r="M173" s="413" t="s">
        <v>689</v>
      </c>
      <c r="N173" s="413" t="s">
        <v>642</v>
      </c>
      <c r="O173" s="808"/>
      <c r="P173" s="1"/>
    </row>
    <row r="174" spans="1:23" ht="16.5" thickBot="1" x14ac:dyDescent="0.3">
      <c r="A174" s="441" t="s">
        <v>196</v>
      </c>
      <c r="B174" s="442"/>
      <c r="C174" s="443">
        <f>SUM(C175:C186)</f>
        <v>728546</v>
      </c>
      <c r="D174" s="443">
        <f>SUM(D175:D186)</f>
        <v>728546</v>
      </c>
      <c r="E174" s="443">
        <f>SUM(E175:E186)</f>
        <v>711516</v>
      </c>
      <c r="F174" s="443">
        <f>SUM(F175:F186)</f>
        <v>714937</v>
      </c>
      <c r="G174" s="443">
        <f t="shared" ref="G174:L174" si="134">SUM(G175:G186)</f>
        <v>714937</v>
      </c>
      <c r="H174" s="443">
        <f t="shared" si="134"/>
        <v>714937</v>
      </c>
      <c r="I174" s="443">
        <f t="shared" si="134"/>
        <v>714937</v>
      </c>
      <c r="J174" s="443">
        <f t="shared" si="134"/>
        <v>714937</v>
      </c>
      <c r="K174" s="443">
        <f t="shared" si="134"/>
        <v>714937</v>
      </c>
      <c r="L174" s="443">
        <f t="shared" si="134"/>
        <v>714937</v>
      </c>
      <c r="M174" s="443">
        <f t="shared" ref="M174" si="135">SUM(M175:M186)</f>
        <v>714937</v>
      </c>
      <c r="N174" s="443">
        <f>SUM(N175:N186)</f>
        <v>77136</v>
      </c>
      <c r="O174" s="808">
        <f t="shared" si="103"/>
        <v>0.10789202405246896</v>
      </c>
      <c r="P174" s="27">
        <f>D174-C174</f>
        <v>0</v>
      </c>
      <c r="Q174" s="27">
        <f>E174-D174</f>
        <v>-17030</v>
      </c>
      <c r="R174" s="27">
        <f>F174-E174</f>
        <v>3421</v>
      </c>
      <c r="S174" s="27">
        <f>G174-F174</f>
        <v>0</v>
      </c>
      <c r="T174" s="27">
        <f>H174-G174</f>
        <v>0</v>
      </c>
      <c r="U174" s="27">
        <f>I174-H174</f>
        <v>0</v>
      </c>
      <c r="V174" s="27">
        <f t="shared" ref="V174:W174" si="136">J174-I174</f>
        <v>0</v>
      </c>
      <c r="W174" s="27">
        <f t="shared" si="136"/>
        <v>0</v>
      </c>
    </row>
    <row r="175" spans="1:23" x14ac:dyDescent="0.25">
      <c r="A175" s="432">
        <v>453</v>
      </c>
      <c r="B175" s="433" t="s">
        <v>466</v>
      </c>
      <c r="C175" s="64">
        <f>3000+1900</f>
        <v>4900</v>
      </c>
      <c r="D175" s="64">
        <f>3000+1900</f>
        <v>4900</v>
      </c>
      <c r="E175" s="717">
        <f>3780+1810</f>
        <v>5590</v>
      </c>
      <c r="F175" s="64">
        <f>3780+1810</f>
        <v>5590</v>
      </c>
      <c r="G175" s="64">
        <f t="shared" ref="G175:M175" si="137">3780+1810</f>
        <v>5590</v>
      </c>
      <c r="H175" s="64">
        <f t="shared" si="137"/>
        <v>5590</v>
      </c>
      <c r="I175" s="64">
        <f t="shared" si="137"/>
        <v>5590</v>
      </c>
      <c r="J175" s="64">
        <f t="shared" si="137"/>
        <v>5590</v>
      </c>
      <c r="K175" s="64">
        <f t="shared" si="137"/>
        <v>5590</v>
      </c>
      <c r="L175" s="64">
        <f t="shared" si="137"/>
        <v>5590</v>
      </c>
      <c r="M175" s="64">
        <f t="shared" si="137"/>
        <v>5590</v>
      </c>
      <c r="N175" s="64">
        <v>1970</v>
      </c>
      <c r="O175" s="808">
        <f t="shared" si="103"/>
        <v>0.35241502683363146</v>
      </c>
      <c r="P175" s="27"/>
    </row>
    <row r="176" spans="1:23" x14ac:dyDescent="0.25">
      <c r="A176" s="317">
        <v>453</v>
      </c>
      <c r="B176" s="318" t="s">
        <v>465</v>
      </c>
      <c r="C176" s="319">
        <v>1500</v>
      </c>
      <c r="D176" s="319">
        <v>1500</v>
      </c>
      <c r="E176" s="319">
        <v>1500</v>
      </c>
      <c r="F176" s="319">
        <v>1500</v>
      </c>
      <c r="G176" s="319">
        <v>1500</v>
      </c>
      <c r="H176" s="319">
        <v>1500</v>
      </c>
      <c r="I176" s="319">
        <v>1500</v>
      </c>
      <c r="J176" s="319">
        <v>1500</v>
      </c>
      <c r="K176" s="319">
        <v>1500</v>
      </c>
      <c r="L176" s="319">
        <v>1500</v>
      </c>
      <c r="M176" s="319">
        <v>1500</v>
      </c>
      <c r="N176" s="319">
        <v>0</v>
      </c>
      <c r="O176" s="808">
        <f t="shared" si="103"/>
        <v>0</v>
      </c>
      <c r="P176" s="1"/>
    </row>
    <row r="177" spans="1:23" x14ac:dyDescent="0.25">
      <c r="A177" s="317">
        <v>453</v>
      </c>
      <c r="B177" s="433" t="s">
        <v>338</v>
      </c>
      <c r="C177" s="319">
        <v>29750</v>
      </c>
      <c r="D177" s="319">
        <v>29750</v>
      </c>
      <c r="E177" s="760">
        <f>29750-17050</f>
        <v>12700</v>
      </c>
      <c r="F177" s="319">
        <f>29750-17050</f>
        <v>12700</v>
      </c>
      <c r="G177" s="319">
        <f t="shared" ref="G177:M177" si="138">29750-17050</f>
        <v>12700</v>
      </c>
      <c r="H177" s="319">
        <f t="shared" si="138"/>
        <v>12700</v>
      </c>
      <c r="I177" s="319">
        <f t="shared" si="138"/>
        <v>12700</v>
      </c>
      <c r="J177" s="319">
        <f t="shared" si="138"/>
        <v>12700</v>
      </c>
      <c r="K177" s="319">
        <f t="shared" si="138"/>
        <v>12700</v>
      </c>
      <c r="L177" s="319">
        <f t="shared" si="138"/>
        <v>12700</v>
      </c>
      <c r="M177" s="319">
        <f t="shared" si="138"/>
        <v>12700</v>
      </c>
      <c r="N177" s="319">
        <v>12679</v>
      </c>
      <c r="O177" s="808">
        <f t="shared" si="103"/>
        <v>0.99834645669291333</v>
      </c>
      <c r="P177" s="27"/>
    </row>
    <row r="178" spans="1:23" x14ac:dyDescent="0.25">
      <c r="A178" s="317">
        <v>453</v>
      </c>
      <c r="B178" s="318" t="s">
        <v>307</v>
      </c>
      <c r="C178" s="319">
        <v>886</v>
      </c>
      <c r="D178" s="319">
        <v>886</v>
      </c>
      <c r="E178" s="319">
        <v>886</v>
      </c>
      <c r="F178" s="319">
        <v>886</v>
      </c>
      <c r="G178" s="319">
        <v>886</v>
      </c>
      <c r="H178" s="319">
        <v>886</v>
      </c>
      <c r="I178" s="319">
        <v>886</v>
      </c>
      <c r="J178" s="319">
        <v>886</v>
      </c>
      <c r="K178" s="319">
        <v>886</v>
      </c>
      <c r="L178" s="319">
        <v>886</v>
      </c>
      <c r="M178" s="319">
        <v>886</v>
      </c>
      <c r="N178" s="319">
        <v>0</v>
      </c>
      <c r="O178" s="808">
        <f t="shared" si="103"/>
        <v>0</v>
      </c>
      <c r="P178" s="1"/>
    </row>
    <row r="179" spans="1:23" x14ac:dyDescent="0.25">
      <c r="A179" s="317">
        <v>453</v>
      </c>
      <c r="B179" s="433" t="s">
        <v>339</v>
      </c>
      <c r="C179" s="319">
        <v>2030</v>
      </c>
      <c r="D179" s="319">
        <v>2030</v>
      </c>
      <c r="E179" s="319">
        <f>2030</f>
        <v>2030</v>
      </c>
      <c r="F179" s="319">
        <v>2030</v>
      </c>
      <c r="G179" s="319">
        <v>2030</v>
      </c>
      <c r="H179" s="319">
        <v>2030</v>
      </c>
      <c r="I179" s="319">
        <v>2030</v>
      </c>
      <c r="J179" s="319">
        <v>2030</v>
      </c>
      <c r="K179" s="319">
        <v>2030</v>
      </c>
      <c r="L179" s="319">
        <v>2030</v>
      </c>
      <c r="M179" s="319">
        <v>2030</v>
      </c>
      <c r="N179" s="319">
        <v>2024</v>
      </c>
      <c r="O179" s="808">
        <f t="shared" si="103"/>
        <v>0.99704433497536948</v>
      </c>
      <c r="P179" s="27"/>
    </row>
    <row r="180" spans="1:23" ht="15.75" thickBot="1" x14ac:dyDescent="0.3">
      <c r="A180" s="320">
        <v>453</v>
      </c>
      <c r="B180" s="321" t="s">
        <v>502</v>
      </c>
      <c r="C180" s="322">
        <v>2000</v>
      </c>
      <c r="D180" s="322">
        <v>2000</v>
      </c>
      <c r="E180" s="718">
        <f>2000-670</f>
        <v>1330</v>
      </c>
      <c r="F180" s="322">
        <f>2000-670</f>
        <v>1330</v>
      </c>
      <c r="G180" s="322">
        <f t="shared" ref="G180:M180" si="139">2000-670</f>
        <v>1330</v>
      </c>
      <c r="H180" s="322">
        <f t="shared" si="139"/>
        <v>1330</v>
      </c>
      <c r="I180" s="322">
        <f t="shared" si="139"/>
        <v>1330</v>
      </c>
      <c r="J180" s="322">
        <f t="shared" si="139"/>
        <v>1330</v>
      </c>
      <c r="K180" s="322">
        <f t="shared" si="139"/>
        <v>1330</v>
      </c>
      <c r="L180" s="322">
        <f t="shared" si="139"/>
        <v>1330</v>
      </c>
      <c r="M180" s="322">
        <f t="shared" si="139"/>
        <v>1330</v>
      </c>
      <c r="N180" s="322">
        <v>1329</v>
      </c>
      <c r="O180" s="808">
        <f t="shared" si="103"/>
        <v>0.99924812030075183</v>
      </c>
      <c r="P180" s="27">
        <f>SUM(H175:H180)</f>
        <v>24036</v>
      </c>
      <c r="Q180" s="27">
        <f>SUM(N175:N180)</f>
        <v>18002</v>
      </c>
    </row>
    <row r="181" spans="1:23" x14ac:dyDescent="0.25">
      <c r="A181" s="713">
        <v>454</v>
      </c>
      <c r="B181" s="400" t="s">
        <v>342</v>
      </c>
      <c r="C181" s="714">
        <f>160000-63500-3000</f>
        <v>93500</v>
      </c>
      <c r="D181" s="714">
        <f>160000-63500-3000</f>
        <v>93500</v>
      </c>
      <c r="E181" s="714">
        <f>160000-63500-3000</f>
        <v>93500</v>
      </c>
      <c r="F181" s="714">
        <f>160000-63500-3000</f>
        <v>93500</v>
      </c>
      <c r="G181" s="714">
        <f t="shared" ref="G181:M181" si="140">160000-63500-3000</f>
        <v>93500</v>
      </c>
      <c r="H181" s="714">
        <f t="shared" si="140"/>
        <v>93500</v>
      </c>
      <c r="I181" s="714">
        <f t="shared" si="140"/>
        <v>93500</v>
      </c>
      <c r="J181" s="714">
        <f t="shared" si="140"/>
        <v>93500</v>
      </c>
      <c r="K181" s="714">
        <f t="shared" si="140"/>
        <v>93500</v>
      </c>
      <c r="L181" s="714">
        <f t="shared" si="140"/>
        <v>93500</v>
      </c>
      <c r="M181" s="714">
        <f t="shared" si="140"/>
        <v>93500</v>
      </c>
      <c r="N181" s="714">
        <v>28776</v>
      </c>
      <c r="O181" s="808">
        <f t="shared" si="103"/>
        <v>0.30776470588235294</v>
      </c>
      <c r="P181" s="1"/>
    </row>
    <row r="182" spans="1:23" x14ac:dyDescent="0.25">
      <c r="A182" s="713">
        <v>454</v>
      </c>
      <c r="B182" s="400" t="s">
        <v>341</v>
      </c>
      <c r="C182" s="714">
        <f>575840</f>
        <v>575840</v>
      </c>
      <c r="D182" s="714">
        <f>575840</f>
        <v>575840</v>
      </c>
      <c r="E182" s="714">
        <f>575840</f>
        <v>575840</v>
      </c>
      <c r="F182" s="714">
        <f>575840</f>
        <v>575840</v>
      </c>
      <c r="G182" s="714">
        <f t="shared" ref="G182:M182" si="141">575840</f>
        <v>575840</v>
      </c>
      <c r="H182" s="714">
        <f t="shared" si="141"/>
        <v>575840</v>
      </c>
      <c r="I182" s="714">
        <f t="shared" si="141"/>
        <v>575840</v>
      </c>
      <c r="J182" s="714">
        <f t="shared" si="141"/>
        <v>575840</v>
      </c>
      <c r="K182" s="714">
        <f t="shared" si="141"/>
        <v>575840</v>
      </c>
      <c r="L182" s="714">
        <f t="shared" si="141"/>
        <v>575840</v>
      </c>
      <c r="M182" s="714">
        <f t="shared" si="141"/>
        <v>575840</v>
      </c>
      <c r="N182" s="714">
        <v>8937</v>
      </c>
      <c r="O182" s="808">
        <f t="shared" si="103"/>
        <v>1.5519936093359266E-2</v>
      </c>
      <c r="P182" s="1"/>
    </row>
    <row r="183" spans="1:23" ht="15.75" thickBot="1" x14ac:dyDescent="0.3">
      <c r="A183" s="558">
        <v>454</v>
      </c>
      <c r="B183" s="559" t="s">
        <v>343</v>
      </c>
      <c r="C183" s="560">
        <v>0</v>
      </c>
      <c r="D183" s="560">
        <v>0</v>
      </c>
      <c r="E183" s="560">
        <v>0</v>
      </c>
      <c r="F183" s="560">
        <v>0</v>
      </c>
      <c r="G183" s="560">
        <v>0</v>
      </c>
      <c r="H183" s="560">
        <v>0</v>
      </c>
      <c r="I183" s="560">
        <v>0</v>
      </c>
      <c r="J183" s="560">
        <v>0</v>
      </c>
      <c r="K183" s="560">
        <v>0</v>
      </c>
      <c r="L183" s="560">
        <v>0</v>
      </c>
      <c r="M183" s="560">
        <v>0</v>
      </c>
      <c r="N183" s="560">
        <v>0</v>
      </c>
      <c r="O183" s="808">
        <v>0</v>
      </c>
      <c r="P183" s="27">
        <f>SUM(H181:H183)</f>
        <v>669340</v>
      </c>
      <c r="Q183" s="27">
        <f>SUM(N181:N183)</f>
        <v>37713</v>
      </c>
    </row>
    <row r="184" spans="1:23" x14ac:dyDescent="0.25">
      <c r="A184" s="556">
        <v>456</v>
      </c>
      <c r="B184" s="400" t="s">
        <v>308</v>
      </c>
      <c r="C184" s="557">
        <v>18000</v>
      </c>
      <c r="D184" s="557">
        <v>18000</v>
      </c>
      <c r="E184" s="557">
        <v>18000</v>
      </c>
      <c r="F184" s="748">
        <f>18000+3421</f>
        <v>21421</v>
      </c>
      <c r="G184" s="557">
        <f t="shared" ref="G184:M184" si="142">18000+3421</f>
        <v>21421</v>
      </c>
      <c r="H184" s="557">
        <f t="shared" si="142"/>
        <v>21421</v>
      </c>
      <c r="I184" s="557">
        <f t="shared" si="142"/>
        <v>21421</v>
      </c>
      <c r="J184" s="557">
        <f t="shared" si="142"/>
        <v>21421</v>
      </c>
      <c r="K184" s="557">
        <f t="shared" si="142"/>
        <v>21421</v>
      </c>
      <c r="L184" s="557">
        <f t="shared" si="142"/>
        <v>21421</v>
      </c>
      <c r="M184" s="557">
        <f t="shared" si="142"/>
        <v>21421</v>
      </c>
      <c r="N184" s="557">
        <v>21421</v>
      </c>
      <c r="O184" s="808">
        <f t="shared" si="103"/>
        <v>1</v>
      </c>
      <c r="P184" s="1"/>
    </row>
    <row r="185" spans="1:23" x14ac:dyDescent="0.25">
      <c r="A185" s="432">
        <v>456</v>
      </c>
      <c r="B185" s="433" t="s">
        <v>309</v>
      </c>
      <c r="C185" s="64">
        <v>40</v>
      </c>
      <c r="D185" s="64">
        <v>40</v>
      </c>
      <c r="E185" s="64">
        <v>40</v>
      </c>
      <c r="F185" s="64">
        <v>40</v>
      </c>
      <c r="G185" s="64">
        <v>40</v>
      </c>
      <c r="H185" s="64">
        <v>40</v>
      </c>
      <c r="I185" s="64">
        <v>40</v>
      </c>
      <c r="J185" s="64">
        <v>40</v>
      </c>
      <c r="K185" s="64">
        <v>40</v>
      </c>
      <c r="L185" s="64">
        <v>40</v>
      </c>
      <c r="M185" s="64">
        <v>40</v>
      </c>
      <c r="N185" s="64">
        <v>0</v>
      </c>
      <c r="O185" s="808">
        <f t="shared" si="103"/>
        <v>0</v>
      </c>
      <c r="P185" s="27"/>
      <c r="Q185" s="458"/>
    </row>
    <row r="186" spans="1:23" ht="15.75" thickBot="1" x14ac:dyDescent="0.3">
      <c r="A186" s="713">
        <v>456</v>
      </c>
      <c r="B186" s="400" t="s">
        <v>344</v>
      </c>
      <c r="C186" s="714">
        <v>100</v>
      </c>
      <c r="D186" s="714">
        <v>100</v>
      </c>
      <c r="E186" s="714">
        <v>100</v>
      </c>
      <c r="F186" s="714">
        <v>100</v>
      </c>
      <c r="G186" s="714">
        <v>100</v>
      </c>
      <c r="H186" s="714">
        <v>100</v>
      </c>
      <c r="I186" s="714">
        <v>100</v>
      </c>
      <c r="J186" s="714">
        <v>100</v>
      </c>
      <c r="K186" s="714">
        <v>100</v>
      </c>
      <c r="L186" s="714">
        <v>100</v>
      </c>
      <c r="M186" s="714">
        <v>100</v>
      </c>
      <c r="N186" s="714">
        <v>0</v>
      </c>
      <c r="O186" s="808">
        <f t="shared" si="103"/>
        <v>0</v>
      </c>
      <c r="P186" s="27">
        <f>SUM(H184:H186)</f>
        <v>21561</v>
      </c>
      <c r="Q186" s="27">
        <f>SUM(N184:N186)</f>
        <v>21421</v>
      </c>
    </row>
    <row r="187" spans="1:23" ht="16.5" thickBot="1" x14ac:dyDescent="0.3">
      <c r="A187" s="441" t="s">
        <v>198</v>
      </c>
      <c r="B187" s="442"/>
      <c r="C187" s="443">
        <f t="shared" ref="C187:N187" si="143">SUM(C188:C192)</f>
        <v>19140</v>
      </c>
      <c r="D187" s="443">
        <f t="shared" si="143"/>
        <v>19140</v>
      </c>
      <c r="E187" s="443">
        <f t="shared" si="143"/>
        <v>19140</v>
      </c>
      <c r="F187" s="443">
        <f t="shared" si="143"/>
        <v>22561</v>
      </c>
      <c r="G187" s="443">
        <f t="shared" si="143"/>
        <v>22561</v>
      </c>
      <c r="H187" s="443">
        <f t="shared" si="143"/>
        <v>22561</v>
      </c>
      <c r="I187" s="443">
        <f t="shared" si="143"/>
        <v>22561</v>
      </c>
      <c r="J187" s="443">
        <f t="shared" si="143"/>
        <v>22561</v>
      </c>
      <c r="K187" s="443">
        <f t="shared" si="143"/>
        <v>22561</v>
      </c>
      <c r="L187" s="443">
        <f t="shared" si="143"/>
        <v>22561</v>
      </c>
      <c r="M187" s="443">
        <f t="shared" ref="M187" si="144">SUM(M188:M192)</f>
        <v>22561</v>
      </c>
      <c r="N187" s="443">
        <f t="shared" si="143"/>
        <v>18327</v>
      </c>
      <c r="O187" s="808">
        <f t="shared" si="103"/>
        <v>0.81233101369620142</v>
      </c>
      <c r="P187" s="27">
        <f>D187-C187</f>
        <v>0</v>
      </c>
      <c r="Q187" s="27">
        <f>E187-D187</f>
        <v>0</v>
      </c>
      <c r="R187" s="27">
        <f>F187-E187</f>
        <v>3421</v>
      </c>
      <c r="S187" s="27">
        <f>G187-F187</f>
        <v>0</v>
      </c>
      <c r="T187" s="27">
        <f>H187-G187</f>
        <v>0</v>
      </c>
      <c r="U187" s="27">
        <f>I187-H187</f>
        <v>0</v>
      </c>
      <c r="V187" s="27">
        <f t="shared" ref="V187:W187" si="145">J187-I187</f>
        <v>0</v>
      </c>
      <c r="W187" s="27">
        <f t="shared" si="145"/>
        <v>0</v>
      </c>
    </row>
    <row r="188" spans="1:23" x14ac:dyDescent="0.25">
      <c r="A188" s="323">
        <v>819</v>
      </c>
      <c r="B188" s="324" t="s">
        <v>199</v>
      </c>
      <c r="C188" s="205">
        <v>100</v>
      </c>
      <c r="D188" s="205">
        <v>100</v>
      </c>
      <c r="E188" s="205">
        <v>100</v>
      </c>
      <c r="F188" s="205">
        <v>100</v>
      </c>
      <c r="G188" s="205">
        <v>100</v>
      </c>
      <c r="H188" s="205">
        <v>100</v>
      </c>
      <c r="I188" s="205">
        <v>100</v>
      </c>
      <c r="J188" s="205">
        <v>100</v>
      </c>
      <c r="K188" s="205">
        <v>100</v>
      </c>
      <c r="L188" s="205">
        <v>100</v>
      </c>
      <c r="M188" s="205">
        <v>100</v>
      </c>
      <c r="N188" s="205">
        <v>0</v>
      </c>
      <c r="O188" s="808">
        <f t="shared" si="103"/>
        <v>0</v>
      </c>
      <c r="P188" s="1"/>
    </row>
    <row r="189" spans="1:23" x14ac:dyDescent="0.25">
      <c r="A189" s="325">
        <v>819</v>
      </c>
      <c r="B189" s="326" t="s">
        <v>310</v>
      </c>
      <c r="C189" s="56">
        <v>40</v>
      </c>
      <c r="D189" s="56">
        <v>40</v>
      </c>
      <c r="E189" s="56">
        <v>40</v>
      </c>
      <c r="F189" s="56">
        <v>40</v>
      </c>
      <c r="G189" s="56">
        <v>40</v>
      </c>
      <c r="H189" s="56">
        <v>40</v>
      </c>
      <c r="I189" s="56">
        <v>40</v>
      </c>
      <c r="J189" s="56">
        <v>40</v>
      </c>
      <c r="K189" s="56">
        <v>40</v>
      </c>
      <c r="L189" s="56">
        <v>40</v>
      </c>
      <c r="M189" s="56">
        <v>40</v>
      </c>
      <c r="N189" s="56">
        <v>0</v>
      </c>
      <c r="O189" s="808">
        <f t="shared" si="103"/>
        <v>0</v>
      </c>
      <c r="P189" s="1"/>
    </row>
    <row r="190" spans="1:23" ht="15.75" thickBot="1" x14ac:dyDescent="0.3">
      <c r="A190" s="776">
        <v>819</v>
      </c>
      <c r="B190" s="777" t="s">
        <v>311</v>
      </c>
      <c r="C190" s="778">
        <v>18000</v>
      </c>
      <c r="D190" s="778">
        <v>18000</v>
      </c>
      <c r="E190" s="778">
        <v>18000</v>
      </c>
      <c r="F190" s="779">
        <f>18000+3421</f>
        <v>21421</v>
      </c>
      <c r="G190" s="778">
        <f t="shared" ref="G190:M190" si="146">18000+3421</f>
        <v>21421</v>
      </c>
      <c r="H190" s="778">
        <f t="shared" si="146"/>
        <v>21421</v>
      </c>
      <c r="I190" s="778">
        <f t="shared" si="146"/>
        <v>21421</v>
      </c>
      <c r="J190" s="778">
        <f t="shared" si="146"/>
        <v>21421</v>
      </c>
      <c r="K190" s="778">
        <f t="shared" si="146"/>
        <v>21421</v>
      </c>
      <c r="L190" s="778">
        <f t="shared" si="146"/>
        <v>21421</v>
      </c>
      <c r="M190" s="778">
        <f t="shared" si="146"/>
        <v>21421</v>
      </c>
      <c r="N190" s="778">
        <v>18000</v>
      </c>
      <c r="O190" s="808">
        <f t="shared" si="103"/>
        <v>0.8402969049064003</v>
      </c>
      <c r="P190" s="27">
        <f>SUM(C188:C190)</f>
        <v>18140</v>
      </c>
      <c r="Q190" s="27">
        <f>SUM(D188:D190)</f>
        <v>18140</v>
      </c>
      <c r="R190" s="27">
        <f t="shared" ref="R190" si="147">SUM(F188:F190)</f>
        <v>21561</v>
      </c>
    </row>
    <row r="191" spans="1:23" x14ac:dyDescent="0.25">
      <c r="A191" s="325">
        <v>821</v>
      </c>
      <c r="B191" s="326" t="s">
        <v>268</v>
      </c>
      <c r="C191" s="56">
        <v>0</v>
      </c>
      <c r="D191" s="56">
        <v>0</v>
      </c>
      <c r="E191" s="56">
        <v>0</v>
      </c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6">
        <v>0</v>
      </c>
      <c r="N191" s="56">
        <v>0</v>
      </c>
      <c r="O191" s="808">
        <v>0</v>
      </c>
      <c r="P191" s="1"/>
    </row>
    <row r="192" spans="1:23" ht="15.75" thickBot="1" x14ac:dyDescent="0.3">
      <c r="A192" s="327">
        <v>821</v>
      </c>
      <c r="B192" s="328" t="s">
        <v>200</v>
      </c>
      <c r="C192" s="128">
        <v>1000</v>
      </c>
      <c r="D192" s="128">
        <v>1000</v>
      </c>
      <c r="E192" s="128">
        <v>1000</v>
      </c>
      <c r="F192" s="128">
        <v>1000</v>
      </c>
      <c r="G192" s="128">
        <v>1000</v>
      </c>
      <c r="H192" s="128">
        <v>1000</v>
      </c>
      <c r="I192" s="128">
        <v>1000</v>
      </c>
      <c r="J192" s="128">
        <v>1000</v>
      </c>
      <c r="K192" s="128">
        <v>1000</v>
      </c>
      <c r="L192" s="128">
        <v>1000</v>
      </c>
      <c r="M192" s="128">
        <v>1000</v>
      </c>
      <c r="N192" s="128">
        <v>327</v>
      </c>
      <c r="O192" s="808">
        <f t="shared" si="103"/>
        <v>0.32700000000000001</v>
      </c>
      <c r="P192" s="1"/>
    </row>
    <row r="193" spans="1:26" x14ac:dyDescent="0.25">
      <c r="A193" s="314"/>
      <c r="B193" s="329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</row>
    <row r="194" spans="1:26" ht="15.75" x14ac:dyDescent="0.25">
      <c r="A194" s="105"/>
      <c r="B194" s="312"/>
      <c r="C194" s="312"/>
      <c r="D194" s="312"/>
      <c r="E194" s="312"/>
      <c r="F194" s="312"/>
      <c r="G194" s="312"/>
      <c r="H194" s="312"/>
      <c r="I194" s="312"/>
      <c r="J194" s="312"/>
      <c r="K194" s="312"/>
      <c r="L194" s="312"/>
      <c r="M194" s="312"/>
      <c r="N194" s="312"/>
      <c r="O194" s="312"/>
      <c r="P194" s="312"/>
    </row>
    <row r="195" spans="1:26" ht="18.75" thickBot="1" x14ac:dyDescent="0.3">
      <c r="A195" s="870" t="s">
        <v>201</v>
      </c>
      <c r="B195" s="871"/>
      <c r="C195" s="871"/>
      <c r="D195" s="871"/>
      <c r="E195" s="871"/>
      <c r="F195" s="871"/>
      <c r="G195" s="871"/>
      <c r="H195" s="871"/>
      <c r="I195" s="871"/>
      <c r="J195" s="871"/>
      <c r="K195" s="871"/>
      <c r="L195" s="871"/>
      <c r="M195" s="871"/>
      <c r="N195" s="871"/>
      <c r="O195" s="809"/>
      <c r="P195" s="1"/>
    </row>
    <row r="196" spans="1:26" ht="27.75" customHeight="1" thickBot="1" x14ac:dyDescent="0.3">
      <c r="A196" s="864" t="s">
        <v>1</v>
      </c>
      <c r="B196" s="865"/>
      <c r="C196" s="413" t="s">
        <v>454</v>
      </c>
      <c r="D196" s="413" t="s">
        <v>496</v>
      </c>
      <c r="E196" s="413" t="s">
        <v>547</v>
      </c>
      <c r="F196" s="413" t="s">
        <v>497</v>
      </c>
      <c r="G196" s="413" t="s">
        <v>568</v>
      </c>
      <c r="H196" s="413" t="s">
        <v>569</v>
      </c>
      <c r="I196" s="413" t="s">
        <v>641</v>
      </c>
      <c r="J196" s="413" t="s">
        <v>657</v>
      </c>
      <c r="K196" s="413" t="s">
        <v>658</v>
      </c>
      <c r="L196" s="413" t="s">
        <v>690</v>
      </c>
      <c r="M196" s="413" t="s">
        <v>689</v>
      </c>
      <c r="N196" s="413" t="s">
        <v>642</v>
      </c>
      <c r="O196" s="810"/>
      <c r="P196" s="1"/>
    </row>
    <row r="197" spans="1:26" ht="15.75" x14ac:dyDescent="0.25">
      <c r="A197" s="330" t="s">
        <v>202</v>
      </c>
      <c r="B197" s="29"/>
      <c r="C197" s="331">
        <f t="shared" ref="C197:N197" si="148">C76</f>
        <v>2548280</v>
      </c>
      <c r="D197" s="331">
        <f t="shared" si="148"/>
        <v>2548360</v>
      </c>
      <c r="E197" s="331">
        <f t="shared" si="148"/>
        <v>2656610</v>
      </c>
      <c r="F197" s="331">
        <f t="shared" si="148"/>
        <v>2657110</v>
      </c>
      <c r="G197" s="331">
        <f t="shared" si="148"/>
        <v>2718695</v>
      </c>
      <c r="H197" s="331">
        <f t="shared" si="148"/>
        <v>2756505</v>
      </c>
      <c r="I197" s="331">
        <f t="shared" si="148"/>
        <v>2759075</v>
      </c>
      <c r="J197" s="331">
        <f t="shared" si="148"/>
        <v>2759155</v>
      </c>
      <c r="K197" s="331">
        <f t="shared" si="148"/>
        <v>2764655</v>
      </c>
      <c r="L197" s="331">
        <f t="shared" si="148"/>
        <v>2768467</v>
      </c>
      <c r="M197" s="331">
        <f t="shared" ref="M197" si="149">M76</f>
        <v>2768467</v>
      </c>
      <c r="N197" s="331">
        <f t="shared" si="148"/>
        <v>1033310</v>
      </c>
      <c r="O197" s="806"/>
      <c r="P197" s="1"/>
    </row>
    <row r="198" spans="1:26" ht="15.75" x14ac:dyDescent="0.25">
      <c r="A198" s="332" t="s">
        <v>203</v>
      </c>
      <c r="B198" s="333"/>
      <c r="C198" s="334">
        <f>C142</f>
        <v>2680960</v>
      </c>
      <c r="D198" s="334">
        <f>D142</f>
        <v>2681040</v>
      </c>
      <c r="E198" s="334">
        <f>E142</f>
        <v>2772260</v>
      </c>
      <c r="F198" s="334">
        <f>F142</f>
        <v>2772760</v>
      </c>
      <c r="G198" s="334">
        <f t="shared" ref="G198:L198" si="150">G142</f>
        <v>2834345</v>
      </c>
      <c r="H198" s="334">
        <f t="shared" si="150"/>
        <v>2872155</v>
      </c>
      <c r="I198" s="334">
        <f t="shared" si="150"/>
        <v>2874725</v>
      </c>
      <c r="J198" s="334">
        <f t="shared" si="150"/>
        <v>2874805</v>
      </c>
      <c r="K198" s="334">
        <f t="shared" si="150"/>
        <v>2880305</v>
      </c>
      <c r="L198" s="334">
        <f t="shared" si="150"/>
        <v>2884117</v>
      </c>
      <c r="M198" s="334">
        <f t="shared" ref="M198" si="151">M142</f>
        <v>2884117</v>
      </c>
      <c r="N198" s="334">
        <f>N142</f>
        <v>817098</v>
      </c>
      <c r="O198" s="806"/>
      <c r="P198" s="1"/>
    </row>
    <row r="199" spans="1:26" ht="15.75" x14ac:dyDescent="0.25">
      <c r="A199" s="872" t="s">
        <v>204</v>
      </c>
      <c r="B199" s="873"/>
      <c r="C199" s="335">
        <f t="shared" ref="C199:N199" si="152">C197-C198</f>
        <v>-132680</v>
      </c>
      <c r="D199" s="335">
        <f t="shared" si="152"/>
        <v>-132680</v>
      </c>
      <c r="E199" s="335">
        <f t="shared" si="152"/>
        <v>-115650</v>
      </c>
      <c r="F199" s="335">
        <f t="shared" si="152"/>
        <v>-115650</v>
      </c>
      <c r="G199" s="335">
        <f t="shared" si="152"/>
        <v>-115650</v>
      </c>
      <c r="H199" s="335">
        <f t="shared" si="152"/>
        <v>-115650</v>
      </c>
      <c r="I199" s="335">
        <f t="shared" si="152"/>
        <v>-115650</v>
      </c>
      <c r="J199" s="335">
        <f t="shared" si="152"/>
        <v>-115650</v>
      </c>
      <c r="K199" s="335">
        <f t="shared" si="152"/>
        <v>-115650</v>
      </c>
      <c r="L199" s="335">
        <f t="shared" si="152"/>
        <v>-115650</v>
      </c>
      <c r="M199" s="335">
        <f t="shared" ref="M199" si="153">M197-M198</f>
        <v>-115650</v>
      </c>
      <c r="N199" s="335">
        <f t="shared" si="152"/>
        <v>216212</v>
      </c>
      <c r="O199" s="811"/>
      <c r="P199" s="1"/>
    </row>
    <row r="200" spans="1:26" ht="15.75" x14ac:dyDescent="0.25">
      <c r="A200" s="332" t="s">
        <v>205</v>
      </c>
      <c r="B200" s="18"/>
      <c r="C200" s="334">
        <f>C147</f>
        <v>869220</v>
      </c>
      <c r="D200" s="334">
        <f>D147</f>
        <v>869220</v>
      </c>
      <c r="E200" s="334">
        <f>E147</f>
        <v>869220</v>
      </c>
      <c r="F200" s="334">
        <f>F147</f>
        <v>1047220</v>
      </c>
      <c r="G200" s="334">
        <f t="shared" ref="G200:L200" si="154">G147</f>
        <v>1047220</v>
      </c>
      <c r="H200" s="334">
        <f t="shared" si="154"/>
        <v>1047220</v>
      </c>
      <c r="I200" s="334">
        <f t="shared" si="154"/>
        <v>1047220</v>
      </c>
      <c r="J200" s="334">
        <f t="shared" si="154"/>
        <v>1047220</v>
      </c>
      <c r="K200" s="334">
        <f t="shared" si="154"/>
        <v>1047220</v>
      </c>
      <c r="L200" s="334">
        <f t="shared" si="154"/>
        <v>1047220</v>
      </c>
      <c r="M200" s="334">
        <f t="shared" ref="M200" si="155">M147</f>
        <v>1047220</v>
      </c>
      <c r="N200" s="334">
        <f>N147</f>
        <v>0</v>
      </c>
      <c r="O200" s="806"/>
      <c r="P200" s="1"/>
    </row>
    <row r="201" spans="1:26" ht="15.75" x14ac:dyDescent="0.25">
      <c r="A201" s="332" t="s">
        <v>206</v>
      </c>
      <c r="B201" s="18"/>
      <c r="C201" s="20">
        <f>C155</f>
        <v>1445946</v>
      </c>
      <c r="D201" s="20">
        <f>D155</f>
        <v>1445946</v>
      </c>
      <c r="E201" s="20">
        <f>E155</f>
        <v>1445946</v>
      </c>
      <c r="F201" s="20">
        <f>F155</f>
        <v>1623946</v>
      </c>
      <c r="G201" s="20">
        <f t="shared" ref="G201:L201" si="156">G155</f>
        <v>1623946</v>
      </c>
      <c r="H201" s="20">
        <f t="shared" si="156"/>
        <v>1623946</v>
      </c>
      <c r="I201" s="20">
        <f t="shared" si="156"/>
        <v>1623946</v>
      </c>
      <c r="J201" s="20">
        <f t="shared" si="156"/>
        <v>1623946</v>
      </c>
      <c r="K201" s="20">
        <f t="shared" si="156"/>
        <v>1623946</v>
      </c>
      <c r="L201" s="20">
        <f t="shared" si="156"/>
        <v>1623946</v>
      </c>
      <c r="M201" s="20">
        <f t="shared" ref="M201" si="157">M155</f>
        <v>1623946</v>
      </c>
      <c r="N201" s="20">
        <f>N155</f>
        <v>8937</v>
      </c>
      <c r="O201" s="807"/>
      <c r="P201" s="1"/>
    </row>
    <row r="202" spans="1:26" ht="15.75" x14ac:dyDescent="0.25">
      <c r="A202" s="872" t="s">
        <v>207</v>
      </c>
      <c r="B202" s="873"/>
      <c r="C202" s="335">
        <f t="shared" ref="C202:N202" si="158">C200-C201</f>
        <v>-576726</v>
      </c>
      <c r="D202" s="335">
        <f t="shared" si="158"/>
        <v>-576726</v>
      </c>
      <c r="E202" s="335">
        <f t="shared" si="158"/>
        <v>-576726</v>
      </c>
      <c r="F202" s="335">
        <f t="shared" si="158"/>
        <v>-576726</v>
      </c>
      <c r="G202" s="335">
        <f t="shared" si="158"/>
        <v>-576726</v>
      </c>
      <c r="H202" s="335">
        <f t="shared" si="158"/>
        <v>-576726</v>
      </c>
      <c r="I202" s="335">
        <f t="shared" si="158"/>
        <v>-576726</v>
      </c>
      <c r="J202" s="335">
        <f t="shared" si="158"/>
        <v>-576726</v>
      </c>
      <c r="K202" s="335">
        <f t="shared" si="158"/>
        <v>-576726</v>
      </c>
      <c r="L202" s="335">
        <f t="shared" si="158"/>
        <v>-576726</v>
      </c>
      <c r="M202" s="335">
        <f t="shared" ref="M202" si="159">M200-M201</f>
        <v>-576726</v>
      </c>
      <c r="N202" s="335">
        <f t="shared" si="158"/>
        <v>-8937</v>
      </c>
      <c r="O202" s="811"/>
      <c r="P202" s="1"/>
    </row>
    <row r="203" spans="1:26" ht="15.75" x14ac:dyDescent="0.25">
      <c r="A203" s="336" t="s">
        <v>208</v>
      </c>
      <c r="B203" s="337"/>
      <c r="C203" s="338">
        <f>C174</f>
        <v>728546</v>
      </c>
      <c r="D203" s="338">
        <f>D174</f>
        <v>728546</v>
      </c>
      <c r="E203" s="338">
        <f>E174</f>
        <v>711516</v>
      </c>
      <c r="F203" s="338">
        <f>F174</f>
        <v>714937</v>
      </c>
      <c r="G203" s="338">
        <f t="shared" ref="G203:L203" si="160">G174</f>
        <v>714937</v>
      </c>
      <c r="H203" s="338">
        <f t="shared" si="160"/>
        <v>714937</v>
      </c>
      <c r="I203" s="338">
        <f t="shared" si="160"/>
        <v>714937</v>
      </c>
      <c r="J203" s="338">
        <f t="shared" si="160"/>
        <v>714937</v>
      </c>
      <c r="K203" s="338">
        <f t="shared" si="160"/>
        <v>714937</v>
      </c>
      <c r="L203" s="338">
        <f t="shared" si="160"/>
        <v>714937</v>
      </c>
      <c r="M203" s="338">
        <f t="shared" ref="M203" si="161">M174</f>
        <v>714937</v>
      </c>
      <c r="N203" s="338">
        <f>N174</f>
        <v>77136</v>
      </c>
      <c r="O203" s="806"/>
      <c r="P203" s="1"/>
    </row>
    <row r="204" spans="1:26" ht="15.75" x14ac:dyDescent="0.25">
      <c r="A204" s="336" t="s">
        <v>209</v>
      </c>
      <c r="B204" s="337"/>
      <c r="C204" s="338">
        <f t="shared" ref="C204:N204" si="162">C187</f>
        <v>19140</v>
      </c>
      <c r="D204" s="338">
        <f t="shared" si="162"/>
        <v>19140</v>
      </c>
      <c r="E204" s="338">
        <f t="shared" si="162"/>
        <v>19140</v>
      </c>
      <c r="F204" s="338">
        <f t="shared" si="162"/>
        <v>22561</v>
      </c>
      <c r="G204" s="338">
        <f t="shared" si="162"/>
        <v>22561</v>
      </c>
      <c r="H204" s="338">
        <f t="shared" si="162"/>
        <v>22561</v>
      </c>
      <c r="I204" s="338">
        <f t="shared" si="162"/>
        <v>22561</v>
      </c>
      <c r="J204" s="338">
        <f t="shared" si="162"/>
        <v>22561</v>
      </c>
      <c r="K204" s="338">
        <f t="shared" si="162"/>
        <v>22561</v>
      </c>
      <c r="L204" s="338">
        <f t="shared" si="162"/>
        <v>22561</v>
      </c>
      <c r="M204" s="338">
        <f t="shared" ref="M204" si="163">M187</f>
        <v>22561</v>
      </c>
      <c r="N204" s="338">
        <f t="shared" si="162"/>
        <v>18327</v>
      </c>
      <c r="O204" s="806"/>
      <c r="P204" s="1"/>
    </row>
    <row r="205" spans="1:26" ht="16.5" thickBot="1" x14ac:dyDescent="0.3">
      <c r="A205" s="858" t="s">
        <v>210</v>
      </c>
      <c r="B205" s="859"/>
      <c r="C205" s="339">
        <f t="shared" ref="C205:N205" si="164">C203-C204</f>
        <v>709406</v>
      </c>
      <c r="D205" s="339">
        <f t="shared" si="164"/>
        <v>709406</v>
      </c>
      <c r="E205" s="339">
        <f t="shared" si="164"/>
        <v>692376</v>
      </c>
      <c r="F205" s="339">
        <f t="shared" si="164"/>
        <v>692376</v>
      </c>
      <c r="G205" s="339">
        <f t="shared" si="164"/>
        <v>692376</v>
      </c>
      <c r="H205" s="339">
        <f t="shared" si="164"/>
        <v>692376</v>
      </c>
      <c r="I205" s="339">
        <f t="shared" si="164"/>
        <v>692376</v>
      </c>
      <c r="J205" s="339">
        <f t="shared" si="164"/>
        <v>692376</v>
      </c>
      <c r="K205" s="339">
        <f t="shared" si="164"/>
        <v>692376</v>
      </c>
      <c r="L205" s="339">
        <f t="shared" si="164"/>
        <v>692376</v>
      </c>
      <c r="M205" s="339">
        <f t="shared" ref="M205" si="165">M203-M204</f>
        <v>692376</v>
      </c>
      <c r="N205" s="339">
        <f t="shared" si="164"/>
        <v>58809</v>
      </c>
      <c r="O205" s="811"/>
      <c r="P205" s="1"/>
    </row>
    <row r="206" spans="1:26" ht="16.5" thickBot="1" x14ac:dyDescent="0.3">
      <c r="A206" s="340" t="s">
        <v>211</v>
      </c>
      <c r="B206" s="341"/>
      <c r="C206" s="342">
        <f t="shared" ref="C206:N206" si="166">C199+C202+C205</f>
        <v>0</v>
      </c>
      <c r="D206" s="342">
        <f t="shared" si="166"/>
        <v>0</v>
      </c>
      <c r="E206" s="342">
        <f t="shared" si="166"/>
        <v>0</v>
      </c>
      <c r="F206" s="342">
        <f t="shared" si="166"/>
        <v>0</v>
      </c>
      <c r="G206" s="342">
        <f t="shared" si="166"/>
        <v>0</v>
      </c>
      <c r="H206" s="342">
        <f t="shared" si="166"/>
        <v>0</v>
      </c>
      <c r="I206" s="342">
        <f t="shared" si="166"/>
        <v>0</v>
      </c>
      <c r="J206" s="342">
        <f t="shared" si="166"/>
        <v>0</v>
      </c>
      <c r="K206" s="342">
        <f t="shared" si="166"/>
        <v>0</v>
      </c>
      <c r="L206" s="342">
        <f t="shared" si="166"/>
        <v>0</v>
      </c>
      <c r="M206" s="342">
        <f t="shared" ref="M206" si="167">M199+M202+M205</f>
        <v>0</v>
      </c>
      <c r="N206" s="342">
        <f t="shared" si="166"/>
        <v>266084</v>
      </c>
      <c r="O206" s="811"/>
      <c r="P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26" ht="16.5" x14ac:dyDescent="0.3">
      <c r="A208" s="1"/>
      <c r="B208" s="704" t="s">
        <v>457</v>
      </c>
      <c r="C208" s="705">
        <f t="shared" ref="C208:N209" si="168">C197+C200+C203</f>
        <v>4146046</v>
      </c>
      <c r="D208" s="705">
        <f t="shared" si="168"/>
        <v>4146126</v>
      </c>
      <c r="E208" s="705">
        <f t="shared" si="168"/>
        <v>4237346</v>
      </c>
      <c r="F208" s="705">
        <f t="shared" si="168"/>
        <v>4419267</v>
      </c>
      <c r="G208" s="705">
        <f t="shared" si="168"/>
        <v>4480852</v>
      </c>
      <c r="H208" s="705">
        <f t="shared" si="168"/>
        <v>4518662</v>
      </c>
      <c r="I208" s="705">
        <f t="shared" si="168"/>
        <v>4521232</v>
      </c>
      <c r="J208" s="705">
        <f t="shared" si="168"/>
        <v>4521312</v>
      </c>
      <c r="K208" s="705">
        <f t="shared" si="168"/>
        <v>4526812</v>
      </c>
      <c r="L208" s="705">
        <f t="shared" si="168"/>
        <v>4530624</v>
      </c>
      <c r="M208" s="705">
        <f t="shared" ref="M208" si="169">M197+M200+M203</f>
        <v>4530624</v>
      </c>
      <c r="N208" s="705">
        <f t="shared" si="168"/>
        <v>1110446</v>
      </c>
      <c r="O208" s="705"/>
      <c r="P208" s="1"/>
      <c r="Q208" s="458">
        <f>D208-C208</f>
        <v>80</v>
      </c>
      <c r="R208" s="458">
        <f>E208-D208</f>
        <v>91220</v>
      </c>
      <c r="S208" s="458">
        <f>F208-E208</f>
        <v>181921</v>
      </c>
      <c r="T208" s="458">
        <f>G208-F208</f>
        <v>61585</v>
      </c>
      <c r="U208" s="458">
        <f>H208-G208</f>
        <v>37810</v>
      </c>
      <c r="V208" s="458">
        <f>I208-H208</f>
        <v>2570</v>
      </c>
      <c r="W208" s="458">
        <f t="shared" ref="W208:Z209" si="170">J208-I208</f>
        <v>80</v>
      </c>
      <c r="X208" s="458">
        <f t="shared" si="170"/>
        <v>5500</v>
      </c>
      <c r="Y208" s="458">
        <f t="shared" si="170"/>
        <v>3812</v>
      </c>
      <c r="Z208" s="458">
        <f t="shared" si="170"/>
        <v>0</v>
      </c>
    </row>
    <row r="209" spans="1:26" ht="16.5" x14ac:dyDescent="0.3">
      <c r="A209" s="1"/>
      <c r="B209" s="704" t="s">
        <v>458</v>
      </c>
      <c r="C209" s="705">
        <f t="shared" si="168"/>
        <v>4146046</v>
      </c>
      <c r="D209" s="705">
        <f t="shared" si="168"/>
        <v>4146126</v>
      </c>
      <c r="E209" s="705">
        <f t="shared" si="168"/>
        <v>4237346</v>
      </c>
      <c r="F209" s="705">
        <f t="shared" si="168"/>
        <v>4419267</v>
      </c>
      <c r="G209" s="705">
        <f t="shared" si="168"/>
        <v>4480852</v>
      </c>
      <c r="H209" s="705">
        <f t="shared" si="168"/>
        <v>4518662</v>
      </c>
      <c r="I209" s="705">
        <f t="shared" si="168"/>
        <v>4521232</v>
      </c>
      <c r="J209" s="705">
        <f t="shared" si="168"/>
        <v>4521312</v>
      </c>
      <c r="K209" s="705">
        <f t="shared" si="168"/>
        <v>4526812</v>
      </c>
      <c r="L209" s="705">
        <f t="shared" si="168"/>
        <v>4530624</v>
      </c>
      <c r="M209" s="705">
        <f t="shared" ref="M209" si="171">M198+M201+M204</f>
        <v>4530624</v>
      </c>
      <c r="N209" s="705">
        <f t="shared" si="168"/>
        <v>844362</v>
      </c>
      <c r="O209" s="705"/>
      <c r="P209" s="1"/>
      <c r="Q209" s="458">
        <f>D209-C209</f>
        <v>80</v>
      </c>
      <c r="R209" s="458">
        <f>E209-D209</f>
        <v>91220</v>
      </c>
      <c r="S209" s="458">
        <f>F209-E209</f>
        <v>181921</v>
      </c>
      <c r="T209" s="458">
        <f>G209-F209</f>
        <v>61585</v>
      </c>
      <c r="U209" s="458">
        <f>H209-G209</f>
        <v>37810</v>
      </c>
      <c r="V209" s="458">
        <f>I209-H209</f>
        <v>2570</v>
      </c>
      <c r="W209" s="458">
        <f t="shared" si="170"/>
        <v>80</v>
      </c>
      <c r="X209" s="458">
        <f t="shared" si="170"/>
        <v>5500</v>
      </c>
      <c r="Y209" s="458">
        <f t="shared" si="170"/>
        <v>3812</v>
      </c>
      <c r="Z209" s="458">
        <f t="shared" si="170"/>
        <v>0</v>
      </c>
    </row>
    <row r="210" spans="1:26" ht="16.5" x14ac:dyDescent="0.3">
      <c r="A210" s="1"/>
      <c r="B210" s="704"/>
      <c r="C210" s="705"/>
      <c r="D210" s="705"/>
      <c r="E210" s="705"/>
      <c r="F210" s="705"/>
      <c r="G210" s="705"/>
      <c r="H210" s="705"/>
      <c r="I210" s="705"/>
      <c r="J210" s="705"/>
      <c r="K210" s="705"/>
      <c r="L210" s="705"/>
      <c r="M210" s="705"/>
      <c r="N210" s="705"/>
      <c r="O210" s="705"/>
      <c r="P210" s="1"/>
      <c r="Q210" s="458"/>
      <c r="R210" s="458"/>
      <c r="S210" s="458"/>
      <c r="T210" s="458"/>
      <c r="U210" s="458"/>
      <c r="V210" s="458"/>
      <c r="W210" s="458"/>
      <c r="X210" s="458"/>
      <c r="Y210" s="458"/>
      <c r="Z210" s="458"/>
    </row>
    <row r="211" spans="1:26" ht="16.5" x14ac:dyDescent="0.3">
      <c r="A211" s="1"/>
      <c r="B211" s="704" t="s">
        <v>459</v>
      </c>
      <c r="C211" s="705">
        <f t="shared" ref="C211:N211" si="172">C208-C75</f>
        <v>4130016</v>
      </c>
      <c r="D211" s="705">
        <f t="shared" si="172"/>
        <v>4130096</v>
      </c>
      <c r="E211" s="705">
        <f t="shared" si="172"/>
        <v>4221316</v>
      </c>
      <c r="F211" s="705">
        <f t="shared" si="172"/>
        <v>4403237</v>
      </c>
      <c r="G211" s="705">
        <f t="shared" si="172"/>
        <v>4464822</v>
      </c>
      <c r="H211" s="705">
        <f t="shared" si="172"/>
        <v>4502632</v>
      </c>
      <c r="I211" s="705">
        <f t="shared" si="172"/>
        <v>4505202</v>
      </c>
      <c r="J211" s="705">
        <f t="shared" si="172"/>
        <v>4505282</v>
      </c>
      <c r="K211" s="705">
        <f t="shared" si="172"/>
        <v>4510782</v>
      </c>
      <c r="L211" s="705">
        <f t="shared" si="172"/>
        <v>4514594</v>
      </c>
      <c r="M211" s="705">
        <f t="shared" ref="M211" si="173">M208-M75</f>
        <v>4514594</v>
      </c>
      <c r="N211" s="705">
        <f t="shared" si="172"/>
        <v>1103930</v>
      </c>
      <c r="O211" s="705"/>
      <c r="P211" s="1"/>
      <c r="Q211" s="458">
        <f>D211-C211</f>
        <v>80</v>
      </c>
      <c r="R211" s="458">
        <f>E211-D211</f>
        <v>91220</v>
      </c>
      <c r="S211" s="458">
        <f>F211-E211</f>
        <v>181921</v>
      </c>
      <c r="T211" s="458">
        <f>G211-F211</f>
        <v>61585</v>
      </c>
      <c r="U211" s="458">
        <f>H211-G211</f>
        <v>37810</v>
      </c>
      <c r="V211" s="458">
        <f>I211-H211</f>
        <v>2570</v>
      </c>
      <c r="W211" s="458">
        <f t="shared" ref="W211:Z212" si="174">J211-I211</f>
        <v>80</v>
      </c>
      <c r="X211" s="458">
        <f t="shared" si="174"/>
        <v>5500</v>
      </c>
      <c r="Y211" s="458">
        <f t="shared" si="174"/>
        <v>3812</v>
      </c>
      <c r="Z211" s="458">
        <f t="shared" si="174"/>
        <v>0</v>
      </c>
    </row>
    <row r="212" spans="1:26" ht="16.5" x14ac:dyDescent="0.3">
      <c r="A212" s="1"/>
      <c r="B212" s="704" t="s">
        <v>460</v>
      </c>
      <c r="C212" s="705">
        <f>C209-C141</f>
        <v>3231446</v>
      </c>
      <c r="D212" s="705">
        <f>D209-D141</f>
        <v>3231526</v>
      </c>
      <c r="E212" s="705">
        <f>E209-E141</f>
        <v>3264747</v>
      </c>
      <c r="F212" s="705">
        <f>F209-F141</f>
        <v>3446668</v>
      </c>
      <c r="G212" s="705">
        <f t="shared" ref="G212:L212" si="175">G209-G141</f>
        <v>3508253</v>
      </c>
      <c r="H212" s="705">
        <f t="shared" si="175"/>
        <v>3546063</v>
      </c>
      <c r="I212" s="705">
        <f t="shared" si="175"/>
        <v>3546453</v>
      </c>
      <c r="J212" s="705">
        <f t="shared" si="175"/>
        <v>3546533</v>
      </c>
      <c r="K212" s="705">
        <f t="shared" si="175"/>
        <v>3552033</v>
      </c>
      <c r="L212" s="705">
        <f t="shared" si="175"/>
        <v>3555033</v>
      </c>
      <c r="M212" s="705">
        <f t="shared" ref="M212" si="176">M209-M141</f>
        <v>3555033</v>
      </c>
      <c r="N212" s="705">
        <f>N209-N141</f>
        <v>538165</v>
      </c>
      <c r="O212" s="705"/>
      <c r="P212" s="1"/>
      <c r="Q212" s="458">
        <f>D212-C212</f>
        <v>80</v>
      </c>
      <c r="R212" s="458">
        <f>E212-D212</f>
        <v>33221</v>
      </c>
      <c r="S212" s="458">
        <f>F212-E212</f>
        <v>181921</v>
      </c>
      <c r="T212" s="458">
        <f>G212-F212</f>
        <v>61585</v>
      </c>
      <c r="U212" s="458">
        <f>H212-G212</f>
        <v>37810</v>
      </c>
      <c r="V212" s="458">
        <f>I212-H212</f>
        <v>390</v>
      </c>
      <c r="W212" s="458">
        <f t="shared" si="174"/>
        <v>80</v>
      </c>
      <c r="X212" s="458">
        <f t="shared" si="174"/>
        <v>5500</v>
      </c>
      <c r="Y212" s="458">
        <f t="shared" si="174"/>
        <v>3000</v>
      </c>
      <c r="Z212" s="458">
        <f t="shared" si="174"/>
        <v>0</v>
      </c>
    </row>
    <row r="213" spans="1:26" ht="16.5" x14ac:dyDescent="0.3">
      <c r="A213" s="1"/>
      <c r="B213" s="704"/>
      <c r="C213" s="705"/>
      <c r="D213" s="705"/>
      <c r="E213" s="705"/>
      <c r="F213" s="705"/>
      <c r="G213" s="705"/>
      <c r="H213" s="705"/>
      <c r="I213" s="705"/>
      <c r="J213" s="705"/>
      <c r="K213" s="705"/>
      <c r="L213" s="705"/>
      <c r="M213" s="705"/>
      <c r="N213" s="705"/>
      <c r="O213" s="705"/>
      <c r="P213" s="1"/>
      <c r="Q213" s="458"/>
      <c r="R213" s="458"/>
      <c r="S213" s="458"/>
      <c r="T213" s="458"/>
      <c r="U213" s="458"/>
      <c r="V213" s="458"/>
      <c r="W213" s="458"/>
      <c r="X213" s="458"/>
      <c r="Y213" s="458"/>
      <c r="Z213" s="458"/>
    </row>
    <row r="214" spans="1:26" ht="16.5" x14ac:dyDescent="0.3">
      <c r="A214" s="1"/>
      <c r="B214" s="706" t="s">
        <v>461</v>
      </c>
      <c r="C214" s="707">
        <f t="shared" ref="C214:N215" si="177">C208-C211</f>
        <v>16030</v>
      </c>
      <c r="D214" s="707">
        <f t="shared" si="177"/>
        <v>16030</v>
      </c>
      <c r="E214" s="707">
        <f t="shared" si="177"/>
        <v>16030</v>
      </c>
      <c r="F214" s="707">
        <f t="shared" si="177"/>
        <v>16030</v>
      </c>
      <c r="G214" s="707">
        <f t="shared" si="177"/>
        <v>16030</v>
      </c>
      <c r="H214" s="707">
        <f t="shared" si="177"/>
        <v>16030</v>
      </c>
      <c r="I214" s="707">
        <f t="shared" si="177"/>
        <v>16030</v>
      </c>
      <c r="J214" s="707">
        <f t="shared" si="177"/>
        <v>16030</v>
      </c>
      <c r="K214" s="707">
        <f t="shared" si="177"/>
        <v>16030</v>
      </c>
      <c r="L214" s="707">
        <f t="shared" si="177"/>
        <v>16030</v>
      </c>
      <c r="M214" s="707">
        <f t="shared" ref="M214" si="178">M208-M211</f>
        <v>16030</v>
      </c>
      <c r="N214" s="707">
        <f t="shared" si="177"/>
        <v>6516</v>
      </c>
      <c r="O214" s="707"/>
      <c r="P214" s="1"/>
      <c r="Q214" s="458">
        <f>D214-C214</f>
        <v>0</v>
      </c>
      <c r="R214" s="458">
        <f>E214-D214</f>
        <v>0</v>
      </c>
      <c r="S214" s="458">
        <f>F214-E214</f>
        <v>0</v>
      </c>
      <c r="T214" s="458">
        <f>G214-F214</f>
        <v>0</v>
      </c>
      <c r="U214" s="458">
        <f>H214-G214</f>
        <v>0</v>
      </c>
      <c r="V214" s="458">
        <f>I214-H214</f>
        <v>0</v>
      </c>
      <c r="W214" s="458">
        <f t="shared" ref="W214:Z216" si="179">J214-I214</f>
        <v>0</v>
      </c>
      <c r="X214" s="458">
        <f t="shared" si="179"/>
        <v>0</v>
      </c>
      <c r="Y214" s="458">
        <f t="shared" si="179"/>
        <v>0</v>
      </c>
      <c r="Z214" s="458">
        <f t="shared" si="179"/>
        <v>0</v>
      </c>
    </row>
    <row r="215" spans="1:26" ht="16.5" x14ac:dyDescent="0.3">
      <c r="A215" s="104"/>
      <c r="B215" s="706" t="s">
        <v>462</v>
      </c>
      <c r="C215" s="707">
        <f t="shared" si="177"/>
        <v>914600</v>
      </c>
      <c r="D215" s="707">
        <f t="shared" si="177"/>
        <v>914600</v>
      </c>
      <c r="E215" s="707">
        <f t="shared" si="177"/>
        <v>972599</v>
      </c>
      <c r="F215" s="707">
        <f t="shared" si="177"/>
        <v>972599</v>
      </c>
      <c r="G215" s="707">
        <f t="shared" si="177"/>
        <v>972599</v>
      </c>
      <c r="H215" s="707">
        <f t="shared" si="177"/>
        <v>972599</v>
      </c>
      <c r="I215" s="707">
        <f t="shared" si="177"/>
        <v>974779</v>
      </c>
      <c r="J215" s="707">
        <f t="shared" si="177"/>
        <v>974779</v>
      </c>
      <c r="K215" s="707">
        <f t="shared" si="177"/>
        <v>974779</v>
      </c>
      <c r="L215" s="707">
        <f t="shared" si="177"/>
        <v>975591</v>
      </c>
      <c r="M215" s="707">
        <f t="shared" ref="M215" si="180">M209-M212</f>
        <v>975591</v>
      </c>
      <c r="N215" s="707">
        <f t="shared" si="177"/>
        <v>306197</v>
      </c>
      <c r="O215" s="707"/>
      <c r="P215" s="1"/>
      <c r="Q215" s="458">
        <f>D215-C215</f>
        <v>0</v>
      </c>
      <c r="R215" s="458">
        <f>E215-D215</f>
        <v>57999</v>
      </c>
      <c r="S215" s="458">
        <f>F215-E215</f>
        <v>0</v>
      </c>
      <c r="T215" s="458">
        <f>G215-F215</f>
        <v>0</v>
      </c>
      <c r="U215" s="458">
        <f>H215-G215</f>
        <v>0</v>
      </c>
      <c r="V215" s="458">
        <f>I215-H215</f>
        <v>2180</v>
      </c>
      <c r="W215" s="458">
        <f t="shared" si="179"/>
        <v>0</v>
      </c>
      <c r="X215" s="458">
        <f t="shared" si="179"/>
        <v>0</v>
      </c>
      <c r="Y215" s="458">
        <f t="shared" si="179"/>
        <v>812</v>
      </c>
      <c r="Z215" s="458">
        <f t="shared" si="179"/>
        <v>0</v>
      </c>
    </row>
    <row r="216" spans="1:26" ht="16.5" x14ac:dyDescent="0.3">
      <c r="A216" s="1"/>
      <c r="B216" s="704" t="s">
        <v>365</v>
      </c>
      <c r="C216" s="707">
        <f t="shared" ref="C216:N216" si="181">C215-C214+C206</f>
        <v>898570</v>
      </c>
      <c r="D216" s="707">
        <f t="shared" si="181"/>
        <v>898570</v>
      </c>
      <c r="E216" s="707">
        <f t="shared" si="181"/>
        <v>956569</v>
      </c>
      <c r="F216" s="707">
        <f t="shared" si="181"/>
        <v>956569</v>
      </c>
      <c r="G216" s="707">
        <f t="shared" si="181"/>
        <v>956569</v>
      </c>
      <c r="H216" s="707">
        <f t="shared" si="181"/>
        <v>956569</v>
      </c>
      <c r="I216" s="707">
        <f t="shared" si="181"/>
        <v>958749</v>
      </c>
      <c r="J216" s="707">
        <f t="shared" si="181"/>
        <v>958749</v>
      </c>
      <c r="K216" s="707">
        <f t="shared" si="181"/>
        <v>958749</v>
      </c>
      <c r="L216" s="707">
        <f t="shared" si="181"/>
        <v>959561</v>
      </c>
      <c r="M216" s="707">
        <f t="shared" ref="M216" si="182">M215-M214+M206</f>
        <v>959561</v>
      </c>
      <c r="N216" s="707">
        <f t="shared" si="181"/>
        <v>565765</v>
      </c>
      <c r="O216" s="707"/>
      <c r="P216" s="1"/>
      <c r="Q216" s="458">
        <f>D216-C216</f>
        <v>0</v>
      </c>
      <c r="R216" s="458">
        <f>E216-D216</f>
        <v>57999</v>
      </c>
      <c r="S216" s="458">
        <f>F216-E216</f>
        <v>0</v>
      </c>
      <c r="T216" s="458">
        <f>G216-F216</f>
        <v>0</v>
      </c>
      <c r="U216" s="458">
        <f>H216-G216</f>
        <v>0</v>
      </c>
      <c r="V216" s="458">
        <f>I216-H216</f>
        <v>2180</v>
      </c>
      <c r="W216" s="458">
        <f t="shared" si="179"/>
        <v>0</v>
      </c>
      <c r="X216" s="458">
        <f t="shared" si="179"/>
        <v>0</v>
      </c>
      <c r="Y216" s="458">
        <f t="shared" si="179"/>
        <v>812</v>
      </c>
      <c r="Z216" s="458">
        <f t="shared" si="179"/>
        <v>0</v>
      </c>
    </row>
    <row r="217" spans="1:26" x14ac:dyDescent="0.25">
      <c r="A217" s="1"/>
      <c r="B217" s="1"/>
      <c r="C217" s="531"/>
      <c r="D217" s="531"/>
      <c r="E217" s="531"/>
      <c r="F217" s="531"/>
      <c r="G217" s="531"/>
      <c r="H217" s="531"/>
      <c r="I217" s="531"/>
      <c r="J217" s="531"/>
      <c r="K217" s="531"/>
      <c r="L217" s="531"/>
      <c r="M217" s="531"/>
      <c r="N217" s="531"/>
      <c r="O217" s="531"/>
      <c r="P217" s="1"/>
    </row>
    <row r="218" spans="1:26" x14ac:dyDescent="0.25">
      <c r="A218" s="1"/>
      <c r="B218" s="345" t="s">
        <v>216</v>
      </c>
      <c r="C218" s="554"/>
      <c r="D218" s="345"/>
      <c r="E218" s="345"/>
      <c r="F218" s="345"/>
      <c r="G218" s="345"/>
      <c r="H218" s="345"/>
      <c r="I218" s="345"/>
      <c r="J218" s="345"/>
      <c r="K218" s="345"/>
      <c r="L218" s="345"/>
      <c r="M218" s="345"/>
      <c r="N218" s="345"/>
      <c r="O218" s="345"/>
      <c r="P218" s="1"/>
    </row>
    <row r="219" spans="1:26" x14ac:dyDescent="0.25">
      <c r="A219" s="1"/>
      <c r="B219" s="345" t="s">
        <v>455</v>
      </c>
      <c r="C219" s="345"/>
      <c r="D219" s="345"/>
      <c r="E219" s="345"/>
      <c r="F219" s="345"/>
      <c r="G219" s="345"/>
      <c r="H219" s="345"/>
      <c r="I219" s="345"/>
      <c r="J219" s="345"/>
      <c r="K219" s="345"/>
      <c r="L219" s="345"/>
      <c r="M219" s="345"/>
      <c r="N219" s="345"/>
      <c r="O219" s="345"/>
      <c r="P219" s="1"/>
    </row>
    <row r="220" spans="1:26" x14ac:dyDescent="0.25">
      <c r="A220" s="1"/>
      <c r="B220" s="345"/>
      <c r="C220" s="345"/>
      <c r="D220" s="345"/>
      <c r="E220" s="345"/>
      <c r="F220" s="345"/>
      <c r="G220" s="345"/>
      <c r="H220" s="345"/>
      <c r="I220" s="345"/>
      <c r="J220" s="345"/>
      <c r="K220" s="345"/>
      <c r="L220" s="345"/>
      <c r="M220" s="345"/>
      <c r="N220" s="345"/>
      <c r="O220" s="345"/>
      <c r="P220" s="1"/>
    </row>
    <row r="221" spans="1:26" x14ac:dyDescent="0.25">
      <c r="A221" s="1"/>
      <c r="B221" s="347" t="s">
        <v>456</v>
      </c>
      <c r="C221" s="345"/>
      <c r="D221" s="345"/>
      <c r="E221" s="345"/>
      <c r="F221" s="345"/>
      <c r="G221" s="345"/>
      <c r="H221" s="345"/>
      <c r="I221" s="345"/>
      <c r="J221" s="345"/>
      <c r="K221" s="345"/>
      <c r="L221" s="345"/>
      <c r="M221" s="345"/>
      <c r="N221" s="345"/>
      <c r="O221" s="345"/>
      <c r="P221" s="1"/>
    </row>
    <row r="222" spans="1:26" x14ac:dyDescent="0.25">
      <c r="A222" s="1"/>
      <c r="B222" s="347"/>
      <c r="C222" s="345"/>
      <c r="D222" s="345"/>
      <c r="E222" s="345"/>
      <c r="F222" s="345"/>
      <c r="G222" s="345"/>
      <c r="H222" s="345"/>
      <c r="I222" s="345"/>
      <c r="J222" s="345"/>
      <c r="K222" s="345"/>
      <c r="L222" s="345"/>
      <c r="M222" s="345"/>
      <c r="N222" s="345"/>
      <c r="O222" s="345"/>
      <c r="P222" s="1"/>
    </row>
    <row r="223" spans="1:26" x14ac:dyDescent="0.25">
      <c r="A223" s="1"/>
      <c r="B223" s="346" t="s">
        <v>686</v>
      </c>
      <c r="C223" s="345"/>
      <c r="D223" s="345"/>
      <c r="E223" s="345"/>
      <c r="F223" s="345"/>
      <c r="G223" s="345"/>
      <c r="H223" s="345"/>
      <c r="I223" s="345"/>
      <c r="J223" s="345"/>
      <c r="K223" s="345"/>
      <c r="L223" s="345"/>
      <c r="M223" s="345"/>
      <c r="N223" s="345"/>
      <c r="O223" s="345"/>
      <c r="P223" s="1"/>
    </row>
    <row r="224" spans="1:26" x14ac:dyDescent="0.25">
      <c r="A224" s="1"/>
      <c r="B224" s="345" t="s">
        <v>685</v>
      </c>
      <c r="C224" s="345"/>
      <c r="D224" s="345"/>
      <c r="E224" s="345"/>
      <c r="F224" s="345"/>
      <c r="G224" s="345"/>
      <c r="H224" s="345"/>
      <c r="I224" s="345"/>
      <c r="J224" s="345"/>
      <c r="K224" s="345"/>
      <c r="L224" s="345"/>
      <c r="M224" s="345"/>
      <c r="N224" s="345"/>
      <c r="O224" s="345"/>
      <c r="P224" s="1"/>
    </row>
    <row r="225" spans="1:16" x14ac:dyDescent="0.25">
      <c r="A225" s="1"/>
      <c r="B225" s="345" t="s">
        <v>687</v>
      </c>
      <c r="C225" s="345"/>
      <c r="D225" s="345"/>
      <c r="E225" s="345"/>
      <c r="F225" s="345"/>
      <c r="G225" s="345"/>
      <c r="H225" s="345"/>
      <c r="I225" s="345"/>
      <c r="J225" s="345"/>
      <c r="K225" s="345"/>
      <c r="L225" s="345"/>
      <c r="M225" s="345"/>
      <c r="N225" s="345"/>
      <c r="O225" s="345"/>
      <c r="P225" s="1"/>
    </row>
    <row r="226" spans="1:16" x14ac:dyDescent="0.25">
      <c r="A226" s="1"/>
      <c r="B226" s="345"/>
      <c r="C226" s="345"/>
      <c r="D226" s="345"/>
      <c r="E226" s="345"/>
      <c r="F226" s="345"/>
      <c r="G226" s="345"/>
      <c r="H226" s="345"/>
      <c r="I226" s="345"/>
      <c r="J226" s="345"/>
      <c r="K226" s="345"/>
      <c r="L226" s="345"/>
      <c r="M226" s="345"/>
      <c r="N226" s="345"/>
      <c r="O226" s="345"/>
      <c r="P226" s="1"/>
    </row>
    <row r="227" spans="1:16" x14ac:dyDescent="0.25">
      <c r="A227" s="1"/>
      <c r="B227" s="347" t="s">
        <v>567</v>
      </c>
      <c r="C227" s="345"/>
      <c r="D227" s="345"/>
      <c r="E227" s="345"/>
      <c r="F227" s="345"/>
      <c r="G227" s="345"/>
      <c r="H227" s="345"/>
      <c r="I227" s="345"/>
      <c r="J227" s="345"/>
      <c r="K227" s="345"/>
      <c r="L227" s="345"/>
      <c r="M227" s="345"/>
      <c r="N227" s="345"/>
      <c r="O227" s="345"/>
      <c r="P227" s="1"/>
    </row>
    <row r="228" spans="1:16" x14ac:dyDescent="0.25">
      <c r="A228" s="1"/>
      <c r="B228" s="347" t="s">
        <v>653</v>
      </c>
      <c r="C228" s="345"/>
      <c r="D228" s="345"/>
      <c r="E228" s="345"/>
      <c r="F228" s="345"/>
      <c r="G228" s="345"/>
      <c r="H228" s="345"/>
      <c r="I228" s="345"/>
      <c r="J228" s="345"/>
      <c r="K228" s="345"/>
      <c r="L228" s="345"/>
      <c r="M228" s="345"/>
      <c r="N228" s="345"/>
      <c r="O228" s="345"/>
      <c r="P228" s="1"/>
    </row>
    <row r="229" spans="1:16" x14ac:dyDescent="0.25">
      <c r="A229" s="1"/>
      <c r="B229" s="347" t="s">
        <v>688</v>
      </c>
      <c r="C229" s="345"/>
      <c r="D229" s="345"/>
      <c r="E229" s="345"/>
      <c r="F229" s="345"/>
      <c r="G229" s="345"/>
      <c r="H229" s="345"/>
      <c r="I229" s="345"/>
      <c r="J229" s="345"/>
      <c r="K229" s="345"/>
      <c r="L229" s="345"/>
      <c r="M229" s="345"/>
      <c r="N229" s="345"/>
      <c r="O229" s="345"/>
      <c r="P229" s="1"/>
    </row>
    <row r="230" spans="1:16" x14ac:dyDescent="0.25">
      <c r="A230" s="1"/>
      <c r="B230" s="347" t="s">
        <v>709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34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34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34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</sheetData>
  <mergeCells count="24">
    <mergeCell ref="A173:B173"/>
    <mergeCell ref="A195:N195"/>
    <mergeCell ref="A196:B196"/>
    <mergeCell ref="A199:B199"/>
    <mergeCell ref="A202:B202"/>
    <mergeCell ref="A205:B205"/>
    <mergeCell ref="A141:B141"/>
    <mergeCell ref="A145:N145"/>
    <mergeCell ref="A146:B146"/>
    <mergeCell ref="A147:B147"/>
    <mergeCell ref="A155:B155"/>
    <mergeCell ref="A172:N172"/>
    <mergeCell ref="A75:B75"/>
    <mergeCell ref="A79:N79"/>
    <mergeCell ref="A80:B80"/>
    <mergeCell ref="A96:B96"/>
    <mergeCell ref="A136:B136"/>
    <mergeCell ref="A140:B140"/>
    <mergeCell ref="A1:N1"/>
    <mergeCell ref="A2:B2"/>
    <mergeCell ref="A3:B3"/>
    <mergeCell ref="A11:B11"/>
    <mergeCell ref="A72:B72"/>
    <mergeCell ref="A74:B74"/>
  </mergeCells>
  <pageMargins left="0.7" right="0.7" top="0.75" bottom="0.75" header="0.3" footer="0.3"/>
  <pageSetup paperSize="9" scale="27" fitToHeight="0" orientation="portrait" r:id="rId1"/>
  <headerFooter>
    <oddHeader xml:space="preserve">&amp;CRozpočet obce Heľpa na rok 2023
4.zmena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workbookViewId="0">
      <selection sqref="A1:H1"/>
    </sheetView>
  </sheetViews>
  <sheetFormatPr defaultRowHeight="15" x14ac:dyDescent="0.25"/>
  <cols>
    <col min="2" max="2" width="57.5703125" customWidth="1"/>
    <col min="3" max="3" width="11.28515625" customWidth="1"/>
    <col min="4" max="5" width="11.140625" customWidth="1"/>
    <col min="6" max="6" width="10.85546875" customWidth="1"/>
    <col min="9" max="9" width="11.7109375" customWidth="1"/>
    <col min="12" max="12" width="64" customWidth="1"/>
    <col min="13" max="13" width="12.85546875" customWidth="1"/>
    <col min="14" max="14" width="15" customWidth="1"/>
  </cols>
  <sheetData>
    <row r="1" spans="1:14" ht="18" x14ac:dyDescent="0.25">
      <c r="A1" s="893" t="s">
        <v>318</v>
      </c>
      <c r="B1" s="893"/>
      <c r="C1" s="893"/>
      <c r="D1" s="893"/>
      <c r="E1" s="893"/>
      <c r="F1" s="893"/>
      <c r="G1" s="893"/>
      <c r="H1" s="893"/>
    </row>
    <row r="2" spans="1:14" ht="15.75" thickBot="1" x14ac:dyDescent="0.3">
      <c r="A2" s="461"/>
      <c r="B2" s="461"/>
      <c r="C2" s="461"/>
      <c r="D2" s="461"/>
      <c r="E2" s="461"/>
      <c r="F2" s="461"/>
      <c r="G2" s="461"/>
      <c r="H2" s="461"/>
      <c r="I2" s="461"/>
    </row>
    <row r="3" spans="1:14" ht="60.75" thickBot="1" x14ac:dyDescent="0.3">
      <c r="A3" s="462" t="s">
        <v>271</v>
      </c>
      <c r="B3" s="462" t="s">
        <v>272</v>
      </c>
      <c r="C3" s="463" t="s">
        <v>273</v>
      </c>
      <c r="D3" s="463" t="s">
        <v>296</v>
      </c>
      <c r="E3" s="463" t="s">
        <v>319</v>
      </c>
      <c r="F3" s="463" t="s">
        <v>274</v>
      </c>
      <c r="G3" s="463" t="s">
        <v>293</v>
      </c>
      <c r="H3" s="464" t="s">
        <v>275</v>
      </c>
      <c r="I3" s="465" t="s">
        <v>276</v>
      </c>
      <c r="L3" s="894" t="s">
        <v>277</v>
      </c>
      <c r="M3" s="895"/>
      <c r="N3" s="896"/>
    </row>
    <row r="4" spans="1:14" ht="16.5" thickBot="1" x14ac:dyDescent="0.3">
      <c r="A4" s="466" t="s">
        <v>94</v>
      </c>
      <c r="B4" s="467" t="s">
        <v>184</v>
      </c>
      <c r="C4" s="287">
        <v>1500</v>
      </c>
      <c r="D4" s="287"/>
      <c r="E4" s="287"/>
      <c r="F4" s="287">
        <v>1500</v>
      </c>
      <c r="G4" s="287"/>
      <c r="H4" s="287"/>
      <c r="I4" s="468">
        <f t="shared" ref="I4:I9" si="0">SUM(D4:H4)</f>
        <v>1500</v>
      </c>
      <c r="J4" s="469">
        <f t="shared" ref="J4:J9" si="1">C4-I4</f>
        <v>0</v>
      </c>
      <c r="L4" s="470" t="s">
        <v>278</v>
      </c>
      <c r="M4" s="821" t="s">
        <v>279</v>
      </c>
      <c r="N4" s="472" t="s">
        <v>280</v>
      </c>
    </row>
    <row r="5" spans="1:14" ht="15.75" x14ac:dyDescent="0.25">
      <c r="A5" s="473" t="s">
        <v>96</v>
      </c>
      <c r="B5" s="792" t="s">
        <v>347</v>
      </c>
      <c r="C5" s="281">
        <f>5000-2000</f>
        <v>3000</v>
      </c>
      <c r="D5" s="281"/>
      <c r="E5" s="281"/>
      <c r="F5" s="281">
        <f>5000-2000</f>
        <v>3000</v>
      </c>
      <c r="G5" s="281"/>
      <c r="H5" s="281"/>
      <c r="I5" s="468">
        <f t="shared" si="0"/>
        <v>3000</v>
      </c>
      <c r="J5" s="469">
        <f t="shared" si="1"/>
        <v>0</v>
      </c>
      <c r="L5" s="474" t="s">
        <v>320</v>
      </c>
      <c r="M5" s="475">
        <v>500</v>
      </c>
      <c r="N5" s="543"/>
    </row>
    <row r="6" spans="1:14" ht="15.75" x14ac:dyDescent="0.25">
      <c r="A6" s="466" t="s">
        <v>96</v>
      </c>
      <c r="B6" s="562" t="s">
        <v>240</v>
      </c>
      <c r="C6" s="290">
        <v>0</v>
      </c>
      <c r="D6" s="290"/>
      <c r="E6" s="290"/>
      <c r="F6" s="290">
        <v>0</v>
      </c>
      <c r="G6" s="290"/>
      <c r="H6" s="290"/>
      <c r="I6" s="468">
        <f t="shared" si="0"/>
        <v>0</v>
      </c>
      <c r="J6" s="469">
        <f t="shared" si="1"/>
        <v>0</v>
      </c>
      <c r="L6" s="480" t="s">
        <v>321</v>
      </c>
      <c r="M6" s="475">
        <v>1000</v>
      </c>
      <c r="N6" s="543"/>
    </row>
    <row r="7" spans="1:14" ht="16.5" thickBot="1" x14ac:dyDescent="0.3">
      <c r="A7" s="483" t="s">
        <v>101</v>
      </c>
      <c r="B7" s="774" t="s">
        <v>322</v>
      </c>
      <c r="C7" s="284">
        <f>390000-50000</f>
        <v>340000</v>
      </c>
      <c r="D7" s="284">
        <v>300000</v>
      </c>
      <c r="E7" s="284"/>
      <c r="F7" s="284">
        <f>90000-50000</f>
        <v>40000</v>
      </c>
      <c r="G7" s="284"/>
      <c r="H7" s="484"/>
      <c r="I7" s="485">
        <f t="shared" si="0"/>
        <v>340000</v>
      </c>
      <c r="J7" s="469">
        <f t="shared" si="1"/>
        <v>0</v>
      </c>
      <c r="L7" s="474" t="s">
        <v>291</v>
      </c>
      <c r="M7" s="475">
        <v>5000</v>
      </c>
      <c r="N7" s="543" t="s">
        <v>495</v>
      </c>
    </row>
    <row r="8" spans="1:14" ht="15.75" x14ac:dyDescent="0.25">
      <c r="A8" s="482" t="s">
        <v>188</v>
      </c>
      <c r="B8" s="493" t="s">
        <v>189</v>
      </c>
      <c r="C8" s="290">
        <f>25000</f>
        <v>25000</v>
      </c>
      <c r="D8" s="290"/>
      <c r="E8" s="290">
        <f>5000</f>
        <v>5000</v>
      </c>
      <c r="F8" s="290">
        <f>20000</f>
        <v>20000</v>
      </c>
      <c r="G8" s="290"/>
      <c r="H8" s="290"/>
      <c r="I8" s="468">
        <f t="shared" si="0"/>
        <v>25000</v>
      </c>
      <c r="J8" s="469">
        <f t="shared" si="1"/>
        <v>0</v>
      </c>
      <c r="L8" s="480" t="s">
        <v>323</v>
      </c>
      <c r="M8" s="486">
        <v>5000</v>
      </c>
      <c r="N8" s="549"/>
    </row>
    <row r="9" spans="1:14" ht="15.75" x14ac:dyDescent="0.25">
      <c r="A9" s="487" t="s">
        <v>188</v>
      </c>
      <c r="B9" s="488" t="s">
        <v>282</v>
      </c>
      <c r="C9" s="281">
        <f>30000+37000</f>
        <v>67000</v>
      </c>
      <c r="D9" s="281"/>
      <c r="E9" s="281"/>
      <c r="F9" s="281">
        <f>30000+37000</f>
        <v>67000</v>
      </c>
      <c r="G9" s="281"/>
      <c r="H9" s="281"/>
      <c r="I9" s="481">
        <f t="shared" si="0"/>
        <v>67000</v>
      </c>
      <c r="J9" s="469">
        <f t="shared" si="1"/>
        <v>0</v>
      </c>
      <c r="L9" s="480" t="s">
        <v>281</v>
      </c>
      <c r="M9" s="475">
        <v>4320</v>
      </c>
      <c r="N9" s="793" t="s">
        <v>667</v>
      </c>
    </row>
    <row r="10" spans="1:14" ht="15.75" x14ac:dyDescent="0.25">
      <c r="A10" s="738" t="s">
        <v>108</v>
      </c>
      <c r="B10" s="739" t="s">
        <v>324</v>
      </c>
      <c r="C10" s="731">
        <f>10000+6000</f>
        <v>16000</v>
      </c>
      <c r="D10" s="281"/>
      <c r="E10" s="281"/>
      <c r="F10" s="281">
        <f>10000+6000</f>
        <v>16000</v>
      </c>
      <c r="G10" s="281"/>
      <c r="H10" s="281"/>
      <c r="I10" s="481">
        <f>SUM(D10:H10)</f>
        <v>16000</v>
      </c>
      <c r="J10" s="469">
        <f>C10-I10</f>
        <v>0</v>
      </c>
      <c r="L10" s="480" t="s">
        <v>668</v>
      </c>
      <c r="M10" s="486">
        <v>3000</v>
      </c>
      <c r="N10" s="549"/>
    </row>
    <row r="11" spans="1:14" ht="16.5" thickBot="1" x14ac:dyDescent="0.3">
      <c r="A11" s="545" t="s">
        <v>108</v>
      </c>
      <c r="B11" s="546" t="s">
        <v>235</v>
      </c>
      <c r="C11" s="285">
        <f>100000-38000</f>
        <v>62000</v>
      </c>
      <c r="D11" s="285"/>
      <c r="E11" s="285"/>
      <c r="F11" s="285">
        <f>100000-38000</f>
        <v>62000</v>
      </c>
      <c r="G11" s="285"/>
      <c r="H11" s="285"/>
      <c r="I11" s="491">
        <f t="shared" ref="I11:I14" si="2">SUM(D11:H11)</f>
        <v>62000</v>
      </c>
      <c r="J11" s="547">
        <f t="shared" ref="J11:J14" si="3">C11-I11</f>
        <v>0</v>
      </c>
      <c r="L11" s="480" t="s">
        <v>292</v>
      </c>
      <c r="M11" s="486">
        <v>1000</v>
      </c>
      <c r="N11" s="548"/>
    </row>
    <row r="12" spans="1:14" ht="15.75" x14ac:dyDescent="0.25">
      <c r="A12" s="735" t="s">
        <v>112</v>
      </c>
      <c r="B12" s="736" t="s">
        <v>673</v>
      </c>
      <c r="C12" s="737">
        <f>70000+19000</f>
        <v>89000</v>
      </c>
      <c r="D12" s="290"/>
      <c r="E12" s="290"/>
      <c r="F12" s="290">
        <f>70000+19000</f>
        <v>89000</v>
      </c>
      <c r="G12" s="290"/>
      <c r="H12" s="290"/>
      <c r="I12" s="734">
        <f t="shared" si="2"/>
        <v>89000</v>
      </c>
      <c r="J12" s="547">
        <f t="shared" si="3"/>
        <v>0</v>
      </c>
      <c r="L12" s="480" t="s">
        <v>671</v>
      </c>
      <c r="M12" s="486">
        <f>1500+500</f>
        <v>2000</v>
      </c>
      <c r="N12" s="549" t="s">
        <v>669</v>
      </c>
    </row>
    <row r="13" spans="1:14" ht="15.75" x14ac:dyDescent="0.25">
      <c r="A13" s="489" t="s">
        <v>123</v>
      </c>
      <c r="B13" s="492" t="s">
        <v>325</v>
      </c>
      <c r="C13" s="293">
        <v>21000</v>
      </c>
      <c r="D13" s="293">
        <v>19000</v>
      </c>
      <c r="E13" s="293"/>
      <c r="F13" s="293">
        <f>2000</f>
        <v>2000</v>
      </c>
      <c r="G13" s="293"/>
      <c r="H13" s="281"/>
      <c r="I13" s="481">
        <f t="shared" si="2"/>
        <v>21000</v>
      </c>
      <c r="J13" s="469">
        <f t="shared" si="3"/>
        <v>0</v>
      </c>
      <c r="L13" s="550" t="s">
        <v>327</v>
      </c>
      <c r="M13" s="551">
        <v>5000</v>
      </c>
      <c r="N13" s="552"/>
    </row>
    <row r="14" spans="1:14" ht="15.75" x14ac:dyDescent="0.25">
      <c r="A14" s="489" t="s">
        <v>123</v>
      </c>
      <c r="B14" s="492" t="s">
        <v>672</v>
      </c>
      <c r="C14" s="293">
        <f>8000+246000</f>
        <v>254000</v>
      </c>
      <c r="D14" s="293">
        <v>178000</v>
      </c>
      <c r="E14" s="293"/>
      <c r="F14" s="293">
        <f>8000+68000</f>
        <v>76000</v>
      </c>
      <c r="G14" s="293"/>
      <c r="H14" s="281"/>
      <c r="I14" s="481">
        <f t="shared" si="2"/>
        <v>254000</v>
      </c>
      <c r="J14" s="469">
        <f t="shared" si="3"/>
        <v>0</v>
      </c>
      <c r="L14" s="550" t="s">
        <v>490</v>
      </c>
      <c r="M14" s="551">
        <v>35000</v>
      </c>
      <c r="N14" s="552"/>
    </row>
    <row r="15" spans="1:14" ht="15.75" x14ac:dyDescent="0.25">
      <c r="A15" s="473" t="s">
        <v>125</v>
      </c>
      <c r="B15" s="294" t="s">
        <v>288</v>
      </c>
      <c r="C15" s="281">
        <f>200000</f>
        <v>200000</v>
      </c>
      <c r="D15" s="281">
        <v>190000</v>
      </c>
      <c r="E15" s="281"/>
      <c r="F15" s="281">
        <v>10000</v>
      </c>
      <c r="G15" s="281"/>
      <c r="H15" s="281"/>
      <c r="I15" s="481">
        <f>SUM(D15:H15)</f>
        <v>200000</v>
      </c>
      <c r="J15" s="469">
        <f>C15-I15</f>
        <v>0</v>
      </c>
      <c r="L15" s="550" t="s">
        <v>670</v>
      </c>
      <c r="M15" s="551">
        <v>3400</v>
      </c>
      <c r="N15" s="552" t="s">
        <v>453</v>
      </c>
    </row>
    <row r="16" spans="1:14" ht="16.5" thickBot="1" x14ac:dyDescent="0.3">
      <c r="A16" s="728" t="s">
        <v>125</v>
      </c>
      <c r="B16" s="729" t="s">
        <v>522</v>
      </c>
      <c r="C16" s="730">
        <f>15000-15000</f>
        <v>0</v>
      </c>
      <c r="D16" s="293"/>
      <c r="E16" s="293"/>
      <c r="F16" s="281">
        <f>15000-15000</f>
        <v>0</v>
      </c>
      <c r="G16" s="281"/>
      <c r="H16" s="281"/>
      <c r="I16" s="481">
        <f>SUM(D16:H16)</f>
        <v>0</v>
      </c>
      <c r="J16" s="469">
        <f>C16-I16</f>
        <v>0</v>
      </c>
      <c r="L16" s="510" t="s">
        <v>286</v>
      </c>
      <c r="M16" s="511">
        <f>5500-520-4500+200+1100</f>
        <v>1780</v>
      </c>
      <c r="N16" s="553"/>
    </row>
    <row r="17" spans="1:14" ht="16.5" thickBot="1" x14ac:dyDescent="0.3">
      <c r="A17" s="728" t="s">
        <v>125</v>
      </c>
      <c r="B17" s="733" t="s">
        <v>674</v>
      </c>
      <c r="C17" s="730">
        <f>160000+886-100000-10000</f>
        <v>50886</v>
      </c>
      <c r="D17" s="293"/>
      <c r="E17" s="730">
        <f>886</f>
        <v>886</v>
      </c>
      <c r="F17" s="281">
        <f>160000-100000-10000</f>
        <v>50000</v>
      </c>
      <c r="G17" s="281"/>
      <c r="H17" s="281"/>
      <c r="I17" s="481">
        <f t="shared" ref="I17:I19" si="4">SUM(D17:H17)</f>
        <v>50886</v>
      </c>
      <c r="J17" s="469">
        <f t="shared" ref="J17:J23" si="5">C17-I17</f>
        <v>0</v>
      </c>
      <c r="L17" s="512" t="s">
        <v>287</v>
      </c>
      <c r="M17" s="513">
        <f>SUM(M5:M16)</f>
        <v>67000</v>
      </c>
      <c r="N17" s="514"/>
    </row>
    <row r="18" spans="1:14" ht="15.75" thickBot="1" x14ac:dyDescent="0.3">
      <c r="A18" s="516" t="s">
        <v>134</v>
      </c>
      <c r="B18" s="517" t="s">
        <v>328</v>
      </c>
      <c r="C18" s="408">
        <f>494560</f>
        <v>494560</v>
      </c>
      <c r="D18" s="408">
        <v>355220</v>
      </c>
      <c r="E18" s="408"/>
      <c r="F18" s="408">
        <f>139340</f>
        <v>139340</v>
      </c>
      <c r="G18" s="408"/>
      <c r="H18" s="408"/>
      <c r="I18" s="518">
        <f t="shared" si="4"/>
        <v>494560</v>
      </c>
      <c r="J18" s="469">
        <f t="shared" si="5"/>
        <v>0</v>
      </c>
    </row>
    <row r="19" spans="1:14" ht="19.5" customHeight="1" thickBot="1" x14ac:dyDescent="0.3">
      <c r="A19" s="466"/>
      <c r="B19" s="494"/>
      <c r="C19" s="287"/>
      <c r="D19" s="287"/>
      <c r="E19" s="287"/>
      <c r="F19" s="287"/>
      <c r="G19" s="287"/>
      <c r="H19" s="287"/>
      <c r="I19" s="468">
        <f t="shared" si="4"/>
        <v>0</v>
      </c>
      <c r="J19" s="469">
        <f t="shared" si="5"/>
        <v>0</v>
      </c>
    </row>
    <row r="20" spans="1:14" ht="15.75" thickBot="1" x14ac:dyDescent="0.3">
      <c r="A20" s="897" t="s">
        <v>289</v>
      </c>
      <c r="B20" s="898"/>
      <c r="C20" s="495">
        <f t="shared" ref="C20:I20" si="6">SUM(C4:C19)</f>
        <v>1623946</v>
      </c>
      <c r="D20" s="495">
        <f t="shared" si="6"/>
        <v>1042220</v>
      </c>
      <c r="E20" s="495">
        <f t="shared" si="6"/>
        <v>5886</v>
      </c>
      <c r="F20" s="495">
        <f t="shared" si="6"/>
        <v>575840</v>
      </c>
      <c r="G20" s="495">
        <f t="shared" si="6"/>
        <v>0</v>
      </c>
      <c r="H20" s="495">
        <f t="shared" si="6"/>
        <v>0</v>
      </c>
      <c r="I20" s="518">
        <f t="shared" si="6"/>
        <v>1623946</v>
      </c>
      <c r="J20" s="469">
        <f t="shared" si="5"/>
        <v>0</v>
      </c>
      <c r="L20" t="s">
        <v>679</v>
      </c>
      <c r="M20">
        <v>7450</v>
      </c>
    </row>
    <row r="21" spans="1:14" ht="15.75" thickBot="1" x14ac:dyDescent="0.3">
      <c r="A21" s="466"/>
      <c r="B21" s="497"/>
      <c r="C21" s="498"/>
      <c r="D21" s="287"/>
      <c r="E21" s="287"/>
      <c r="F21" s="496"/>
      <c r="G21" s="496"/>
      <c r="H21" s="287"/>
      <c r="I21" s="468">
        <f>SUM(D21:H21)</f>
        <v>0</v>
      </c>
      <c r="J21" s="469">
        <f t="shared" si="5"/>
        <v>0</v>
      </c>
      <c r="L21" t="s">
        <v>680</v>
      </c>
      <c r="M21">
        <v>8200</v>
      </c>
    </row>
    <row r="22" spans="1:14" ht="15.75" thickBot="1" x14ac:dyDescent="0.3">
      <c r="A22" s="897" t="s">
        <v>290</v>
      </c>
      <c r="B22" s="898"/>
      <c r="C22" s="495">
        <f>SUM(C21:C21)</f>
        <v>0</v>
      </c>
      <c r="D22" s="495">
        <f t="shared" ref="D22:H22" si="7">SUM(D21:D21)</f>
        <v>0</v>
      </c>
      <c r="E22" s="495">
        <f t="shared" si="7"/>
        <v>0</v>
      </c>
      <c r="F22" s="495">
        <f t="shared" si="7"/>
        <v>0</v>
      </c>
      <c r="G22" s="495">
        <f t="shared" si="7"/>
        <v>0</v>
      </c>
      <c r="H22" s="495">
        <f t="shared" si="7"/>
        <v>0</v>
      </c>
      <c r="I22" s="518">
        <f>SUM(I21:I21)</f>
        <v>0</v>
      </c>
      <c r="J22" s="469">
        <f t="shared" si="5"/>
        <v>0</v>
      </c>
    </row>
    <row r="23" spans="1:14" ht="15.75" thickBot="1" x14ac:dyDescent="0.3">
      <c r="A23" s="897" t="s">
        <v>333</v>
      </c>
      <c r="B23" s="898"/>
      <c r="C23" s="495">
        <f>C20+C22</f>
        <v>1623946</v>
      </c>
      <c r="D23" s="495">
        <f t="shared" ref="D23:H23" si="8">D20+D22</f>
        <v>1042220</v>
      </c>
      <c r="E23" s="495">
        <f t="shared" si="8"/>
        <v>5886</v>
      </c>
      <c r="F23" s="495">
        <f t="shared" si="8"/>
        <v>575840</v>
      </c>
      <c r="G23" s="495">
        <f t="shared" si="8"/>
        <v>0</v>
      </c>
      <c r="H23" s="495">
        <f t="shared" si="8"/>
        <v>0</v>
      </c>
      <c r="I23" s="518">
        <f>I20+I22</f>
        <v>1623946</v>
      </c>
      <c r="J23" s="469">
        <f t="shared" si="5"/>
        <v>0</v>
      </c>
    </row>
    <row r="24" spans="1:14" x14ac:dyDescent="0.25">
      <c r="A24" s="499"/>
      <c r="B24" s="499"/>
      <c r="C24" s="500"/>
      <c r="D24" s="502">
        <f>D20+5000</f>
        <v>1047220</v>
      </c>
      <c r="F24" s="501"/>
      <c r="G24" s="501"/>
      <c r="H24" s="503"/>
      <c r="I24" s="504"/>
      <c r="J24" s="505"/>
    </row>
    <row r="25" spans="1:14" x14ac:dyDescent="0.25">
      <c r="A25" s="732" t="s">
        <v>489</v>
      </c>
      <c r="C25" s="461"/>
      <c r="D25" s="461"/>
      <c r="E25" s="458"/>
      <c r="F25" s="515">
        <f>F23-F51</f>
        <v>575840</v>
      </c>
      <c r="G25" s="515"/>
      <c r="H25" s="461"/>
      <c r="I25" s="461"/>
    </row>
    <row r="26" spans="1:14" x14ac:dyDescent="0.25">
      <c r="A26" s="461"/>
      <c r="C26" s="461"/>
      <c r="D26" s="506"/>
      <c r="E26" s="507"/>
      <c r="F26" s="508"/>
      <c r="G26" s="508"/>
      <c r="H26" s="461"/>
      <c r="I26" s="461"/>
    </row>
    <row r="27" spans="1:14" x14ac:dyDescent="0.25">
      <c r="A27" s="461"/>
      <c r="B27" s="509" t="s">
        <v>678</v>
      </c>
      <c r="C27" s="461"/>
      <c r="D27" s="461"/>
      <c r="E27" s="461"/>
      <c r="F27" s="461"/>
      <c r="G27" s="461"/>
      <c r="H27" s="461"/>
      <c r="I27" s="461"/>
      <c r="J27" s="461"/>
    </row>
    <row r="31" spans="1:14" ht="18" x14ac:dyDescent="0.25">
      <c r="A31" s="893" t="s">
        <v>318</v>
      </c>
      <c r="B31" s="893"/>
      <c r="C31" s="893"/>
      <c r="D31" s="893"/>
      <c r="E31" s="893"/>
      <c r="F31" s="893"/>
      <c r="G31" s="893"/>
      <c r="H31" s="893"/>
    </row>
    <row r="32" spans="1:14" ht="15.75" thickBot="1" x14ac:dyDescent="0.3">
      <c r="A32" s="461"/>
      <c r="B32" s="461"/>
      <c r="C32" s="461"/>
      <c r="D32" s="461"/>
      <c r="E32" s="461"/>
      <c r="F32" s="461"/>
      <c r="G32" s="461"/>
      <c r="H32" s="461"/>
      <c r="I32" s="461"/>
    </row>
    <row r="33" spans="1:14" ht="60.75" thickBot="1" x14ac:dyDescent="0.3">
      <c r="A33" s="462" t="s">
        <v>271</v>
      </c>
      <c r="B33" s="462" t="s">
        <v>272</v>
      </c>
      <c r="C33" s="463" t="s">
        <v>273</v>
      </c>
      <c r="D33" s="463" t="s">
        <v>296</v>
      </c>
      <c r="E33" s="463" t="s">
        <v>319</v>
      </c>
      <c r="F33" s="463" t="s">
        <v>274</v>
      </c>
      <c r="G33" s="463" t="s">
        <v>293</v>
      </c>
      <c r="H33" s="464" t="s">
        <v>275</v>
      </c>
      <c r="I33" s="465" t="s">
        <v>276</v>
      </c>
    </row>
    <row r="34" spans="1:14" ht="16.5" thickBot="1" x14ac:dyDescent="0.3">
      <c r="A34" s="466" t="s">
        <v>94</v>
      </c>
      <c r="B34" s="467" t="s">
        <v>184</v>
      </c>
      <c r="C34" s="287">
        <v>1500</v>
      </c>
      <c r="D34" s="287"/>
      <c r="E34" s="287"/>
      <c r="F34" s="287">
        <v>1500</v>
      </c>
      <c r="G34" s="287"/>
      <c r="H34" s="287"/>
      <c r="I34" s="468">
        <f t="shared" ref="I34:I39" si="9">SUM(D34:H34)</f>
        <v>1500</v>
      </c>
      <c r="J34" s="469">
        <f t="shared" ref="J34:J39" si="10">C34-I34</f>
        <v>0</v>
      </c>
      <c r="L34" s="894" t="s">
        <v>277</v>
      </c>
      <c r="M34" s="895"/>
      <c r="N34" s="896"/>
    </row>
    <row r="35" spans="1:14" ht="16.5" thickBot="1" x14ac:dyDescent="0.3">
      <c r="A35" s="738" t="s">
        <v>96</v>
      </c>
      <c r="B35" s="750" t="s">
        <v>347</v>
      </c>
      <c r="C35" s="731">
        <f>5000-2000</f>
        <v>3000</v>
      </c>
      <c r="D35" s="731"/>
      <c r="E35" s="731"/>
      <c r="F35" s="731">
        <f>5000-2000</f>
        <v>3000</v>
      </c>
      <c r="G35" s="731"/>
      <c r="H35" s="281"/>
      <c r="I35" s="468">
        <f t="shared" si="9"/>
        <v>3000</v>
      </c>
      <c r="J35" s="469">
        <f t="shared" si="10"/>
        <v>0</v>
      </c>
      <c r="L35" s="470" t="s">
        <v>278</v>
      </c>
      <c r="M35" s="471" t="s">
        <v>279</v>
      </c>
      <c r="N35" s="472" t="s">
        <v>280</v>
      </c>
    </row>
    <row r="36" spans="1:14" ht="15.75" x14ac:dyDescent="0.25">
      <c r="A36" s="466" t="s">
        <v>96</v>
      </c>
      <c r="B36" s="562" t="s">
        <v>240</v>
      </c>
      <c r="C36" s="290">
        <v>0</v>
      </c>
      <c r="D36" s="290"/>
      <c r="E36" s="290"/>
      <c r="F36" s="290">
        <v>0</v>
      </c>
      <c r="G36" s="290"/>
      <c r="H36" s="290"/>
      <c r="I36" s="468">
        <f t="shared" si="9"/>
        <v>0</v>
      </c>
      <c r="J36" s="469">
        <f t="shared" si="10"/>
        <v>0</v>
      </c>
      <c r="L36" s="474" t="s">
        <v>320</v>
      </c>
      <c r="M36" s="475">
        <v>500</v>
      </c>
      <c r="N36" s="543"/>
    </row>
    <row r="37" spans="1:14" ht="16.5" thickBot="1" x14ac:dyDescent="0.3">
      <c r="A37" s="751" t="s">
        <v>101</v>
      </c>
      <c r="B37" s="752" t="s">
        <v>322</v>
      </c>
      <c r="C37" s="753">
        <f>390000-50000</f>
        <v>340000</v>
      </c>
      <c r="D37" s="753">
        <v>300000</v>
      </c>
      <c r="E37" s="753"/>
      <c r="F37" s="753">
        <f>90000-50000</f>
        <v>40000</v>
      </c>
      <c r="G37" s="753"/>
      <c r="H37" s="484"/>
      <c r="I37" s="485">
        <f t="shared" si="9"/>
        <v>340000</v>
      </c>
      <c r="J37" s="469">
        <f t="shared" si="10"/>
        <v>0</v>
      </c>
      <c r="L37" s="480" t="s">
        <v>321</v>
      </c>
      <c r="M37" s="475">
        <v>1000</v>
      </c>
      <c r="N37" s="543"/>
    </row>
    <row r="38" spans="1:14" ht="15.75" x14ac:dyDescent="0.25">
      <c r="A38" s="482" t="s">
        <v>188</v>
      </c>
      <c r="B38" s="493" t="s">
        <v>189</v>
      </c>
      <c r="C38" s="290">
        <f>25000</f>
        <v>25000</v>
      </c>
      <c r="D38" s="290"/>
      <c r="E38" s="290">
        <v>5000</v>
      </c>
      <c r="F38" s="290">
        <f>20000</f>
        <v>20000</v>
      </c>
      <c r="G38" s="290"/>
      <c r="H38" s="290"/>
      <c r="I38" s="468">
        <f t="shared" si="9"/>
        <v>25000</v>
      </c>
      <c r="J38" s="469">
        <f t="shared" si="10"/>
        <v>0</v>
      </c>
      <c r="L38" s="474" t="s">
        <v>291</v>
      </c>
      <c r="M38" s="475">
        <v>5000</v>
      </c>
      <c r="N38" s="543" t="s">
        <v>495</v>
      </c>
    </row>
    <row r="39" spans="1:14" ht="15.75" x14ac:dyDescent="0.25">
      <c r="A39" s="738" t="s">
        <v>188</v>
      </c>
      <c r="B39" s="739" t="s">
        <v>282</v>
      </c>
      <c r="C39" s="731">
        <f>30000+37000</f>
        <v>67000</v>
      </c>
      <c r="D39" s="731"/>
      <c r="E39" s="731"/>
      <c r="F39" s="731">
        <f>30000+37000</f>
        <v>67000</v>
      </c>
      <c r="G39" s="731"/>
      <c r="H39" s="460"/>
      <c r="I39" s="481">
        <f t="shared" si="9"/>
        <v>67000</v>
      </c>
      <c r="J39" s="469">
        <f t="shared" si="10"/>
        <v>0</v>
      </c>
      <c r="L39" s="474" t="s">
        <v>323</v>
      </c>
      <c r="M39" s="486">
        <v>5000</v>
      </c>
      <c r="N39" s="544"/>
    </row>
    <row r="40" spans="1:14" ht="15.75" x14ac:dyDescent="0.25">
      <c r="A40" s="473" t="s">
        <v>108</v>
      </c>
      <c r="B40" s="490" t="s">
        <v>324</v>
      </c>
      <c r="C40" s="281">
        <v>10000</v>
      </c>
      <c r="D40" s="281"/>
      <c r="E40" s="281"/>
      <c r="F40" s="281">
        <v>10000</v>
      </c>
      <c r="G40" s="281"/>
      <c r="H40" s="281"/>
      <c r="I40" s="481">
        <f>SUM(D40:H40)</f>
        <v>10000</v>
      </c>
      <c r="J40" s="469">
        <f>C40-I40</f>
        <v>0</v>
      </c>
      <c r="L40" s="702" t="s">
        <v>281</v>
      </c>
      <c r="M40" s="703">
        <f>2000+520+2000</f>
        <v>4520</v>
      </c>
      <c r="N40" s="543" t="s">
        <v>453</v>
      </c>
    </row>
    <row r="41" spans="1:14" ht="16.5" thickBot="1" x14ac:dyDescent="0.3">
      <c r="A41" s="754" t="s">
        <v>108</v>
      </c>
      <c r="B41" s="755" t="s">
        <v>235</v>
      </c>
      <c r="C41" s="756">
        <f>100000-38000</f>
        <v>62000</v>
      </c>
      <c r="D41" s="756"/>
      <c r="E41" s="756"/>
      <c r="F41" s="756">
        <f>100000-38000</f>
        <v>62000</v>
      </c>
      <c r="G41" s="756"/>
      <c r="H41" s="285"/>
      <c r="I41" s="491">
        <f t="shared" ref="I41:I44" si="11">SUM(D41:H41)</f>
        <v>62000</v>
      </c>
      <c r="J41" s="547">
        <f t="shared" ref="J41:J44" si="12">C41-I41</f>
        <v>0</v>
      </c>
      <c r="L41" s="474" t="s">
        <v>283</v>
      </c>
      <c r="M41" s="486">
        <v>3000</v>
      </c>
      <c r="N41" s="544"/>
    </row>
    <row r="42" spans="1:14" ht="15.75" x14ac:dyDescent="0.25">
      <c r="A42" s="735" t="s">
        <v>112</v>
      </c>
      <c r="B42" s="736" t="s">
        <v>492</v>
      </c>
      <c r="C42" s="737">
        <v>70000</v>
      </c>
      <c r="D42" s="737"/>
      <c r="E42" s="737"/>
      <c r="F42" s="737">
        <v>70000</v>
      </c>
      <c r="G42" s="737"/>
      <c r="H42" s="290"/>
      <c r="I42" s="734">
        <f t="shared" si="11"/>
        <v>70000</v>
      </c>
      <c r="J42" s="547">
        <f t="shared" si="12"/>
        <v>0</v>
      </c>
      <c r="L42" s="480" t="s">
        <v>292</v>
      </c>
      <c r="M42" s="486">
        <v>1000</v>
      </c>
      <c r="N42" s="548"/>
    </row>
    <row r="43" spans="1:14" ht="15.75" x14ac:dyDescent="0.25">
      <c r="A43" s="489" t="s">
        <v>123</v>
      </c>
      <c r="B43" s="492" t="s">
        <v>325</v>
      </c>
      <c r="C43" s="293">
        <v>21000</v>
      </c>
      <c r="D43" s="293">
        <v>19000</v>
      </c>
      <c r="E43" s="293"/>
      <c r="F43" s="293">
        <f>2000</f>
        <v>2000</v>
      </c>
      <c r="G43" s="293"/>
      <c r="H43" s="281"/>
      <c r="I43" s="481">
        <f t="shared" si="11"/>
        <v>21000</v>
      </c>
      <c r="J43" s="469">
        <f t="shared" si="12"/>
        <v>0</v>
      </c>
      <c r="L43" s="480" t="s">
        <v>284</v>
      </c>
      <c r="M43" s="486">
        <v>500</v>
      </c>
      <c r="N43" s="549"/>
    </row>
    <row r="44" spans="1:14" ht="15.75" x14ac:dyDescent="0.25">
      <c r="A44" s="728" t="s">
        <v>123</v>
      </c>
      <c r="B44" s="733" t="s">
        <v>524</v>
      </c>
      <c r="C44" s="730">
        <f>8000+246000</f>
        <v>254000</v>
      </c>
      <c r="D44" s="730">
        <v>178000</v>
      </c>
      <c r="E44" s="730"/>
      <c r="F44" s="730">
        <f>8000+68000</f>
        <v>76000</v>
      </c>
      <c r="G44" s="730"/>
      <c r="H44" s="281"/>
      <c r="I44" s="481">
        <f t="shared" si="11"/>
        <v>254000</v>
      </c>
      <c r="J44" s="469">
        <f t="shared" si="12"/>
        <v>0</v>
      </c>
      <c r="L44" s="550" t="s">
        <v>326</v>
      </c>
      <c r="M44" s="551">
        <v>1500</v>
      </c>
      <c r="N44" s="552"/>
    </row>
    <row r="45" spans="1:14" ht="15.75" x14ac:dyDescent="0.25">
      <c r="A45" s="473" t="s">
        <v>125</v>
      </c>
      <c r="B45" s="294" t="s">
        <v>288</v>
      </c>
      <c r="C45" s="281">
        <f>200000</f>
        <v>200000</v>
      </c>
      <c r="D45" s="281">
        <v>190000</v>
      </c>
      <c r="E45" s="281"/>
      <c r="F45" s="281">
        <v>10000</v>
      </c>
      <c r="G45" s="281"/>
      <c r="H45" s="281"/>
      <c r="I45" s="481">
        <f>SUM(D45:H45)</f>
        <v>200000</v>
      </c>
      <c r="J45" s="469">
        <f>C45-I45</f>
        <v>0</v>
      </c>
      <c r="L45" s="550" t="s">
        <v>327</v>
      </c>
      <c r="M45" s="551">
        <v>5000</v>
      </c>
      <c r="N45" s="552"/>
    </row>
    <row r="46" spans="1:14" ht="15.75" x14ac:dyDescent="0.25">
      <c r="A46" s="728" t="s">
        <v>125</v>
      </c>
      <c r="B46" s="729" t="s">
        <v>522</v>
      </c>
      <c r="C46" s="730">
        <v>15000</v>
      </c>
      <c r="D46" s="730"/>
      <c r="E46" s="730"/>
      <c r="F46" s="731">
        <v>15000</v>
      </c>
      <c r="G46" s="731"/>
      <c r="H46" s="281"/>
      <c r="I46" s="481">
        <f>SUM(D46:H46)</f>
        <v>15000</v>
      </c>
      <c r="J46" s="469">
        <f>C46-I46</f>
        <v>0</v>
      </c>
      <c r="L46" s="719" t="s">
        <v>490</v>
      </c>
      <c r="M46" s="720">
        <v>35000</v>
      </c>
      <c r="N46" s="552"/>
    </row>
    <row r="47" spans="1:14" ht="16.5" thickBot="1" x14ac:dyDescent="0.3">
      <c r="A47" s="728" t="s">
        <v>125</v>
      </c>
      <c r="B47" s="733" t="s">
        <v>529</v>
      </c>
      <c r="C47" s="730">
        <f>160000+886-100000</f>
        <v>60886</v>
      </c>
      <c r="D47" s="730"/>
      <c r="E47" s="730">
        <f>886</f>
        <v>886</v>
      </c>
      <c r="F47" s="731">
        <f>160000-100000</f>
        <v>60000</v>
      </c>
      <c r="G47" s="731"/>
      <c r="H47" s="281"/>
      <c r="I47" s="481">
        <f t="shared" ref="I47:I49" si="13">SUM(D47:H47)</f>
        <v>60886</v>
      </c>
      <c r="J47" s="469">
        <f t="shared" ref="J47:J53" si="14">C47-I47</f>
        <v>0</v>
      </c>
      <c r="L47" s="719" t="s">
        <v>491</v>
      </c>
      <c r="M47" s="720">
        <v>4500</v>
      </c>
      <c r="N47" s="552"/>
    </row>
    <row r="48" spans="1:14" ht="16.5" thickBot="1" x14ac:dyDescent="0.3">
      <c r="A48" s="516" t="s">
        <v>134</v>
      </c>
      <c r="B48" s="517" t="s">
        <v>328</v>
      </c>
      <c r="C48" s="408">
        <v>494560</v>
      </c>
      <c r="D48" s="408">
        <v>355220</v>
      </c>
      <c r="E48" s="408"/>
      <c r="F48" s="408">
        <v>139340</v>
      </c>
      <c r="G48" s="408"/>
      <c r="H48" s="408"/>
      <c r="I48" s="518">
        <f t="shared" si="13"/>
        <v>494560</v>
      </c>
      <c r="J48" s="469">
        <f t="shared" si="14"/>
        <v>0</v>
      </c>
      <c r="L48" s="510" t="s">
        <v>286</v>
      </c>
      <c r="M48" s="511">
        <f>5500-520-4500</f>
        <v>480</v>
      </c>
      <c r="N48" s="553"/>
    </row>
    <row r="49" spans="1:14" ht="16.5" thickBot="1" x14ac:dyDescent="0.3">
      <c r="A49" s="466"/>
      <c r="B49" s="494"/>
      <c r="C49" s="287"/>
      <c r="D49" s="287"/>
      <c r="E49" s="287"/>
      <c r="F49" s="287"/>
      <c r="G49" s="287"/>
      <c r="H49" s="287"/>
      <c r="I49" s="468">
        <f t="shared" si="13"/>
        <v>0</v>
      </c>
      <c r="J49" s="469">
        <f t="shared" si="14"/>
        <v>0</v>
      </c>
      <c r="L49" s="512" t="s">
        <v>287</v>
      </c>
      <c r="M49" s="513">
        <f>SUM(M36:M48)</f>
        <v>67000</v>
      </c>
      <c r="N49" s="514"/>
    </row>
    <row r="50" spans="1:14" ht="15.75" thickBot="1" x14ac:dyDescent="0.3">
      <c r="A50" s="897" t="s">
        <v>289</v>
      </c>
      <c r="B50" s="898"/>
      <c r="C50" s="495">
        <f t="shared" ref="C50:I50" si="15">SUM(C34:C49)</f>
        <v>1623946</v>
      </c>
      <c r="D50" s="495">
        <f t="shared" si="15"/>
        <v>1042220</v>
      </c>
      <c r="E50" s="495">
        <f t="shared" si="15"/>
        <v>5886</v>
      </c>
      <c r="F50" s="495">
        <f t="shared" si="15"/>
        <v>575840</v>
      </c>
      <c r="G50" s="495">
        <f t="shared" si="15"/>
        <v>0</v>
      </c>
      <c r="H50" s="495">
        <f t="shared" si="15"/>
        <v>0</v>
      </c>
      <c r="I50" s="518">
        <f t="shared" si="15"/>
        <v>1623946</v>
      </c>
      <c r="J50" s="469">
        <f t="shared" si="14"/>
        <v>0</v>
      </c>
    </row>
    <row r="51" spans="1:14" ht="15.75" thickBot="1" x14ac:dyDescent="0.3">
      <c r="A51" s="466"/>
      <c r="B51" s="497"/>
      <c r="C51" s="498"/>
      <c r="D51" s="287"/>
      <c r="E51" s="287"/>
      <c r="F51" s="496"/>
      <c r="G51" s="496"/>
      <c r="H51" s="287"/>
      <c r="I51" s="468">
        <f>SUM(D51:H51)</f>
        <v>0</v>
      </c>
      <c r="J51" s="469">
        <f t="shared" si="14"/>
        <v>0</v>
      </c>
    </row>
    <row r="52" spans="1:14" ht="15.75" thickBot="1" x14ac:dyDescent="0.3">
      <c r="A52" s="897" t="s">
        <v>290</v>
      </c>
      <c r="B52" s="898"/>
      <c r="C52" s="495">
        <f>SUM(C51:C51)</f>
        <v>0</v>
      </c>
      <c r="D52" s="495">
        <f t="shared" ref="D52:H52" si="16">SUM(D51:D51)</f>
        <v>0</v>
      </c>
      <c r="E52" s="495">
        <f t="shared" si="16"/>
        <v>0</v>
      </c>
      <c r="F52" s="495">
        <f t="shared" si="16"/>
        <v>0</v>
      </c>
      <c r="G52" s="495">
        <f t="shared" si="16"/>
        <v>0</v>
      </c>
      <c r="H52" s="495">
        <f t="shared" si="16"/>
        <v>0</v>
      </c>
      <c r="I52" s="518">
        <f>SUM(I51:I51)</f>
        <v>0</v>
      </c>
      <c r="J52" s="469">
        <f t="shared" si="14"/>
        <v>0</v>
      </c>
    </row>
    <row r="53" spans="1:14" ht="15.75" thickBot="1" x14ac:dyDescent="0.3">
      <c r="A53" s="897" t="s">
        <v>333</v>
      </c>
      <c r="B53" s="898"/>
      <c r="C53" s="495">
        <f>C50+C52</f>
        <v>1623946</v>
      </c>
      <c r="D53" s="495">
        <f t="shared" ref="D53:H53" si="17">D50+D52</f>
        <v>1042220</v>
      </c>
      <c r="E53" s="495">
        <f t="shared" si="17"/>
        <v>5886</v>
      </c>
      <c r="F53" s="495">
        <f t="shared" si="17"/>
        <v>575840</v>
      </c>
      <c r="G53" s="495">
        <f t="shared" si="17"/>
        <v>0</v>
      </c>
      <c r="H53" s="495">
        <f t="shared" si="17"/>
        <v>0</v>
      </c>
      <c r="I53" s="518">
        <f>I50+I52</f>
        <v>1623946</v>
      </c>
      <c r="J53" s="469">
        <f t="shared" si="14"/>
        <v>0</v>
      </c>
    </row>
    <row r="54" spans="1:14" x14ac:dyDescent="0.25">
      <c r="A54" s="499"/>
      <c r="B54" s="499"/>
      <c r="C54" s="500"/>
      <c r="D54" s="502">
        <f>D50+5000</f>
        <v>1047220</v>
      </c>
      <c r="F54" s="501"/>
      <c r="G54" s="501"/>
      <c r="H54" s="503"/>
      <c r="I54" s="504"/>
      <c r="J54" s="505"/>
    </row>
    <row r="55" spans="1:14" x14ac:dyDescent="0.25">
      <c r="A55" s="732" t="s">
        <v>489</v>
      </c>
      <c r="C55" s="461"/>
      <c r="D55" s="461"/>
      <c r="E55" s="458"/>
      <c r="F55" s="515">
        <f>F53-F82</f>
        <v>0</v>
      </c>
      <c r="G55" s="515"/>
      <c r="H55" s="461"/>
      <c r="I55" s="461"/>
    </row>
    <row r="56" spans="1:14" x14ac:dyDescent="0.25">
      <c r="A56" s="461"/>
      <c r="C56" s="461"/>
      <c r="D56" s="506"/>
      <c r="E56" s="507"/>
      <c r="F56" s="508"/>
      <c r="G56" s="508"/>
      <c r="H56" s="461"/>
      <c r="I56" s="461"/>
    </row>
    <row r="57" spans="1:14" x14ac:dyDescent="0.25">
      <c r="A57" s="461"/>
      <c r="B57" s="509" t="s">
        <v>557</v>
      </c>
      <c r="C57" s="461"/>
      <c r="D57" s="461"/>
      <c r="E57" s="461"/>
      <c r="F57" s="461"/>
      <c r="G57" s="461"/>
      <c r="H57" s="461"/>
      <c r="I57" s="461"/>
      <c r="J57" s="461"/>
    </row>
    <row r="58" spans="1:14" x14ac:dyDescent="0.25">
      <c r="A58" s="461"/>
      <c r="B58" t="s">
        <v>451</v>
      </c>
      <c r="C58" s="461"/>
      <c r="D58" s="461"/>
      <c r="E58" s="461"/>
      <c r="F58" s="461"/>
      <c r="G58" s="461"/>
      <c r="H58" s="461"/>
      <c r="I58" s="461"/>
      <c r="J58" s="461"/>
    </row>
    <row r="59" spans="1:14" x14ac:dyDescent="0.25">
      <c r="B59" s="509"/>
      <c r="C59" s="461"/>
      <c r="D59" s="461"/>
      <c r="E59" s="461"/>
      <c r="F59" s="461"/>
      <c r="G59" s="461"/>
      <c r="H59" s="461"/>
      <c r="I59" s="461"/>
      <c r="J59" s="461"/>
    </row>
    <row r="61" spans="1:14" ht="18" x14ac:dyDescent="0.25">
      <c r="A61" s="893" t="s">
        <v>318</v>
      </c>
      <c r="B61" s="893"/>
      <c r="C61" s="893"/>
      <c r="D61" s="893"/>
      <c r="E61" s="893"/>
      <c r="F61" s="893"/>
      <c r="G61" s="893"/>
      <c r="H61" s="893"/>
    </row>
    <row r="62" spans="1:14" ht="15.75" thickBot="1" x14ac:dyDescent="0.3">
      <c r="A62" s="461"/>
      <c r="B62" s="461"/>
      <c r="C62" s="461"/>
      <c r="D62" s="461"/>
      <c r="E62" s="461"/>
      <c r="F62" s="461"/>
      <c r="G62" s="461"/>
      <c r="H62" s="461"/>
      <c r="I62" s="461"/>
    </row>
    <row r="63" spans="1:14" ht="60.75" thickBot="1" x14ac:dyDescent="0.3">
      <c r="A63" s="462" t="s">
        <v>271</v>
      </c>
      <c r="B63" s="462" t="s">
        <v>272</v>
      </c>
      <c r="C63" s="463" t="s">
        <v>273</v>
      </c>
      <c r="D63" s="463" t="s">
        <v>296</v>
      </c>
      <c r="E63" s="463" t="s">
        <v>319</v>
      </c>
      <c r="F63" s="463" t="s">
        <v>274</v>
      </c>
      <c r="G63" s="463" t="s">
        <v>293</v>
      </c>
      <c r="H63" s="464" t="s">
        <v>275</v>
      </c>
      <c r="I63" s="465" t="s">
        <v>276</v>
      </c>
    </row>
    <row r="64" spans="1:14" ht="15.75" thickBot="1" x14ac:dyDescent="0.3">
      <c r="A64" s="466" t="s">
        <v>94</v>
      </c>
      <c r="B64" s="467" t="s">
        <v>184</v>
      </c>
      <c r="C64" s="287">
        <v>1500</v>
      </c>
      <c r="D64" s="287"/>
      <c r="E64" s="287"/>
      <c r="F64" s="287">
        <v>1500</v>
      </c>
      <c r="G64" s="287"/>
      <c r="H64" s="287"/>
      <c r="I64" s="468">
        <f t="shared" ref="I64:I70" si="18">SUM(D64:H64)</f>
        <v>1500</v>
      </c>
      <c r="J64" s="469">
        <f t="shared" ref="J64:J70" si="19">C64-I64</f>
        <v>0</v>
      </c>
    </row>
    <row r="65" spans="1:14" ht="16.5" thickBot="1" x14ac:dyDescent="0.3">
      <c r="A65" s="473" t="s">
        <v>96</v>
      </c>
      <c r="B65" s="563" t="s">
        <v>347</v>
      </c>
      <c r="C65" s="281">
        <v>5000</v>
      </c>
      <c r="D65" s="281"/>
      <c r="E65" s="281"/>
      <c r="F65" s="281">
        <v>5000</v>
      </c>
      <c r="G65" s="281"/>
      <c r="H65" s="281"/>
      <c r="I65" s="468">
        <f t="shared" ref="I65" si="20">SUM(D65:H65)</f>
        <v>5000</v>
      </c>
      <c r="J65" s="469">
        <f t="shared" ref="J65" si="21">C65-I65</f>
        <v>0</v>
      </c>
      <c r="L65" s="894" t="s">
        <v>277</v>
      </c>
      <c r="M65" s="895"/>
      <c r="N65" s="896"/>
    </row>
    <row r="66" spans="1:14" ht="16.5" thickBot="1" x14ac:dyDescent="0.3">
      <c r="A66" s="466" t="s">
        <v>96</v>
      </c>
      <c r="B66" s="562" t="s">
        <v>240</v>
      </c>
      <c r="C66" s="290">
        <v>0</v>
      </c>
      <c r="D66" s="290"/>
      <c r="E66" s="290"/>
      <c r="F66" s="290">
        <v>0</v>
      </c>
      <c r="G66" s="290"/>
      <c r="H66" s="290"/>
      <c r="I66" s="468">
        <f t="shared" si="18"/>
        <v>0</v>
      </c>
      <c r="J66" s="469">
        <f t="shared" si="19"/>
        <v>0</v>
      </c>
      <c r="L66" s="470" t="s">
        <v>278</v>
      </c>
      <c r="M66" s="471" t="s">
        <v>279</v>
      </c>
      <c r="N66" s="472" t="s">
        <v>280</v>
      </c>
    </row>
    <row r="67" spans="1:14" ht="15.75" x14ac:dyDescent="0.25">
      <c r="A67" s="476" t="s">
        <v>99</v>
      </c>
      <c r="B67" s="477" t="s">
        <v>241</v>
      </c>
      <c r="C67" s="478">
        <v>0</v>
      </c>
      <c r="D67" s="278"/>
      <c r="E67" s="278"/>
      <c r="F67" s="278">
        <v>0</v>
      </c>
      <c r="G67" s="278"/>
      <c r="H67" s="278"/>
      <c r="I67" s="479">
        <f t="shared" si="18"/>
        <v>0</v>
      </c>
      <c r="J67" s="469">
        <f t="shared" si="19"/>
        <v>0</v>
      </c>
      <c r="L67" s="474" t="s">
        <v>320</v>
      </c>
      <c r="M67" s="475">
        <v>500</v>
      </c>
      <c r="N67" s="543"/>
    </row>
    <row r="68" spans="1:14" ht="16.5" thickBot="1" x14ac:dyDescent="0.3">
      <c r="A68" s="483" t="s">
        <v>101</v>
      </c>
      <c r="B68" s="519" t="s">
        <v>322</v>
      </c>
      <c r="C68" s="284">
        <v>390000</v>
      </c>
      <c r="D68" s="284">
        <v>300000</v>
      </c>
      <c r="E68" s="284"/>
      <c r="F68" s="284">
        <v>90000</v>
      </c>
      <c r="G68" s="484"/>
      <c r="H68" s="484"/>
      <c r="I68" s="485">
        <f t="shared" si="18"/>
        <v>390000</v>
      </c>
      <c r="J68" s="469">
        <f t="shared" si="19"/>
        <v>0</v>
      </c>
      <c r="L68" s="480" t="s">
        <v>321</v>
      </c>
      <c r="M68" s="475">
        <v>1000</v>
      </c>
      <c r="N68" s="543"/>
    </row>
    <row r="69" spans="1:14" ht="15.75" x14ac:dyDescent="0.25">
      <c r="A69" s="482" t="s">
        <v>188</v>
      </c>
      <c r="B69" s="493" t="s">
        <v>189</v>
      </c>
      <c r="C69" s="290">
        <f>25000</f>
        <v>25000</v>
      </c>
      <c r="D69" s="290"/>
      <c r="E69" s="290">
        <v>5000</v>
      </c>
      <c r="F69" s="290">
        <f>20000</f>
        <v>20000</v>
      </c>
      <c r="G69" s="290"/>
      <c r="H69" s="290"/>
      <c r="I69" s="468">
        <f t="shared" si="18"/>
        <v>25000</v>
      </c>
      <c r="J69" s="469">
        <f t="shared" si="19"/>
        <v>0</v>
      </c>
      <c r="L69" s="474" t="s">
        <v>291</v>
      </c>
      <c r="M69" s="475">
        <v>5000</v>
      </c>
      <c r="N69" s="543"/>
    </row>
    <row r="70" spans="1:14" ht="15.75" x14ac:dyDescent="0.25">
      <c r="A70" s="487" t="s">
        <v>188</v>
      </c>
      <c r="B70" s="488" t="s">
        <v>282</v>
      </c>
      <c r="C70" s="460">
        <v>30000</v>
      </c>
      <c r="D70" s="460"/>
      <c r="E70" s="460"/>
      <c r="F70" s="460">
        <v>30000</v>
      </c>
      <c r="G70" s="460"/>
      <c r="H70" s="460"/>
      <c r="I70" s="481">
        <f t="shared" si="18"/>
        <v>30000</v>
      </c>
      <c r="J70" s="469">
        <f t="shared" si="19"/>
        <v>0</v>
      </c>
      <c r="L70" s="474" t="s">
        <v>323</v>
      </c>
      <c r="M70" s="486">
        <v>5000</v>
      </c>
      <c r="N70" s="544"/>
    </row>
    <row r="71" spans="1:14" ht="15.75" x14ac:dyDescent="0.25">
      <c r="A71" s="473" t="s">
        <v>108</v>
      </c>
      <c r="B71" s="490" t="s">
        <v>324</v>
      </c>
      <c r="C71" s="281">
        <v>10000</v>
      </c>
      <c r="D71" s="281"/>
      <c r="E71" s="281"/>
      <c r="F71" s="281">
        <v>10000</v>
      </c>
      <c r="G71" s="281"/>
      <c r="H71" s="281"/>
      <c r="I71" s="481">
        <f>SUM(D71:H71)</f>
        <v>10000</v>
      </c>
      <c r="J71" s="469">
        <f>C71-I71</f>
        <v>0</v>
      </c>
      <c r="L71" s="474" t="s">
        <v>281</v>
      </c>
      <c r="M71" s="475">
        <v>2000</v>
      </c>
      <c r="N71" s="543"/>
    </row>
    <row r="72" spans="1:14" ht="16.5" thickBot="1" x14ac:dyDescent="0.3">
      <c r="A72" s="545" t="s">
        <v>108</v>
      </c>
      <c r="B72" s="546" t="s">
        <v>235</v>
      </c>
      <c r="C72" s="285">
        <v>100000</v>
      </c>
      <c r="D72" s="285"/>
      <c r="E72" s="285"/>
      <c r="F72" s="285">
        <v>100000</v>
      </c>
      <c r="G72" s="285"/>
      <c r="H72" s="285"/>
      <c r="I72" s="491">
        <f t="shared" ref="I72:I74" si="22">SUM(D72:H72)</f>
        <v>100000</v>
      </c>
      <c r="J72" s="547">
        <f t="shared" ref="J72:J74" si="23">C72-I72</f>
        <v>0</v>
      </c>
      <c r="L72" s="474" t="s">
        <v>283</v>
      </c>
      <c r="M72" s="486">
        <v>3000</v>
      </c>
      <c r="N72" s="544"/>
    </row>
    <row r="73" spans="1:14" ht="15.75" x14ac:dyDescent="0.25">
      <c r="A73" s="489" t="s">
        <v>123</v>
      </c>
      <c r="B73" s="492" t="s">
        <v>325</v>
      </c>
      <c r="C73" s="293">
        <v>21000</v>
      </c>
      <c r="D73" s="293">
        <v>19000</v>
      </c>
      <c r="E73" s="293"/>
      <c r="F73" s="293">
        <f>2000</f>
        <v>2000</v>
      </c>
      <c r="G73" s="293"/>
      <c r="H73" s="281"/>
      <c r="I73" s="481">
        <f t="shared" si="22"/>
        <v>21000</v>
      </c>
      <c r="J73" s="469">
        <f t="shared" si="23"/>
        <v>0</v>
      </c>
      <c r="L73" s="480" t="s">
        <v>292</v>
      </c>
      <c r="M73" s="486">
        <v>1000</v>
      </c>
      <c r="N73" s="548"/>
    </row>
    <row r="74" spans="1:14" ht="15.75" x14ac:dyDescent="0.25">
      <c r="A74" s="489" t="s">
        <v>123</v>
      </c>
      <c r="B74" s="492" t="s">
        <v>285</v>
      </c>
      <c r="C74" s="293">
        <v>8000</v>
      </c>
      <c r="D74" s="293"/>
      <c r="E74" s="293"/>
      <c r="F74" s="293">
        <f>8000</f>
        <v>8000</v>
      </c>
      <c r="G74" s="293"/>
      <c r="H74" s="281"/>
      <c r="I74" s="481">
        <f t="shared" si="22"/>
        <v>8000</v>
      </c>
      <c r="J74" s="469">
        <f t="shared" si="23"/>
        <v>0</v>
      </c>
      <c r="L74" s="480" t="s">
        <v>284</v>
      </c>
      <c r="M74" s="486">
        <v>500</v>
      </c>
      <c r="N74" s="549"/>
    </row>
    <row r="75" spans="1:14" ht="15.75" x14ac:dyDescent="0.25">
      <c r="A75" s="473" t="s">
        <v>125</v>
      </c>
      <c r="B75" s="294" t="s">
        <v>288</v>
      </c>
      <c r="C75" s="281">
        <f>200000</f>
        <v>200000</v>
      </c>
      <c r="D75" s="281">
        <v>190000</v>
      </c>
      <c r="E75" s="281"/>
      <c r="F75" s="281">
        <v>10000</v>
      </c>
      <c r="G75" s="281"/>
      <c r="H75" s="281"/>
      <c r="I75" s="481">
        <f>SUM(D75:H75)</f>
        <v>200000</v>
      </c>
      <c r="J75" s="469">
        <f>C75-I75</f>
        <v>0</v>
      </c>
      <c r="L75" s="550" t="s">
        <v>326</v>
      </c>
      <c r="M75" s="551">
        <v>1500</v>
      </c>
      <c r="N75" s="552"/>
    </row>
    <row r="76" spans="1:14" ht="16.5" thickBot="1" x14ac:dyDescent="0.3">
      <c r="A76" s="489" t="s">
        <v>125</v>
      </c>
      <c r="B76" s="492" t="s">
        <v>234</v>
      </c>
      <c r="C76" s="293">
        <f>160000+886</f>
        <v>160886</v>
      </c>
      <c r="D76" s="293"/>
      <c r="E76" s="293">
        <f>886</f>
        <v>886</v>
      </c>
      <c r="F76" s="281">
        <v>160000</v>
      </c>
      <c r="G76" s="281"/>
      <c r="H76" s="281"/>
      <c r="I76" s="481">
        <f t="shared" ref="I76:I78" si="24">SUM(D76:H76)</f>
        <v>160886</v>
      </c>
      <c r="J76" s="469">
        <f t="shared" ref="J76:J82" si="25">C76-I76</f>
        <v>0</v>
      </c>
      <c r="L76" s="550" t="s">
        <v>327</v>
      </c>
      <c r="M76" s="551">
        <v>5000</v>
      </c>
      <c r="N76" s="552"/>
    </row>
    <row r="77" spans="1:14" ht="16.5" thickBot="1" x14ac:dyDescent="0.3">
      <c r="A77" s="516" t="s">
        <v>134</v>
      </c>
      <c r="B77" s="517" t="s">
        <v>328</v>
      </c>
      <c r="C77" s="408">
        <v>494560</v>
      </c>
      <c r="D77" s="408">
        <v>355220</v>
      </c>
      <c r="E77" s="408"/>
      <c r="F77" s="408">
        <v>139340</v>
      </c>
      <c r="G77" s="408"/>
      <c r="H77" s="408"/>
      <c r="I77" s="518">
        <f t="shared" si="24"/>
        <v>494560</v>
      </c>
      <c r="J77" s="469">
        <f t="shared" si="25"/>
        <v>0</v>
      </c>
      <c r="L77" s="510" t="s">
        <v>286</v>
      </c>
      <c r="M77" s="511">
        <v>5500</v>
      </c>
      <c r="N77" s="553"/>
    </row>
    <row r="78" spans="1:14" ht="16.5" thickBot="1" x14ac:dyDescent="0.3">
      <c r="A78" s="466"/>
      <c r="B78" s="494"/>
      <c r="C78" s="287"/>
      <c r="D78" s="287"/>
      <c r="E78" s="287"/>
      <c r="F78" s="287"/>
      <c r="G78" s="287"/>
      <c r="H78" s="287"/>
      <c r="I78" s="468">
        <f t="shared" si="24"/>
        <v>0</v>
      </c>
      <c r="J78" s="469">
        <f t="shared" si="25"/>
        <v>0</v>
      </c>
      <c r="L78" s="512" t="s">
        <v>287</v>
      </c>
      <c r="M78" s="513">
        <f>SUM(M67:M77)</f>
        <v>30000</v>
      </c>
      <c r="N78" s="514"/>
    </row>
    <row r="79" spans="1:14" ht="15.75" thickBot="1" x14ac:dyDescent="0.3">
      <c r="A79" s="897" t="s">
        <v>289</v>
      </c>
      <c r="B79" s="898"/>
      <c r="C79" s="495">
        <f t="shared" ref="C79:I79" si="26">SUM(C64:C78)</f>
        <v>1445946</v>
      </c>
      <c r="D79" s="495">
        <f t="shared" si="26"/>
        <v>864220</v>
      </c>
      <c r="E79" s="495">
        <f t="shared" si="26"/>
        <v>5886</v>
      </c>
      <c r="F79" s="495">
        <f t="shared" si="26"/>
        <v>575840</v>
      </c>
      <c r="G79" s="495">
        <f t="shared" si="26"/>
        <v>0</v>
      </c>
      <c r="H79" s="495">
        <f t="shared" si="26"/>
        <v>0</v>
      </c>
      <c r="I79" s="518">
        <f t="shared" si="26"/>
        <v>1445946</v>
      </c>
      <c r="J79" s="469">
        <f t="shared" si="25"/>
        <v>0</v>
      </c>
    </row>
    <row r="80" spans="1:14" ht="15.75" thickBot="1" x14ac:dyDescent="0.3">
      <c r="A80" s="466"/>
      <c r="B80" s="497"/>
      <c r="C80" s="498"/>
      <c r="D80" s="287"/>
      <c r="E80" s="287"/>
      <c r="F80" s="496"/>
      <c r="G80" s="496"/>
      <c r="H80" s="287"/>
      <c r="I80" s="468">
        <f>SUM(D80:H80)</f>
        <v>0</v>
      </c>
      <c r="J80" s="469">
        <f t="shared" si="25"/>
        <v>0</v>
      </c>
    </row>
    <row r="81" spans="1:10" ht="15.75" thickBot="1" x14ac:dyDescent="0.3">
      <c r="A81" s="897" t="s">
        <v>290</v>
      </c>
      <c r="B81" s="898"/>
      <c r="C81" s="495">
        <f>SUM(C80:C80)</f>
        <v>0</v>
      </c>
      <c r="D81" s="495">
        <f t="shared" ref="D81:H81" si="27">SUM(D80:D80)</f>
        <v>0</v>
      </c>
      <c r="E81" s="495">
        <f t="shared" si="27"/>
        <v>0</v>
      </c>
      <c r="F81" s="495">
        <f t="shared" si="27"/>
        <v>0</v>
      </c>
      <c r="G81" s="495">
        <f t="shared" si="27"/>
        <v>0</v>
      </c>
      <c r="H81" s="495">
        <f t="shared" si="27"/>
        <v>0</v>
      </c>
      <c r="I81" s="518">
        <f>SUM(I80:I80)</f>
        <v>0</v>
      </c>
      <c r="J81" s="469">
        <f t="shared" si="25"/>
        <v>0</v>
      </c>
    </row>
    <row r="82" spans="1:10" ht="15.75" thickBot="1" x14ac:dyDescent="0.3">
      <c r="A82" s="897" t="s">
        <v>333</v>
      </c>
      <c r="B82" s="898"/>
      <c r="C82" s="495">
        <f>C79+C81</f>
        <v>1445946</v>
      </c>
      <c r="D82" s="495">
        <f t="shared" ref="D82:H82" si="28">D79+D81</f>
        <v>864220</v>
      </c>
      <c r="E82" s="495">
        <f t="shared" si="28"/>
        <v>5886</v>
      </c>
      <c r="F82" s="495">
        <f t="shared" si="28"/>
        <v>575840</v>
      </c>
      <c r="G82" s="495">
        <f t="shared" si="28"/>
        <v>0</v>
      </c>
      <c r="H82" s="495">
        <f t="shared" si="28"/>
        <v>0</v>
      </c>
      <c r="I82" s="518">
        <f>I79+I81</f>
        <v>1445946</v>
      </c>
      <c r="J82" s="469">
        <f t="shared" si="25"/>
        <v>0</v>
      </c>
    </row>
    <row r="83" spans="1:10" x14ac:dyDescent="0.25">
      <c r="A83" s="499"/>
      <c r="B83" s="499"/>
      <c r="C83" s="500"/>
      <c r="D83" s="502">
        <f>D79+5000</f>
        <v>869220</v>
      </c>
      <c r="F83" s="501"/>
      <c r="G83" s="501"/>
      <c r="H83" s="503"/>
      <c r="I83" s="504"/>
      <c r="J83" s="505"/>
    </row>
    <row r="84" spans="1:10" x14ac:dyDescent="0.25">
      <c r="A84" s="461"/>
      <c r="C84" s="461"/>
      <c r="D84" s="461"/>
      <c r="E84" s="458"/>
      <c r="F84" s="515"/>
      <c r="G84" s="515"/>
      <c r="H84" s="461"/>
      <c r="I84" s="461"/>
    </row>
    <row r="85" spans="1:10" x14ac:dyDescent="0.25">
      <c r="A85" s="461"/>
      <c r="C85" s="461"/>
      <c r="D85" s="506"/>
      <c r="E85" s="507"/>
      <c r="F85" s="508"/>
      <c r="G85" s="508"/>
      <c r="H85" s="461"/>
      <c r="I85" s="461"/>
    </row>
    <row r="86" spans="1:10" x14ac:dyDescent="0.25">
      <c r="A86" s="461"/>
      <c r="B86" s="509" t="s">
        <v>452</v>
      </c>
      <c r="C86" s="461"/>
      <c r="D86" s="461"/>
      <c r="E86" s="461"/>
      <c r="F86" s="461"/>
      <c r="G86" s="461"/>
      <c r="H86" s="461"/>
      <c r="I86" s="461"/>
      <c r="J86" s="461"/>
    </row>
    <row r="87" spans="1:10" x14ac:dyDescent="0.25">
      <c r="B87" t="s">
        <v>451</v>
      </c>
    </row>
  </sheetData>
  <mergeCells count="15">
    <mergeCell ref="A1:H1"/>
    <mergeCell ref="L3:N3"/>
    <mergeCell ref="A20:B20"/>
    <mergeCell ref="A22:B22"/>
    <mergeCell ref="A23:B23"/>
    <mergeCell ref="A31:H31"/>
    <mergeCell ref="L34:N34"/>
    <mergeCell ref="A50:B50"/>
    <mergeCell ref="A52:B52"/>
    <mergeCell ref="A53:B53"/>
    <mergeCell ref="A61:H61"/>
    <mergeCell ref="L65:N65"/>
    <mergeCell ref="A79:B79"/>
    <mergeCell ref="A81:B81"/>
    <mergeCell ref="A82:B82"/>
  </mergeCell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x14ac:dyDescent="0.25"/>
  <cols>
    <col min="5" max="5" width="21.28515625" customWidth="1"/>
    <col min="6" max="7" width="11.85546875" customWidth="1"/>
  </cols>
  <sheetData>
    <row r="1" spans="1:7" ht="18" x14ac:dyDescent="0.25">
      <c r="A1" s="834" t="s">
        <v>430</v>
      </c>
      <c r="B1" s="834"/>
      <c r="C1" s="834"/>
      <c r="D1" s="834"/>
      <c r="E1" s="834"/>
      <c r="F1" s="834"/>
      <c r="G1" s="834"/>
    </row>
    <row r="4" spans="1:7" ht="15.75" x14ac:dyDescent="0.25">
      <c r="A4" s="900" t="s">
        <v>431</v>
      </c>
      <c r="B4" s="900"/>
      <c r="C4" s="900"/>
      <c r="D4" s="900"/>
      <c r="E4" s="900"/>
      <c r="F4" s="900"/>
      <c r="G4" s="900"/>
    </row>
    <row r="5" spans="1:7" ht="15.75" x14ac:dyDescent="0.25">
      <c r="A5" s="900" t="s">
        <v>542</v>
      </c>
      <c r="B5" s="900"/>
      <c r="C5" s="900"/>
      <c r="D5" s="900"/>
      <c r="E5" s="900"/>
      <c r="F5" s="900"/>
      <c r="G5" s="900"/>
    </row>
    <row r="6" spans="1:7" ht="15.75" thickBot="1" x14ac:dyDescent="0.3"/>
    <row r="7" spans="1:7" ht="39" thickBot="1" x14ac:dyDescent="0.3">
      <c r="A7" s="675" t="s">
        <v>432</v>
      </c>
      <c r="B7" s="676" t="s">
        <v>433</v>
      </c>
      <c r="C7" s="676" t="s">
        <v>434</v>
      </c>
      <c r="D7" s="676" t="s">
        <v>435</v>
      </c>
      <c r="E7" s="677" t="s">
        <v>436</v>
      </c>
      <c r="F7" s="678" t="s">
        <v>437</v>
      </c>
      <c r="G7" s="679" t="s">
        <v>438</v>
      </c>
    </row>
    <row r="8" spans="1:7" x14ac:dyDescent="0.25">
      <c r="A8" s="680" t="s">
        <v>439</v>
      </c>
      <c r="B8" s="682"/>
      <c r="C8" s="681" t="s">
        <v>440</v>
      </c>
      <c r="D8" s="682">
        <v>44957</v>
      </c>
      <c r="E8" s="681" t="s">
        <v>559</v>
      </c>
      <c r="F8" s="683">
        <v>80</v>
      </c>
      <c r="G8" s="684">
        <v>80</v>
      </c>
    </row>
    <row r="9" spans="1:7" x14ac:dyDescent="0.25">
      <c r="A9" s="685" t="s">
        <v>441</v>
      </c>
      <c r="B9" s="782" t="s">
        <v>683</v>
      </c>
      <c r="C9" s="686" t="s">
        <v>442</v>
      </c>
      <c r="D9" s="687">
        <v>44980</v>
      </c>
      <c r="E9" s="688" t="s">
        <v>503</v>
      </c>
      <c r="F9" s="689">
        <v>181921</v>
      </c>
      <c r="G9" s="690">
        <v>181921</v>
      </c>
    </row>
    <row r="10" spans="1:7" x14ac:dyDescent="0.25">
      <c r="A10" s="693" t="s">
        <v>561</v>
      </c>
      <c r="B10" s="688"/>
      <c r="C10" s="688" t="s">
        <v>560</v>
      </c>
      <c r="D10" s="783">
        <v>44981</v>
      </c>
      <c r="E10" s="688" t="s">
        <v>503</v>
      </c>
      <c r="F10" s="784">
        <v>91220</v>
      </c>
      <c r="G10" s="785">
        <v>91220</v>
      </c>
    </row>
    <row r="11" spans="1:7" x14ac:dyDescent="0.25">
      <c r="A11" s="691" t="s">
        <v>593</v>
      </c>
      <c r="B11" s="692"/>
      <c r="C11" s="688" t="s">
        <v>595</v>
      </c>
      <c r="D11" s="687">
        <v>45016</v>
      </c>
      <c r="E11" s="688" t="s">
        <v>559</v>
      </c>
      <c r="F11" s="689">
        <v>61585</v>
      </c>
      <c r="G11" s="690">
        <v>61585</v>
      </c>
    </row>
    <row r="12" spans="1:7" x14ac:dyDescent="0.25">
      <c r="A12" s="691" t="s">
        <v>594</v>
      </c>
      <c r="B12" s="692" t="s">
        <v>684</v>
      </c>
      <c r="C12" s="688" t="s">
        <v>596</v>
      </c>
      <c r="D12" s="687">
        <v>45036</v>
      </c>
      <c r="E12" s="688" t="s">
        <v>559</v>
      </c>
      <c r="F12" s="689">
        <v>37810</v>
      </c>
      <c r="G12" s="690">
        <v>37810</v>
      </c>
    </row>
    <row r="13" spans="1:7" x14ac:dyDescent="0.25">
      <c r="A13" s="691" t="s">
        <v>644</v>
      </c>
      <c r="B13" s="686"/>
      <c r="C13" s="688" t="s">
        <v>645</v>
      </c>
      <c r="D13" s="687">
        <v>45043</v>
      </c>
      <c r="E13" s="688" t="s">
        <v>559</v>
      </c>
      <c r="F13" s="689">
        <v>2570</v>
      </c>
      <c r="G13" s="690">
        <v>2570</v>
      </c>
    </row>
    <row r="14" spans="1:7" x14ac:dyDescent="0.25">
      <c r="A14" s="691" t="s">
        <v>682</v>
      </c>
      <c r="B14" s="692" t="s">
        <v>705</v>
      </c>
      <c r="C14" s="688" t="s">
        <v>654</v>
      </c>
      <c r="D14" s="687">
        <v>45071</v>
      </c>
      <c r="E14" s="688" t="s">
        <v>559</v>
      </c>
      <c r="F14" s="689">
        <v>5500</v>
      </c>
      <c r="G14" s="690">
        <v>5500</v>
      </c>
    </row>
    <row r="15" spans="1:7" x14ac:dyDescent="0.25">
      <c r="A15" s="691" t="s">
        <v>704</v>
      </c>
      <c r="B15" s="686"/>
      <c r="C15" s="688" t="s">
        <v>706</v>
      </c>
      <c r="D15" s="687">
        <v>45071</v>
      </c>
      <c r="E15" s="688" t="s">
        <v>559</v>
      </c>
      <c r="F15" s="689">
        <v>80</v>
      </c>
      <c r="G15" s="690">
        <v>80</v>
      </c>
    </row>
    <row r="16" spans="1:7" x14ac:dyDescent="0.25">
      <c r="A16" s="691" t="s">
        <v>707</v>
      </c>
      <c r="B16" s="686"/>
      <c r="C16" s="688" t="s">
        <v>654</v>
      </c>
      <c r="D16" s="687">
        <v>45092</v>
      </c>
      <c r="E16" s="688" t="s">
        <v>559</v>
      </c>
      <c r="F16" s="689">
        <v>3812</v>
      </c>
      <c r="G16" s="690">
        <v>3812</v>
      </c>
    </row>
    <row r="17" spans="1:7" x14ac:dyDescent="0.25">
      <c r="A17" s="691"/>
      <c r="B17" s="686"/>
      <c r="C17" s="692"/>
      <c r="D17" s="687"/>
      <c r="E17" s="692"/>
      <c r="F17" s="689"/>
      <c r="G17" s="690"/>
    </row>
    <row r="18" spans="1:7" x14ac:dyDescent="0.25">
      <c r="A18" s="691"/>
      <c r="B18" s="686"/>
      <c r="C18" s="692"/>
      <c r="D18" s="687"/>
      <c r="E18" s="692"/>
      <c r="F18" s="689"/>
      <c r="G18" s="690"/>
    </row>
    <row r="19" spans="1:7" x14ac:dyDescent="0.25">
      <c r="A19" s="691"/>
      <c r="B19" s="686"/>
      <c r="C19" s="692"/>
      <c r="D19" s="687"/>
      <c r="E19" s="692"/>
      <c r="F19" s="689"/>
      <c r="G19" s="690"/>
    </row>
    <row r="20" spans="1:7" ht="15.75" thickBot="1" x14ac:dyDescent="0.3">
      <c r="A20" s="694"/>
      <c r="B20" s="695"/>
      <c r="C20" s="696"/>
      <c r="D20" s="697"/>
      <c r="E20" s="696"/>
      <c r="F20" s="698"/>
      <c r="G20" s="699"/>
    </row>
    <row r="22" spans="1:7" ht="20.25" customHeight="1" x14ac:dyDescent="0.25">
      <c r="A22" s="700" t="s">
        <v>443</v>
      </c>
      <c r="B22" s="701"/>
      <c r="C22" s="701"/>
      <c r="D22" s="700" t="s">
        <v>444</v>
      </c>
      <c r="E22" s="701"/>
      <c r="F22" s="701"/>
      <c r="G22" s="701"/>
    </row>
    <row r="23" spans="1:7" ht="27.75" customHeight="1" x14ac:dyDescent="0.25">
      <c r="A23" s="899" t="s">
        <v>445</v>
      </c>
      <c r="B23" s="899"/>
      <c r="C23" s="899"/>
      <c r="D23" s="899"/>
      <c r="E23" s="899"/>
      <c r="F23" s="899"/>
      <c r="G23" s="899"/>
    </row>
    <row r="24" spans="1:7" x14ac:dyDescent="0.25">
      <c r="A24" s="899" t="s">
        <v>446</v>
      </c>
      <c r="B24" s="899"/>
      <c r="C24" s="899"/>
      <c r="D24" s="899"/>
      <c r="E24" s="899"/>
      <c r="F24" s="899"/>
      <c r="G24" s="899"/>
    </row>
    <row r="25" spans="1:7" x14ac:dyDescent="0.25">
      <c r="A25" s="899" t="s">
        <v>447</v>
      </c>
      <c r="B25" s="899"/>
      <c r="C25" s="899"/>
      <c r="D25" s="899"/>
      <c r="E25" s="899"/>
      <c r="F25" s="899"/>
      <c r="G25" s="899"/>
    </row>
    <row r="26" spans="1:7" x14ac:dyDescent="0.25">
      <c r="A26" s="899" t="s">
        <v>448</v>
      </c>
      <c r="B26" s="899"/>
      <c r="C26" s="899"/>
      <c r="D26" s="899"/>
      <c r="E26" s="899"/>
      <c r="F26" s="899"/>
      <c r="G26" s="899"/>
    </row>
    <row r="28" spans="1:7" ht="17.25" customHeight="1" x14ac:dyDescent="0.25">
      <c r="A28" s="668" t="s">
        <v>697</v>
      </c>
    </row>
    <row r="29" spans="1:7" ht="18" customHeight="1" x14ac:dyDescent="0.25">
      <c r="A29" t="s">
        <v>216</v>
      </c>
    </row>
    <row r="30" spans="1:7" ht="30.75" customHeight="1" x14ac:dyDescent="0.25"/>
    <row r="31" spans="1:7" x14ac:dyDescent="0.25">
      <c r="A31" t="s">
        <v>450</v>
      </c>
    </row>
  </sheetData>
  <mergeCells count="7">
    <mergeCell ref="A26:G26"/>
    <mergeCell ref="A1:G1"/>
    <mergeCell ref="A4:G4"/>
    <mergeCell ref="A5:G5"/>
    <mergeCell ref="A23:G23"/>
    <mergeCell ref="A24:G24"/>
    <mergeCell ref="A25:G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2"/>
  <sheetViews>
    <sheetView zoomScale="95" zoomScaleNormal="95" workbookViewId="0">
      <selection sqref="A1:L1"/>
    </sheetView>
  </sheetViews>
  <sheetFormatPr defaultRowHeight="15" x14ac:dyDescent="0.25"/>
  <cols>
    <col min="1" max="1" width="6" customWidth="1"/>
    <col min="2" max="2" width="62.140625" customWidth="1"/>
    <col min="3" max="4" width="12.5703125" customWidth="1"/>
    <col min="5" max="5" width="12.28515625" customWidth="1"/>
    <col min="6" max="11" width="12.5703125" customWidth="1"/>
    <col min="12" max="12" width="13.85546875" customWidth="1"/>
    <col min="13" max="13" width="6" customWidth="1"/>
    <col min="14" max="17" width="12.5703125" customWidth="1"/>
  </cols>
  <sheetData>
    <row r="1" spans="1:15" ht="18.75" thickBot="1" x14ac:dyDescent="0.3">
      <c r="A1" s="876" t="s">
        <v>0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04"/>
      <c r="N1" s="1"/>
    </row>
    <row r="2" spans="1:15" ht="15.75" thickBot="1" x14ac:dyDescent="0.3">
      <c r="A2" s="878" t="s">
        <v>1</v>
      </c>
      <c r="B2" s="879"/>
      <c r="C2" s="413" t="s">
        <v>454</v>
      </c>
      <c r="D2" s="413" t="s">
        <v>496</v>
      </c>
      <c r="E2" s="413" t="s">
        <v>547</v>
      </c>
      <c r="F2" s="413" t="s">
        <v>497</v>
      </c>
      <c r="G2" s="413" t="s">
        <v>568</v>
      </c>
      <c r="H2" s="413" t="s">
        <v>569</v>
      </c>
      <c r="I2" s="413" t="s">
        <v>641</v>
      </c>
      <c r="J2" s="413" t="s">
        <v>657</v>
      </c>
      <c r="K2" s="413" t="s">
        <v>658</v>
      </c>
      <c r="L2" s="413" t="s">
        <v>642</v>
      </c>
      <c r="M2" s="805" t="s">
        <v>621</v>
      </c>
      <c r="N2" s="1"/>
    </row>
    <row r="3" spans="1:15" ht="15.75" thickBot="1" x14ac:dyDescent="0.3">
      <c r="A3" s="880" t="s">
        <v>4</v>
      </c>
      <c r="B3" s="881"/>
      <c r="C3" s="2">
        <f t="shared" ref="C3:L3" si="0">SUM(C4:C10)</f>
        <v>1452500</v>
      </c>
      <c r="D3" s="2">
        <f t="shared" ref="D3:I3" si="1">SUM(D4:D10)</f>
        <v>1452500</v>
      </c>
      <c r="E3" s="2">
        <f t="shared" si="1"/>
        <v>1452500</v>
      </c>
      <c r="F3" s="2">
        <f t="shared" si="1"/>
        <v>1452500</v>
      </c>
      <c r="G3" s="2">
        <f t="shared" si="1"/>
        <v>1452500</v>
      </c>
      <c r="H3" s="2">
        <f t="shared" si="1"/>
        <v>1459500</v>
      </c>
      <c r="I3" s="2">
        <f t="shared" si="1"/>
        <v>1459500</v>
      </c>
      <c r="J3" s="2">
        <f t="shared" ref="J3:K3" si="2">SUM(J4:J10)</f>
        <v>1459500</v>
      </c>
      <c r="K3" s="2">
        <f t="shared" si="2"/>
        <v>1463500</v>
      </c>
      <c r="L3" s="2">
        <f t="shared" si="0"/>
        <v>613643</v>
      </c>
      <c r="M3" s="808">
        <f>L3/I3</f>
        <v>0.4204474134977732</v>
      </c>
      <c r="N3" s="803"/>
    </row>
    <row r="4" spans="1:15" ht="15.75" thickBot="1" x14ac:dyDescent="0.3">
      <c r="A4" s="3">
        <v>111</v>
      </c>
      <c r="B4" s="124" t="s">
        <v>5</v>
      </c>
      <c r="C4" s="6">
        <v>1368000</v>
      </c>
      <c r="D4" s="6">
        <v>1368000</v>
      </c>
      <c r="E4" s="6">
        <v>1368000</v>
      </c>
      <c r="F4" s="6">
        <v>1368000</v>
      </c>
      <c r="G4" s="6">
        <v>1368000</v>
      </c>
      <c r="H4" s="795">
        <f>1368000+7000</f>
        <v>1375000</v>
      </c>
      <c r="I4" s="6">
        <f>1368000+7000</f>
        <v>1375000</v>
      </c>
      <c r="J4" s="6">
        <f t="shared" ref="J4" si="3">1368000+7000</f>
        <v>1375000</v>
      </c>
      <c r="K4" s="795">
        <f>1368000+7000+4000</f>
        <v>1379000</v>
      </c>
      <c r="L4" s="6">
        <v>582237</v>
      </c>
      <c r="M4" s="808">
        <f>L4/I4</f>
        <v>0.42344509090909088</v>
      </c>
      <c r="N4" s="1"/>
    </row>
    <row r="5" spans="1:15" ht="15.75" thickBot="1" x14ac:dyDescent="0.3">
      <c r="A5" s="7">
        <v>121</v>
      </c>
      <c r="B5" s="350" t="s">
        <v>6</v>
      </c>
      <c r="C5" s="11">
        <v>43200</v>
      </c>
      <c r="D5" s="11">
        <v>43200</v>
      </c>
      <c r="E5" s="11">
        <v>43200</v>
      </c>
      <c r="F5" s="11">
        <v>43200</v>
      </c>
      <c r="G5" s="11">
        <v>43200</v>
      </c>
      <c r="H5" s="11">
        <v>43200</v>
      </c>
      <c r="I5" s="11">
        <v>43200</v>
      </c>
      <c r="J5" s="11">
        <v>43200</v>
      </c>
      <c r="K5" s="11">
        <v>43200</v>
      </c>
      <c r="L5" s="11">
        <v>17398</v>
      </c>
      <c r="M5" s="808">
        <f>L5/I5</f>
        <v>0.40273148148148147</v>
      </c>
      <c r="N5" s="1"/>
    </row>
    <row r="6" spans="1:15" x14ac:dyDescent="0.25">
      <c r="A6" s="12">
        <v>133</v>
      </c>
      <c r="B6" s="351" t="s">
        <v>7</v>
      </c>
      <c r="C6" s="16">
        <v>1100</v>
      </c>
      <c r="D6" s="16">
        <v>1100</v>
      </c>
      <c r="E6" s="16">
        <v>1100</v>
      </c>
      <c r="F6" s="16">
        <v>1100</v>
      </c>
      <c r="G6" s="16">
        <v>1100</v>
      </c>
      <c r="H6" s="16">
        <v>1100</v>
      </c>
      <c r="I6" s="16">
        <v>1100</v>
      </c>
      <c r="J6" s="16">
        <v>1100</v>
      </c>
      <c r="K6" s="16">
        <v>1100</v>
      </c>
      <c r="L6" s="16">
        <v>813</v>
      </c>
      <c r="M6" s="808">
        <f>L6/I6</f>
        <v>0.73909090909090913</v>
      </c>
      <c r="N6" s="1"/>
    </row>
    <row r="7" spans="1:15" x14ac:dyDescent="0.25">
      <c r="A7" s="17">
        <v>133</v>
      </c>
      <c r="B7" s="352" t="s">
        <v>8</v>
      </c>
      <c r="C7" s="21">
        <v>200</v>
      </c>
      <c r="D7" s="21">
        <v>200</v>
      </c>
      <c r="E7" s="21">
        <v>200</v>
      </c>
      <c r="F7" s="21">
        <v>200</v>
      </c>
      <c r="G7" s="21">
        <v>200</v>
      </c>
      <c r="H7" s="21">
        <v>200</v>
      </c>
      <c r="I7" s="21">
        <v>200</v>
      </c>
      <c r="J7" s="21">
        <v>200</v>
      </c>
      <c r="K7" s="21">
        <v>200</v>
      </c>
      <c r="L7" s="21">
        <v>160</v>
      </c>
      <c r="M7" s="808">
        <f>L7/I7</f>
        <v>0.8</v>
      </c>
      <c r="N7" s="1"/>
    </row>
    <row r="8" spans="1:15" x14ac:dyDescent="0.25">
      <c r="A8" s="17">
        <v>133</v>
      </c>
      <c r="B8" s="352" t="s">
        <v>9</v>
      </c>
      <c r="C8" s="21">
        <v>2000</v>
      </c>
      <c r="D8" s="21">
        <v>2000</v>
      </c>
      <c r="E8" s="21">
        <v>2000</v>
      </c>
      <c r="F8" s="21">
        <v>2000</v>
      </c>
      <c r="G8" s="21">
        <v>2000</v>
      </c>
      <c r="H8" s="21">
        <v>2000</v>
      </c>
      <c r="I8" s="21">
        <v>2000</v>
      </c>
      <c r="J8" s="21">
        <v>2000</v>
      </c>
      <c r="K8" s="21">
        <v>2000</v>
      </c>
      <c r="L8" s="21">
        <v>593</v>
      </c>
      <c r="M8" s="808">
        <f>L8/I8</f>
        <v>0.29649999999999999</v>
      </c>
      <c r="N8" s="1"/>
    </row>
    <row r="9" spans="1:15" x14ac:dyDescent="0.25">
      <c r="A9" s="17">
        <v>133</v>
      </c>
      <c r="B9" s="352" t="s">
        <v>10</v>
      </c>
      <c r="C9" s="21">
        <v>6000</v>
      </c>
      <c r="D9" s="21">
        <v>6000</v>
      </c>
      <c r="E9" s="21">
        <v>6000</v>
      </c>
      <c r="F9" s="21">
        <v>6000</v>
      </c>
      <c r="G9" s="21">
        <v>6000</v>
      </c>
      <c r="H9" s="21">
        <v>6000</v>
      </c>
      <c r="I9" s="21">
        <v>6000</v>
      </c>
      <c r="J9" s="21">
        <v>6000</v>
      </c>
      <c r="K9" s="21">
        <v>6000</v>
      </c>
      <c r="L9" s="21">
        <v>475</v>
      </c>
      <c r="M9" s="808">
        <f>L9/I9</f>
        <v>7.9166666666666663E-2</v>
      </c>
      <c r="N9" s="1"/>
    </row>
    <row r="10" spans="1:15" ht="15.75" thickBot="1" x14ac:dyDescent="0.3">
      <c r="A10" s="22">
        <v>133</v>
      </c>
      <c r="B10" s="353" t="s">
        <v>11</v>
      </c>
      <c r="C10" s="26">
        <v>32000</v>
      </c>
      <c r="D10" s="26">
        <v>32000</v>
      </c>
      <c r="E10" s="26">
        <v>32000</v>
      </c>
      <c r="F10" s="26">
        <v>32000</v>
      </c>
      <c r="G10" s="26">
        <v>32000</v>
      </c>
      <c r="H10" s="26">
        <v>32000</v>
      </c>
      <c r="I10" s="26">
        <v>32000</v>
      </c>
      <c r="J10" s="26">
        <v>32000</v>
      </c>
      <c r="K10" s="26">
        <v>32000</v>
      </c>
      <c r="L10" s="26">
        <v>11967</v>
      </c>
      <c r="M10" s="808">
        <f>L10/I10</f>
        <v>0.37396875000000002</v>
      </c>
      <c r="N10" s="27"/>
    </row>
    <row r="11" spans="1:15" ht="15.75" thickBot="1" x14ac:dyDescent="0.3">
      <c r="A11" s="880" t="s">
        <v>12</v>
      </c>
      <c r="B11" s="881"/>
      <c r="C11" s="354">
        <f t="shared" ref="C11:L11" si="4">SUM(C12:C31)</f>
        <v>245915</v>
      </c>
      <c r="D11" s="354">
        <f t="shared" si="4"/>
        <v>245915</v>
      </c>
      <c r="E11" s="354">
        <f t="shared" si="4"/>
        <v>245915</v>
      </c>
      <c r="F11" s="354">
        <f t="shared" si="4"/>
        <v>246415</v>
      </c>
      <c r="G11" s="354">
        <f t="shared" si="4"/>
        <v>246415</v>
      </c>
      <c r="H11" s="354">
        <f t="shared" si="4"/>
        <v>247225</v>
      </c>
      <c r="I11" s="354">
        <f t="shared" si="4"/>
        <v>247255</v>
      </c>
      <c r="J11" s="354">
        <f t="shared" ref="J11:K11" si="5">SUM(J12:J31)</f>
        <v>247255</v>
      </c>
      <c r="K11" s="354">
        <f t="shared" si="5"/>
        <v>248755</v>
      </c>
      <c r="L11" s="354">
        <f t="shared" si="4"/>
        <v>75584</v>
      </c>
      <c r="M11" s="808">
        <f>L11/I11</f>
        <v>0.30569250369052192</v>
      </c>
      <c r="N11" s="1"/>
    </row>
    <row r="12" spans="1:15" x14ac:dyDescent="0.25">
      <c r="A12" s="28">
        <v>212</v>
      </c>
      <c r="B12" s="29" t="s">
        <v>13</v>
      </c>
      <c r="C12" s="32">
        <v>1294</v>
      </c>
      <c r="D12" s="32">
        <v>1294</v>
      </c>
      <c r="E12" s="32">
        <v>1294</v>
      </c>
      <c r="F12" s="740">
        <f>1294+119</f>
        <v>1413</v>
      </c>
      <c r="G12" s="32">
        <f t="shared" ref="G12" si="6">1294+119</f>
        <v>1413</v>
      </c>
      <c r="H12" s="740">
        <f>1294+119+810</f>
        <v>2223</v>
      </c>
      <c r="I12" s="32">
        <f>1294+119+810</f>
        <v>2223</v>
      </c>
      <c r="J12" s="32">
        <f t="shared" ref="J12:K12" si="7">1294+119+810</f>
        <v>2223</v>
      </c>
      <c r="K12" s="32">
        <f t="shared" si="7"/>
        <v>2223</v>
      </c>
      <c r="L12" s="32">
        <v>527</v>
      </c>
      <c r="M12" s="808">
        <f>L12/I12</f>
        <v>0.23706702654071074</v>
      </c>
      <c r="N12" s="1"/>
    </row>
    <row r="13" spans="1:15" x14ac:dyDescent="0.25">
      <c r="A13" s="12">
        <v>212</v>
      </c>
      <c r="B13" s="13" t="s">
        <v>14</v>
      </c>
      <c r="C13" s="16">
        <v>1000</v>
      </c>
      <c r="D13" s="16">
        <v>1000</v>
      </c>
      <c r="E13" s="16">
        <v>1000</v>
      </c>
      <c r="F13" s="16">
        <v>1000</v>
      </c>
      <c r="G13" s="16">
        <v>1000</v>
      </c>
      <c r="H13" s="16">
        <v>1000</v>
      </c>
      <c r="I13" s="16">
        <v>1000</v>
      </c>
      <c r="J13" s="16">
        <v>1000</v>
      </c>
      <c r="K13" s="16">
        <v>1000</v>
      </c>
      <c r="L13" s="16">
        <v>160</v>
      </c>
      <c r="M13" s="808">
        <f>L13/I13</f>
        <v>0.16</v>
      </c>
      <c r="N13" s="27"/>
    </row>
    <row r="14" spans="1:15" x14ac:dyDescent="0.25">
      <c r="A14" s="17">
        <v>212</v>
      </c>
      <c r="B14" s="18" t="s">
        <v>15</v>
      </c>
      <c r="C14" s="33">
        <v>3713</v>
      </c>
      <c r="D14" s="33">
        <v>3713</v>
      </c>
      <c r="E14" s="33">
        <v>3713</v>
      </c>
      <c r="F14" s="715">
        <f>3713-119</f>
        <v>3594</v>
      </c>
      <c r="G14" s="33">
        <f t="shared" ref="G14:K14" si="8">3713-119</f>
        <v>3594</v>
      </c>
      <c r="H14" s="33">
        <f t="shared" si="8"/>
        <v>3594</v>
      </c>
      <c r="I14" s="33">
        <f t="shared" si="8"/>
        <v>3594</v>
      </c>
      <c r="J14" s="33">
        <f t="shared" si="8"/>
        <v>3594</v>
      </c>
      <c r="K14" s="33">
        <f t="shared" si="8"/>
        <v>3594</v>
      </c>
      <c r="L14" s="33">
        <v>1083</v>
      </c>
      <c r="M14" s="808">
        <f>L14/I14</f>
        <v>0.30133555926544242</v>
      </c>
      <c r="N14" s="1"/>
    </row>
    <row r="15" spans="1:15" x14ac:dyDescent="0.25">
      <c r="A15" s="17">
        <v>212</v>
      </c>
      <c r="B15" s="18" t="s">
        <v>16</v>
      </c>
      <c r="C15" s="21">
        <v>19848</v>
      </c>
      <c r="D15" s="21">
        <v>19848</v>
      </c>
      <c r="E15" s="21">
        <v>19848</v>
      </c>
      <c r="F15" s="21">
        <v>19848</v>
      </c>
      <c r="G15" s="21">
        <v>19848</v>
      </c>
      <c r="H15" s="21">
        <v>19848</v>
      </c>
      <c r="I15" s="21">
        <v>19848</v>
      </c>
      <c r="J15" s="21">
        <v>19848</v>
      </c>
      <c r="K15" s="21">
        <v>19848</v>
      </c>
      <c r="L15" s="21">
        <v>5711</v>
      </c>
      <c r="M15" s="808">
        <f>L15/I15</f>
        <v>0.28773679967754939</v>
      </c>
      <c r="N15" s="27"/>
    </row>
    <row r="16" spans="1:15" ht="15.75" thickBot="1" x14ac:dyDescent="0.3">
      <c r="A16" s="35">
        <v>212</v>
      </c>
      <c r="B16" s="36" t="s">
        <v>17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808">
        <v>0</v>
      </c>
      <c r="N16" s="458">
        <f>SUM(I12:I16)</f>
        <v>26665</v>
      </c>
      <c r="O16" s="458">
        <f>SUM(L12:L16)</f>
        <v>7481</v>
      </c>
    </row>
    <row r="17" spans="1:15" ht="15.75" thickBot="1" x14ac:dyDescent="0.3">
      <c r="A17" s="7">
        <v>221</v>
      </c>
      <c r="B17" s="8" t="s">
        <v>18</v>
      </c>
      <c r="C17" s="41">
        <v>5100</v>
      </c>
      <c r="D17" s="41">
        <v>5100</v>
      </c>
      <c r="E17" s="41">
        <v>5100</v>
      </c>
      <c r="F17" s="41">
        <v>5100</v>
      </c>
      <c r="G17" s="41">
        <v>5100</v>
      </c>
      <c r="H17" s="41">
        <v>5100</v>
      </c>
      <c r="I17" s="41">
        <v>5100</v>
      </c>
      <c r="J17" s="41">
        <v>5100</v>
      </c>
      <c r="K17" s="41">
        <v>5100</v>
      </c>
      <c r="L17" s="41">
        <v>1613</v>
      </c>
      <c r="M17" s="808">
        <f>L17/I17</f>
        <v>0.31627450980392158</v>
      </c>
      <c r="N17" s="1"/>
    </row>
    <row r="18" spans="1:15" ht="15.75" thickBot="1" x14ac:dyDescent="0.3">
      <c r="A18" s="35">
        <v>222</v>
      </c>
      <c r="B18" s="36" t="s">
        <v>19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818">
        <v>30</v>
      </c>
      <c r="J18" s="39">
        <v>30</v>
      </c>
      <c r="K18" s="39">
        <v>30</v>
      </c>
      <c r="L18" s="39">
        <v>30</v>
      </c>
      <c r="M18" s="808">
        <f>L18/I18</f>
        <v>1</v>
      </c>
      <c r="N18" s="1"/>
    </row>
    <row r="19" spans="1:15" x14ac:dyDescent="0.25">
      <c r="A19" s="12">
        <v>223</v>
      </c>
      <c r="B19" s="13" t="s">
        <v>20</v>
      </c>
      <c r="C19" s="16">
        <v>750</v>
      </c>
      <c r="D19" s="16">
        <v>750</v>
      </c>
      <c r="E19" s="16">
        <v>750</v>
      </c>
      <c r="F19" s="16">
        <v>750</v>
      </c>
      <c r="G19" s="16">
        <v>750</v>
      </c>
      <c r="H19" s="16">
        <v>750</v>
      </c>
      <c r="I19" s="16">
        <v>750</v>
      </c>
      <c r="J19" s="16">
        <v>750</v>
      </c>
      <c r="K19" s="16">
        <v>750</v>
      </c>
      <c r="L19" s="16">
        <v>69</v>
      </c>
      <c r="M19" s="808">
        <f>L19/I19</f>
        <v>9.1999999999999998E-2</v>
      </c>
      <c r="N19" s="1"/>
    </row>
    <row r="20" spans="1:15" x14ac:dyDescent="0.25">
      <c r="A20" s="17">
        <v>223</v>
      </c>
      <c r="B20" s="18" t="s">
        <v>21</v>
      </c>
      <c r="C20" s="21">
        <f t="shared" ref="C20:K20" si="9">19000+3000</f>
        <v>22000</v>
      </c>
      <c r="D20" s="21">
        <f t="shared" si="9"/>
        <v>22000</v>
      </c>
      <c r="E20" s="21">
        <f t="shared" si="9"/>
        <v>22000</v>
      </c>
      <c r="F20" s="21">
        <f t="shared" si="9"/>
        <v>22000</v>
      </c>
      <c r="G20" s="21">
        <f t="shared" si="9"/>
        <v>22000</v>
      </c>
      <c r="H20" s="21">
        <f t="shared" si="9"/>
        <v>22000</v>
      </c>
      <c r="I20" s="21">
        <f t="shared" si="9"/>
        <v>22000</v>
      </c>
      <c r="J20" s="21">
        <f t="shared" si="9"/>
        <v>22000</v>
      </c>
      <c r="K20" s="21">
        <f t="shared" si="9"/>
        <v>22000</v>
      </c>
      <c r="L20" s="21">
        <v>5472</v>
      </c>
      <c r="M20" s="808">
        <f>L20/I20</f>
        <v>0.24872727272727271</v>
      </c>
      <c r="N20" s="1"/>
    </row>
    <row r="21" spans="1:15" x14ac:dyDescent="0.25">
      <c r="A21" s="17">
        <v>223</v>
      </c>
      <c r="B21" s="18" t="s">
        <v>22</v>
      </c>
      <c r="C21" s="21">
        <v>50</v>
      </c>
      <c r="D21" s="21">
        <v>50</v>
      </c>
      <c r="E21" s="21">
        <v>50</v>
      </c>
      <c r="F21" s="21">
        <v>50</v>
      </c>
      <c r="G21" s="21">
        <v>50</v>
      </c>
      <c r="H21" s="21">
        <v>50</v>
      </c>
      <c r="I21" s="21">
        <v>50</v>
      </c>
      <c r="J21" s="21">
        <v>50</v>
      </c>
      <c r="K21" s="21">
        <v>50</v>
      </c>
      <c r="L21" s="21">
        <v>0</v>
      </c>
      <c r="M21" s="808">
        <f>L21/I21</f>
        <v>0</v>
      </c>
      <c r="N21" s="1"/>
    </row>
    <row r="22" spans="1:15" x14ac:dyDescent="0.25">
      <c r="A22" s="17">
        <v>223</v>
      </c>
      <c r="B22" s="18" t="s">
        <v>23</v>
      </c>
      <c r="C22" s="21">
        <v>2000</v>
      </c>
      <c r="D22" s="21">
        <v>2000</v>
      </c>
      <c r="E22" s="21">
        <v>2000</v>
      </c>
      <c r="F22" s="786">
        <f>2000+500</f>
        <v>2500</v>
      </c>
      <c r="G22" s="21">
        <f t="shared" ref="G22:J22" si="10">2000+500</f>
        <v>2500</v>
      </c>
      <c r="H22" s="21">
        <f t="shared" si="10"/>
        <v>2500</v>
      </c>
      <c r="I22" s="21">
        <f t="shared" si="10"/>
        <v>2500</v>
      </c>
      <c r="J22" s="21">
        <f t="shared" si="10"/>
        <v>2500</v>
      </c>
      <c r="K22" s="786">
        <f>2000+500+1500</f>
        <v>4000</v>
      </c>
      <c r="L22" s="21">
        <v>603</v>
      </c>
      <c r="M22" s="808">
        <f>L22/I22</f>
        <v>0.2412</v>
      </c>
      <c r="N22" s="1"/>
    </row>
    <row r="23" spans="1:15" x14ac:dyDescent="0.25">
      <c r="A23" s="17">
        <v>223</v>
      </c>
      <c r="B23" s="18" t="s">
        <v>24</v>
      </c>
      <c r="C23" s="21">
        <v>1000</v>
      </c>
      <c r="D23" s="21">
        <v>1000</v>
      </c>
      <c r="E23" s="21">
        <v>1000</v>
      </c>
      <c r="F23" s="21">
        <v>1000</v>
      </c>
      <c r="G23" s="21">
        <v>1000</v>
      </c>
      <c r="H23" s="21">
        <v>1000</v>
      </c>
      <c r="I23" s="21">
        <v>1000</v>
      </c>
      <c r="J23" s="21">
        <v>1000</v>
      </c>
      <c r="K23" s="21">
        <v>1000</v>
      </c>
      <c r="L23" s="21">
        <v>68</v>
      </c>
      <c r="M23" s="808">
        <f>L23/I23</f>
        <v>6.8000000000000005E-2</v>
      </c>
      <c r="N23" s="1"/>
    </row>
    <row r="24" spans="1:15" x14ac:dyDescent="0.25">
      <c r="A24" s="17">
        <v>223</v>
      </c>
      <c r="B24" s="18" t="s">
        <v>26</v>
      </c>
      <c r="C24" s="21">
        <v>1000</v>
      </c>
      <c r="D24" s="21">
        <v>1000</v>
      </c>
      <c r="E24" s="21">
        <v>1000</v>
      </c>
      <c r="F24" s="21">
        <v>1000</v>
      </c>
      <c r="G24" s="21">
        <v>1000</v>
      </c>
      <c r="H24" s="21">
        <v>1000</v>
      </c>
      <c r="I24" s="21">
        <v>1000</v>
      </c>
      <c r="J24" s="21">
        <v>1000</v>
      </c>
      <c r="K24" s="21">
        <v>1000</v>
      </c>
      <c r="L24" s="21">
        <v>220</v>
      </c>
      <c r="M24" s="808">
        <f>L24/I24</f>
        <v>0.22</v>
      </c>
      <c r="N24" s="1"/>
    </row>
    <row r="25" spans="1:15" x14ac:dyDescent="0.25">
      <c r="A25" s="17">
        <v>223</v>
      </c>
      <c r="B25" s="18" t="s">
        <v>27</v>
      </c>
      <c r="C25" s="21">
        <v>40000</v>
      </c>
      <c r="D25" s="21">
        <v>40000</v>
      </c>
      <c r="E25" s="21">
        <v>40000</v>
      </c>
      <c r="F25" s="21">
        <v>40000</v>
      </c>
      <c r="G25" s="21">
        <v>40000</v>
      </c>
      <c r="H25" s="21">
        <v>40000</v>
      </c>
      <c r="I25" s="21">
        <v>40000</v>
      </c>
      <c r="J25" s="21">
        <v>40000</v>
      </c>
      <c r="K25" s="21">
        <v>40000</v>
      </c>
      <c r="L25" s="21">
        <v>19268</v>
      </c>
      <c r="M25" s="808">
        <f>L25/I25</f>
        <v>0.48170000000000002</v>
      </c>
      <c r="N25" s="1"/>
    </row>
    <row r="26" spans="1:15" x14ac:dyDescent="0.25">
      <c r="A26" s="17">
        <v>223</v>
      </c>
      <c r="B26" s="18" t="s">
        <v>29</v>
      </c>
      <c r="C26" s="21">
        <v>59000</v>
      </c>
      <c r="D26" s="21">
        <v>59000</v>
      </c>
      <c r="E26" s="21">
        <v>59000</v>
      </c>
      <c r="F26" s="21">
        <v>59000</v>
      </c>
      <c r="G26" s="21">
        <v>59000</v>
      </c>
      <c r="H26" s="21">
        <v>59000</v>
      </c>
      <c r="I26" s="21">
        <v>59000</v>
      </c>
      <c r="J26" s="21">
        <v>59000</v>
      </c>
      <c r="K26" s="21">
        <v>59000</v>
      </c>
      <c r="L26" s="21">
        <v>15630</v>
      </c>
      <c r="M26" s="808">
        <f>L26/I26</f>
        <v>0.26491525423728812</v>
      </c>
      <c r="N26" s="1"/>
    </row>
    <row r="27" spans="1:15" x14ac:dyDescent="0.25">
      <c r="A27" s="17">
        <v>223</v>
      </c>
      <c r="B27" s="18" t="s">
        <v>30</v>
      </c>
      <c r="C27" s="21">
        <v>60</v>
      </c>
      <c r="D27" s="21">
        <v>60</v>
      </c>
      <c r="E27" s="21">
        <v>60</v>
      </c>
      <c r="F27" s="21">
        <v>60</v>
      </c>
      <c r="G27" s="21">
        <v>60</v>
      </c>
      <c r="H27" s="21">
        <v>60</v>
      </c>
      <c r="I27" s="21">
        <v>60</v>
      </c>
      <c r="J27" s="21">
        <v>60</v>
      </c>
      <c r="K27" s="21">
        <v>60</v>
      </c>
      <c r="L27" s="21">
        <v>0</v>
      </c>
      <c r="M27" s="808">
        <f>L27/I27</f>
        <v>0</v>
      </c>
      <c r="N27" s="27"/>
    </row>
    <row r="28" spans="1:15" x14ac:dyDescent="0.25">
      <c r="A28" s="17">
        <v>223</v>
      </c>
      <c r="B28" s="18" t="s">
        <v>32</v>
      </c>
      <c r="C28" s="21">
        <v>2400</v>
      </c>
      <c r="D28" s="21">
        <v>2400</v>
      </c>
      <c r="E28" s="21">
        <v>2400</v>
      </c>
      <c r="F28" s="21">
        <v>2400</v>
      </c>
      <c r="G28" s="21">
        <v>2400</v>
      </c>
      <c r="H28" s="21">
        <v>2400</v>
      </c>
      <c r="I28" s="21">
        <v>2400</v>
      </c>
      <c r="J28" s="21">
        <v>2400</v>
      </c>
      <c r="K28" s="21">
        <v>2400</v>
      </c>
      <c r="L28" s="21">
        <v>892</v>
      </c>
      <c r="M28" s="808">
        <f>L28/I28</f>
        <v>0.37166666666666665</v>
      </c>
      <c r="N28" s="27"/>
    </row>
    <row r="29" spans="1:15" x14ac:dyDescent="0.25">
      <c r="A29" s="17">
        <v>223</v>
      </c>
      <c r="B29" s="18" t="s">
        <v>263</v>
      </c>
      <c r="C29" s="21">
        <v>2600</v>
      </c>
      <c r="D29" s="21">
        <v>2600</v>
      </c>
      <c r="E29" s="21">
        <v>2600</v>
      </c>
      <c r="F29" s="21">
        <v>2600</v>
      </c>
      <c r="G29" s="21">
        <v>2600</v>
      </c>
      <c r="H29" s="21">
        <v>2600</v>
      </c>
      <c r="I29" s="21">
        <v>2600</v>
      </c>
      <c r="J29" s="21">
        <v>2600</v>
      </c>
      <c r="K29" s="21">
        <v>2600</v>
      </c>
      <c r="L29" s="21">
        <v>540</v>
      </c>
      <c r="M29" s="808">
        <f>L29/I29</f>
        <v>0.2076923076923077</v>
      </c>
      <c r="N29" s="27"/>
    </row>
    <row r="30" spans="1:15" x14ac:dyDescent="0.25">
      <c r="A30" s="43">
        <v>223</v>
      </c>
      <c r="B30" s="44" t="s">
        <v>33</v>
      </c>
      <c r="C30" s="46">
        <v>84000</v>
      </c>
      <c r="D30" s="46">
        <v>84000</v>
      </c>
      <c r="E30" s="46">
        <v>84000</v>
      </c>
      <c r="F30" s="46">
        <v>84000</v>
      </c>
      <c r="G30" s="46">
        <v>84000</v>
      </c>
      <c r="H30" s="46">
        <v>84000</v>
      </c>
      <c r="I30" s="46">
        <v>84000</v>
      </c>
      <c r="J30" s="46">
        <v>84000</v>
      </c>
      <c r="K30" s="46">
        <v>84000</v>
      </c>
      <c r="L30" s="46">
        <v>23698</v>
      </c>
      <c r="M30" s="808">
        <f>L30/I30</f>
        <v>0.2821190476190476</v>
      </c>
      <c r="N30" s="27"/>
    </row>
    <row r="31" spans="1:15" ht="15.75" thickBot="1" x14ac:dyDescent="0.3">
      <c r="A31" s="22">
        <v>223</v>
      </c>
      <c r="B31" s="23" t="s">
        <v>34</v>
      </c>
      <c r="C31" s="48">
        <v>100</v>
      </c>
      <c r="D31" s="48">
        <v>100</v>
      </c>
      <c r="E31" s="48">
        <v>100</v>
      </c>
      <c r="F31" s="48">
        <v>100</v>
      </c>
      <c r="G31" s="48">
        <v>100</v>
      </c>
      <c r="H31" s="48">
        <v>100</v>
      </c>
      <c r="I31" s="48">
        <v>100</v>
      </c>
      <c r="J31" s="48">
        <v>100</v>
      </c>
      <c r="K31" s="48">
        <v>100</v>
      </c>
      <c r="L31" s="48">
        <v>0</v>
      </c>
      <c r="M31" s="808">
        <f>L31/I31</f>
        <v>0</v>
      </c>
      <c r="N31" s="27">
        <f>SUM(I19:I31)</f>
        <v>215460</v>
      </c>
      <c r="O31" s="27">
        <f>SUM(L19:L31)</f>
        <v>66460</v>
      </c>
    </row>
    <row r="32" spans="1:15" ht="15.75" thickBot="1" x14ac:dyDescent="0.3">
      <c r="A32" s="816" t="s">
        <v>35</v>
      </c>
      <c r="B32" s="817"/>
      <c r="C32" s="2">
        <f t="shared" ref="C32:L32" si="11">SUM(C33)</f>
        <v>50</v>
      </c>
      <c r="D32" s="2">
        <f t="shared" si="11"/>
        <v>50</v>
      </c>
      <c r="E32" s="2">
        <f t="shared" si="11"/>
        <v>50</v>
      </c>
      <c r="F32" s="2">
        <f t="shared" si="11"/>
        <v>50</v>
      </c>
      <c r="G32" s="2">
        <f t="shared" si="11"/>
        <v>50</v>
      </c>
      <c r="H32" s="2">
        <f t="shared" si="11"/>
        <v>50</v>
      </c>
      <c r="I32" s="2">
        <f t="shared" si="11"/>
        <v>50</v>
      </c>
      <c r="J32" s="2">
        <f t="shared" si="11"/>
        <v>50</v>
      </c>
      <c r="K32" s="2">
        <f t="shared" si="11"/>
        <v>50</v>
      </c>
      <c r="L32" s="2">
        <f t="shared" si="11"/>
        <v>5</v>
      </c>
      <c r="M32" s="808">
        <f>L32/I32</f>
        <v>0.1</v>
      </c>
      <c r="N32" s="1"/>
    </row>
    <row r="33" spans="1:15" ht="15.75" thickBot="1" x14ac:dyDescent="0.3">
      <c r="A33" s="51">
        <v>240</v>
      </c>
      <c r="B33" s="47" t="s">
        <v>36</v>
      </c>
      <c r="C33" s="38">
        <v>50</v>
      </c>
      <c r="D33" s="38">
        <v>50</v>
      </c>
      <c r="E33" s="38">
        <v>50</v>
      </c>
      <c r="F33" s="38">
        <v>50</v>
      </c>
      <c r="G33" s="38">
        <v>50</v>
      </c>
      <c r="H33" s="38">
        <v>50</v>
      </c>
      <c r="I33" s="38">
        <v>50</v>
      </c>
      <c r="J33" s="38">
        <v>50</v>
      </c>
      <c r="K33" s="38">
        <v>50</v>
      </c>
      <c r="L33" s="38">
        <v>5</v>
      </c>
      <c r="M33" s="808">
        <f>L33/I33</f>
        <v>0.1</v>
      </c>
      <c r="N33" s="1"/>
    </row>
    <row r="34" spans="1:15" ht="15.75" thickBot="1" x14ac:dyDescent="0.3">
      <c r="A34" s="816" t="s">
        <v>37</v>
      </c>
      <c r="B34" s="817"/>
      <c r="C34" s="354">
        <f t="shared" ref="C34:L34" si="12">SUM(C35:C41)</f>
        <v>71875</v>
      </c>
      <c r="D34" s="354">
        <f t="shared" si="12"/>
        <v>71875</v>
      </c>
      <c r="E34" s="354">
        <f t="shared" si="12"/>
        <v>71875</v>
      </c>
      <c r="F34" s="354">
        <f t="shared" si="12"/>
        <v>71875</v>
      </c>
      <c r="G34" s="354">
        <f t="shared" si="12"/>
        <v>72705</v>
      </c>
      <c r="H34" s="354">
        <f t="shared" si="12"/>
        <v>73505</v>
      </c>
      <c r="I34" s="354">
        <f t="shared" si="12"/>
        <v>73505</v>
      </c>
      <c r="J34" s="354">
        <f t="shared" ref="J34:K34" si="13">SUM(J35:J41)</f>
        <v>73505</v>
      </c>
      <c r="K34" s="354">
        <f t="shared" si="13"/>
        <v>73505</v>
      </c>
      <c r="L34" s="354">
        <f t="shared" si="12"/>
        <v>14582</v>
      </c>
      <c r="M34" s="808">
        <f>L34/I34</f>
        <v>0.19838106251275422</v>
      </c>
      <c r="N34" s="1"/>
    </row>
    <row r="35" spans="1:15" x14ac:dyDescent="0.25">
      <c r="A35" s="52">
        <v>292</v>
      </c>
      <c r="B35" s="53" t="s">
        <v>38</v>
      </c>
      <c r="C35" s="55">
        <v>0</v>
      </c>
      <c r="D35" s="55">
        <v>0</v>
      </c>
      <c r="E35" s="55">
        <v>0</v>
      </c>
      <c r="F35" s="55">
        <v>0</v>
      </c>
      <c r="G35" s="743">
        <v>830</v>
      </c>
      <c r="H35" s="55">
        <v>830</v>
      </c>
      <c r="I35" s="55">
        <v>830</v>
      </c>
      <c r="J35" s="55">
        <v>830</v>
      </c>
      <c r="K35" s="55">
        <v>830</v>
      </c>
      <c r="L35" s="55">
        <v>821</v>
      </c>
      <c r="M35" s="808">
        <f>L35/I35</f>
        <v>0.98915662650602409</v>
      </c>
      <c r="N35" s="1"/>
    </row>
    <row r="36" spans="1:15" x14ac:dyDescent="0.25">
      <c r="A36" s="52">
        <v>292</v>
      </c>
      <c r="B36" s="53" t="s">
        <v>39</v>
      </c>
      <c r="C36" s="55">
        <v>200</v>
      </c>
      <c r="D36" s="55">
        <v>200</v>
      </c>
      <c r="E36" s="55">
        <v>200</v>
      </c>
      <c r="F36" s="55">
        <v>200</v>
      </c>
      <c r="G36" s="55">
        <v>200</v>
      </c>
      <c r="H36" s="55">
        <v>200</v>
      </c>
      <c r="I36" s="55">
        <v>200</v>
      </c>
      <c r="J36" s="55">
        <v>200</v>
      </c>
      <c r="K36" s="55">
        <v>200</v>
      </c>
      <c r="L36" s="55">
        <v>0</v>
      </c>
      <c r="M36" s="808">
        <f>L36/I36</f>
        <v>0</v>
      </c>
      <c r="N36" s="1"/>
    </row>
    <row r="37" spans="1:15" x14ac:dyDescent="0.25">
      <c r="A37" s="57">
        <v>292</v>
      </c>
      <c r="B37" s="58" t="s">
        <v>40</v>
      </c>
      <c r="C37" s="61">
        <v>1000</v>
      </c>
      <c r="D37" s="61">
        <v>1000</v>
      </c>
      <c r="E37" s="61">
        <v>1000</v>
      </c>
      <c r="F37" s="61">
        <v>1000</v>
      </c>
      <c r="G37" s="61">
        <v>1000</v>
      </c>
      <c r="H37" s="61">
        <v>1000</v>
      </c>
      <c r="I37" s="61">
        <v>1000</v>
      </c>
      <c r="J37" s="61">
        <v>1000</v>
      </c>
      <c r="K37" s="61">
        <v>1000</v>
      </c>
      <c r="L37" s="61">
        <v>743</v>
      </c>
      <c r="M37" s="808">
        <f>L37/I37</f>
        <v>0.74299999999999999</v>
      </c>
      <c r="N37" s="1"/>
    </row>
    <row r="38" spans="1:15" x14ac:dyDescent="0.25">
      <c r="A38" s="57">
        <v>292</v>
      </c>
      <c r="B38" s="58" t="s">
        <v>41</v>
      </c>
      <c r="C38" s="60">
        <v>500</v>
      </c>
      <c r="D38" s="60">
        <v>500</v>
      </c>
      <c r="E38" s="60">
        <v>500</v>
      </c>
      <c r="F38" s="60">
        <v>500</v>
      </c>
      <c r="G38" s="60">
        <v>500</v>
      </c>
      <c r="H38" s="60">
        <v>500</v>
      </c>
      <c r="I38" s="60">
        <v>500</v>
      </c>
      <c r="J38" s="60">
        <v>500</v>
      </c>
      <c r="K38" s="60">
        <v>500</v>
      </c>
      <c r="L38" s="60">
        <v>0</v>
      </c>
      <c r="M38" s="808">
        <f>L38/I38</f>
        <v>0</v>
      </c>
      <c r="N38" s="1"/>
    </row>
    <row r="39" spans="1:15" x14ac:dyDescent="0.25">
      <c r="A39" s="57">
        <v>292</v>
      </c>
      <c r="B39" s="18" t="s">
        <v>42</v>
      </c>
      <c r="C39" s="64">
        <v>340</v>
      </c>
      <c r="D39" s="64">
        <v>340</v>
      </c>
      <c r="E39" s="64">
        <v>340</v>
      </c>
      <c r="F39" s="64">
        <v>340</v>
      </c>
      <c r="G39" s="64">
        <v>340</v>
      </c>
      <c r="H39" s="64">
        <v>340</v>
      </c>
      <c r="I39" s="64">
        <v>340</v>
      </c>
      <c r="J39" s="64">
        <v>340</v>
      </c>
      <c r="K39" s="64">
        <v>340</v>
      </c>
      <c r="L39" s="64">
        <v>0</v>
      </c>
      <c r="M39" s="808">
        <f>L39/I39</f>
        <v>0</v>
      </c>
      <c r="N39" s="1"/>
    </row>
    <row r="40" spans="1:15" x14ac:dyDescent="0.25">
      <c r="A40" s="57">
        <v>292</v>
      </c>
      <c r="B40" s="58" t="s">
        <v>220</v>
      </c>
      <c r="C40" s="60">
        <v>69785</v>
      </c>
      <c r="D40" s="60">
        <v>69785</v>
      </c>
      <c r="E40" s="60">
        <v>69785</v>
      </c>
      <c r="F40" s="60">
        <f>69785</f>
        <v>69785</v>
      </c>
      <c r="G40" s="60">
        <f t="shared" ref="G40" si="14">69785</f>
        <v>69785</v>
      </c>
      <c r="H40" s="745">
        <f>69785+800</f>
        <v>70585</v>
      </c>
      <c r="I40" s="60">
        <f>69785+800</f>
        <v>70585</v>
      </c>
      <c r="J40" s="60">
        <f t="shared" ref="J40:K40" si="15">69785+800</f>
        <v>70585</v>
      </c>
      <c r="K40" s="60">
        <f t="shared" si="15"/>
        <v>70585</v>
      </c>
      <c r="L40" s="60">
        <v>13018</v>
      </c>
      <c r="M40" s="808">
        <f>L40/I40</f>
        <v>0.18443011971382023</v>
      </c>
      <c r="N40" s="27">
        <f>SUM(C39:C40)</f>
        <v>70125</v>
      </c>
      <c r="O40" s="27">
        <f>SUM(D39:D40)</f>
        <v>70125</v>
      </c>
    </row>
    <row r="41" spans="1:15" ht="15.75" thickBot="1" x14ac:dyDescent="0.3">
      <c r="A41" s="57">
        <v>292</v>
      </c>
      <c r="B41" s="58" t="s">
        <v>345</v>
      </c>
      <c r="C41" s="60">
        <v>50</v>
      </c>
      <c r="D41" s="60">
        <v>50</v>
      </c>
      <c r="E41" s="60">
        <v>50</v>
      </c>
      <c r="F41" s="60">
        <v>50</v>
      </c>
      <c r="G41" s="60">
        <v>50</v>
      </c>
      <c r="H41" s="60">
        <v>50</v>
      </c>
      <c r="I41" s="60">
        <v>50</v>
      </c>
      <c r="J41" s="60">
        <v>50</v>
      </c>
      <c r="K41" s="60">
        <v>50</v>
      </c>
      <c r="L41" s="60">
        <v>0</v>
      </c>
      <c r="M41" s="808">
        <f>L41/I41</f>
        <v>0</v>
      </c>
      <c r="N41" s="1"/>
    </row>
    <row r="42" spans="1:15" ht="15.75" thickBot="1" x14ac:dyDescent="0.3">
      <c r="A42" s="65" t="s">
        <v>43</v>
      </c>
      <c r="B42" s="358"/>
      <c r="C42" s="354">
        <f t="shared" ref="C42:I42" si="16">SUM(C43:C68)</f>
        <v>761910</v>
      </c>
      <c r="D42" s="354">
        <f t="shared" si="16"/>
        <v>761990</v>
      </c>
      <c r="E42" s="354">
        <f t="shared" si="16"/>
        <v>870240</v>
      </c>
      <c r="F42" s="354">
        <f t="shared" si="16"/>
        <v>870240</v>
      </c>
      <c r="G42" s="354">
        <f t="shared" si="16"/>
        <v>930995</v>
      </c>
      <c r="H42" s="354">
        <f t="shared" si="16"/>
        <v>960195</v>
      </c>
      <c r="I42" s="354">
        <f t="shared" si="16"/>
        <v>962735</v>
      </c>
      <c r="J42" s="354">
        <f t="shared" ref="J42:K42" si="17">SUM(J43:J68)</f>
        <v>962815</v>
      </c>
      <c r="K42" s="354">
        <f t="shared" si="17"/>
        <v>962815</v>
      </c>
      <c r="L42" s="354">
        <f>SUM(L43:L68)</f>
        <v>322980</v>
      </c>
      <c r="M42" s="808">
        <f>L42/I42</f>
        <v>0.33548172653949426</v>
      </c>
      <c r="N42" s="1"/>
    </row>
    <row r="43" spans="1:15" x14ac:dyDescent="0.25">
      <c r="A43" s="67">
        <v>311</v>
      </c>
      <c r="B43" s="359" t="s">
        <v>44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808">
        <v>0</v>
      </c>
      <c r="N43" s="1"/>
    </row>
    <row r="44" spans="1:15" x14ac:dyDescent="0.25">
      <c r="A44" s="67">
        <v>312</v>
      </c>
      <c r="B44" s="359" t="s">
        <v>571</v>
      </c>
      <c r="C44" s="68">
        <v>0</v>
      </c>
      <c r="D44" s="68">
        <v>0</v>
      </c>
      <c r="E44" s="68">
        <f>2000-2000</f>
        <v>0</v>
      </c>
      <c r="F44" s="68">
        <v>0</v>
      </c>
      <c r="G44" s="708">
        <v>60000</v>
      </c>
      <c r="H44" s="68">
        <v>60000</v>
      </c>
      <c r="I44" s="68">
        <v>60000</v>
      </c>
      <c r="J44" s="68">
        <v>60000</v>
      </c>
      <c r="K44" s="68">
        <v>60000</v>
      </c>
      <c r="L44" s="68">
        <v>11770</v>
      </c>
      <c r="M44" s="808">
        <f>L44/I44</f>
        <v>0.19616666666666666</v>
      </c>
      <c r="N44" s="1"/>
    </row>
    <row r="45" spans="1:15" x14ac:dyDescent="0.25">
      <c r="A45" s="798">
        <v>312</v>
      </c>
      <c r="B45" s="799" t="s">
        <v>618</v>
      </c>
      <c r="C45" s="800">
        <v>0</v>
      </c>
      <c r="D45" s="800">
        <v>0</v>
      </c>
      <c r="E45" s="800">
        <v>0</v>
      </c>
      <c r="F45" s="800">
        <v>0</v>
      </c>
      <c r="G45" s="800">
        <v>0</v>
      </c>
      <c r="H45" s="801">
        <v>18200</v>
      </c>
      <c r="I45" s="800">
        <v>18200</v>
      </c>
      <c r="J45" s="800">
        <v>18200</v>
      </c>
      <c r="K45" s="800">
        <v>18200</v>
      </c>
      <c r="L45" s="800">
        <v>0</v>
      </c>
      <c r="M45" s="808">
        <f>L45/I45</f>
        <v>0</v>
      </c>
      <c r="N45" s="27"/>
    </row>
    <row r="46" spans="1:15" x14ac:dyDescent="0.25">
      <c r="A46" s="71">
        <v>312</v>
      </c>
      <c r="B46" s="352" t="s">
        <v>228</v>
      </c>
      <c r="C46" s="16">
        <f>7600+500</f>
        <v>8100</v>
      </c>
      <c r="D46" s="16">
        <f>7600+500</f>
        <v>8100</v>
      </c>
      <c r="E46" s="709">
        <f>7600+500+170</f>
        <v>8270</v>
      </c>
      <c r="F46" s="16">
        <f>7600+500+170</f>
        <v>8270</v>
      </c>
      <c r="G46" s="16">
        <f t="shared" ref="G46:K46" si="18">7600+500+170</f>
        <v>8270</v>
      </c>
      <c r="H46" s="16">
        <f t="shared" si="18"/>
        <v>8270</v>
      </c>
      <c r="I46" s="16">
        <f t="shared" si="18"/>
        <v>8270</v>
      </c>
      <c r="J46" s="16">
        <f t="shared" si="18"/>
        <v>8270</v>
      </c>
      <c r="K46" s="16">
        <f t="shared" si="18"/>
        <v>8270</v>
      </c>
      <c r="L46" s="16">
        <v>4449</v>
      </c>
      <c r="M46" s="808">
        <f>L46/I46</f>
        <v>0.53796856106408708</v>
      </c>
      <c r="N46" s="1"/>
    </row>
    <row r="47" spans="1:15" x14ac:dyDescent="0.25">
      <c r="A47" s="71">
        <v>312</v>
      </c>
      <c r="B47" s="352" t="s">
        <v>229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709">
        <v>360</v>
      </c>
      <c r="J47" s="709">
        <f>360+20</f>
        <v>380</v>
      </c>
      <c r="K47" s="16">
        <f>360+20</f>
        <v>380</v>
      </c>
      <c r="L47" s="16">
        <v>0</v>
      </c>
      <c r="M47" s="808">
        <f>L47/I47</f>
        <v>0</v>
      </c>
      <c r="N47" s="1"/>
    </row>
    <row r="48" spans="1:15" x14ac:dyDescent="0.25">
      <c r="A48" s="71">
        <v>312</v>
      </c>
      <c r="B48" s="118" t="s">
        <v>50</v>
      </c>
      <c r="C48" s="73">
        <v>2040</v>
      </c>
      <c r="D48" s="73">
        <v>2040</v>
      </c>
      <c r="E48" s="73">
        <v>2040</v>
      </c>
      <c r="F48" s="73">
        <v>2040</v>
      </c>
      <c r="G48" s="73">
        <v>2040</v>
      </c>
      <c r="H48" s="73">
        <v>2040</v>
      </c>
      <c r="I48" s="73">
        <f>2040</f>
        <v>2040</v>
      </c>
      <c r="J48" s="73">
        <f>2040</f>
        <v>2040</v>
      </c>
      <c r="K48" s="73">
        <f>2040</f>
        <v>2040</v>
      </c>
      <c r="L48" s="73">
        <v>0</v>
      </c>
      <c r="M48" s="808">
        <f>L48/I48</f>
        <v>0</v>
      </c>
      <c r="N48" s="1"/>
    </row>
    <row r="49" spans="1:15" x14ac:dyDescent="0.25">
      <c r="A49" s="71">
        <v>312</v>
      </c>
      <c r="B49" s="351" t="s">
        <v>463</v>
      </c>
      <c r="C49" s="73">
        <v>14170</v>
      </c>
      <c r="D49" s="73">
        <v>14170</v>
      </c>
      <c r="E49" s="73">
        <v>14170</v>
      </c>
      <c r="F49" s="73">
        <v>14170</v>
      </c>
      <c r="G49" s="73">
        <v>14170</v>
      </c>
      <c r="H49" s="73">
        <v>14170</v>
      </c>
      <c r="I49" s="73">
        <v>14170</v>
      </c>
      <c r="J49" s="73">
        <v>14170</v>
      </c>
      <c r="K49" s="73">
        <v>14170</v>
      </c>
      <c r="L49" s="73">
        <v>2096</v>
      </c>
      <c r="M49" s="808">
        <f>L49/I49</f>
        <v>0.14791813690896261</v>
      </c>
      <c r="N49" s="27"/>
    </row>
    <row r="50" spans="1:15" x14ac:dyDescent="0.25">
      <c r="A50" s="84">
        <v>312</v>
      </c>
      <c r="B50" s="352" t="s">
        <v>607</v>
      </c>
      <c r="C50" s="800">
        <v>0</v>
      </c>
      <c r="D50" s="800">
        <v>0</v>
      </c>
      <c r="E50" s="800">
        <v>0</v>
      </c>
      <c r="F50" s="800">
        <v>0</v>
      </c>
      <c r="G50" s="800">
        <v>0</v>
      </c>
      <c r="H50" s="801">
        <v>11000</v>
      </c>
      <c r="I50" s="800">
        <v>11000</v>
      </c>
      <c r="J50" s="800">
        <v>11000</v>
      </c>
      <c r="K50" s="800">
        <v>11000</v>
      </c>
      <c r="L50" s="800">
        <v>0</v>
      </c>
      <c r="M50" s="808">
        <f>L50/I50</f>
        <v>0</v>
      </c>
      <c r="N50" s="27"/>
    </row>
    <row r="51" spans="1:15" ht="15.75" thickBot="1" x14ac:dyDescent="0.3">
      <c r="A51" s="74">
        <v>312</v>
      </c>
      <c r="B51" s="82" t="s">
        <v>53</v>
      </c>
      <c r="C51" s="75">
        <v>40</v>
      </c>
      <c r="D51" s="75">
        <f>40</f>
        <v>40</v>
      </c>
      <c r="E51" s="759">
        <f>40+1</f>
        <v>41</v>
      </c>
      <c r="F51" s="75">
        <f>40+1</f>
        <v>41</v>
      </c>
      <c r="G51" s="75">
        <f t="shared" ref="G51:K51" si="19">40+1</f>
        <v>41</v>
      </c>
      <c r="H51" s="75">
        <f t="shared" si="19"/>
        <v>41</v>
      </c>
      <c r="I51" s="75">
        <f t="shared" si="19"/>
        <v>41</v>
      </c>
      <c r="J51" s="75">
        <f t="shared" si="19"/>
        <v>41</v>
      </c>
      <c r="K51" s="75">
        <f t="shared" si="19"/>
        <v>41</v>
      </c>
      <c r="L51" s="75">
        <v>40</v>
      </c>
      <c r="M51" s="808">
        <f>L51/I51</f>
        <v>0.97560975609756095</v>
      </c>
      <c r="N51" s="27"/>
    </row>
    <row r="52" spans="1:15" ht="15.75" thickBot="1" x14ac:dyDescent="0.3">
      <c r="A52" s="348">
        <v>312</v>
      </c>
      <c r="B52" s="360" t="s">
        <v>464</v>
      </c>
      <c r="C52" s="349">
        <v>3000</v>
      </c>
      <c r="D52" s="349">
        <v>3000</v>
      </c>
      <c r="E52" s="349">
        <v>3000</v>
      </c>
      <c r="F52" s="349">
        <v>3000</v>
      </c>
      <c r="G52" s="349">
        <v>3000</v>
      </c>
      <c r="H52" s="349">
        <v>3000</v>
      </c>
      <c r="I52" s="349">
        <v>3000</v>
      </c>
      <c r="J52" s="349">
        <v>3000</v>
      </c>
      <c r="K52" s="349">
        <v>3000</v>
      </c>
      <c r="L52" s="349">
        <v>0</v>
      </c>
      <c r="M52" s="808">
        <f>L52/I52</f>
        <v>0</v>
      </c>
      <c r="N52" s="27"/>
    </row>
    <row r="53" spans="1:15" x14ac:dyDescent="0.25">
      <c r="A53" s="71">
        <v>312</v>
      </c>
      <c r="B53" s="85" t="s">
        <v>54</v>
      </c>
      <c r="C53" s="16">
        <v>20100</v>
      </c>
      <c r="D53" s="16">
        <v>20100</v>
      </c>
      <c r="E53" s="16">
        <v>20100</v>
      </c>
      <c r="F53" s="16">
        <v>20100</v>
      </c>
      <c r="G53" s="16">
        <v>20100</v>
      </c>
      <c r="H53" s="16">
        <v>20100</v>
      </c>
      <c r="I53" s="16">
        <v>20100</v>
      </c>
      <c r="J53" s="16">
        <v>20100</v>
      </c>
      <c r="K53" s="16">
        <v>20100</v>
      </c>
      <c r="L53" s="16">
        <v>3483</v>
      </c>
      <c r="M53" s="808">
        <f>L53/I53</f>
        <v>0.17328358208955225</v>
      </c>
      <c r="N53" s="1"/>
    </row>
    <row r="54" spans="1:15" x14ac:dyDescent="0.25">
      <c r="A54" s="71">
        <v>312</v>
      </c>
      <c r="B54" s="118" t="s">
        <v>55</v>
      </c>
      <c r="C54" s="16">
        <v>12500</v>
      </c>
      <c r="D54" s="16">
        <v>12500</v>
      </c>
      <c r="E54" s="16">
        <v>12500</v>
      </c>
      <c r="F54" s="16">
        <v>12500</v>
      </c>
      <c r="G54" s="709">
        <f>12500+500</f>
        <v>13000</v>
      </c>
      <c r="H54" s="16">
        <f>12500+500</f>
        <v>13000</v>
      </c>
      <c r="I54" s="16">
        <f>12500+500</f>
        <v>13000</v>
      </c>
      <c r="J54" s="16">
        <f t="shared" ref="J54:K54" si="20">12500+500</f>
        <v>13000</v>
      </c>
      <c r="K54" s="16">
        <f t="shared" si="20"/>
        <v>13000</v>
      </c>
      <c r="L54" s="16">
        <v>3250</v>
      </c>
      <c r="M54" s="808">
        <f>L54/I54</f>
        <v>0.25</v>
      </c>
      <c r="N54" s="1"/>
    </row>
    <row r="55" spans="1:15" ht="15.75" thickBot="1" x14ac:dyDescent="0.3">
      <c r="A55" s="77">
        <v>312</v>
      </c>
      <c r="B55" s="165" t="s">
        <v>56</v>
      </c>
      <c r="C55" s="79">
        <f>3000+5600</f>
        <v>8600</v>
      </c>
      <c r="D55" s="79">
        <f>3000+5600</f>
        <v>8600</v>
      </c>
      <c r="E55" s="787">
        <f>3200+5600</f>
        <v>8800</v>
      </c>
      <c r="F55" s="79">
        <f>3200+5600</f>
        <v>8800</v>
      </c>
      <c r="G55" s="79">
        <f t="shared" ref="G55:I55" si="21">3200+5600</f>
        <v>8800</v>
      </c>
      <c r="H55" s="79">
        <f t="shared" si="21"/>
        <v>8800</v>
      </c>
      <c r="I55" s="79">
        <f t="shared" si="21"/>
        <v>8800</v>
      </c>
      <c r="J55" s="79">
        <f>3200+5600</f>
        <v>8800</v>
      </c>
      <c r="K55" s="79">
        <f>3200+5600</f>
        <v>8800</v>
      </c>
      <c r="L55" s="79">
        <v>1400</v>
      </c>
      <c r="M55" s="808">
        <f>L55/I55</f>
        <v>0.15909090909090909</v>
      </c>
      <c r="N55" s="27"/>
      <c r="O55" s="458"/>
    </row>
    <row r="56" spans="1:15" ht="15" customHeight="1" x14ac:dyDescent="0.25">
      <c r="A56" s="71">
        <v>312</v>
      </c>
      <c r="B56" s="85" t="s">
        <v>233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808">
        <v>0</v>
      </c>
      <c r="N56" s="1"/>
    </row>
    <row r="57" spans="1:15" ht="15.75" thickBot="1" x14ac:dyDescent="0.3">
      <c r="A57" s="74">
        <v>312</v>
      </c>
      <c r="B57" s="82" t="s">
        <v>59</v>
      </c>
      <c r="C57" s="75">
        <v>3000</v>
      </c>
      <c r="D57" s="75">
        <v>3000</v>
      </c>
      <c r="E57" s="75">
        <v>3000</v>
      </c>
      <c r="F57" s="75">
        <v>3000</v>
      </c>
      <c r="G57" s="75">
        <v>3000</v>
      </c>
      <c r="H57" s="75">
        <v>3000</v>
      </c>
      <c r="I57" s="75">
        <v>3000</v>
      </c>
      <c r="J57" s="75">
        <v>3000</v>
      </c>
      <c r="K57" s="75">
        <v>3000</v>
      </c>
      <c r="L57" s="75">
        <v>3000</v>
      </c>
      <c r="M57" s="808">
        <f>L57/I57</f>
        <v>1</v>
      </c>
      <c r="N57" s="27"/>
    </row>
    <row r="58" spans="1:15" x14ac:dyDescent="0.25">
      <c r="A58" s="71">
        <v>312</v>
      </c>
      <c r="B58" s="351" t="s">
        <v>60</v>
      </c>
      <c r="C58" s="83">
        <v>5120</v>
      </c>
      <c r="D58" s="781">
        <f>5120+80</f>
        <v>5200</v>
      </c>
      <c r="E58" s="83">
        <f>5120+80</f>
        <v>5200</v>
      </c>
      <c r="F58" s="83">
        <f>5120+80</f>
        <v>5200</v>
      </c>
      <c r="G58" s="83">
        <f t="shared" ref="G58:K58" si="22">5120+80</f>
        <v>5200</v>
      </c>
      <c r="H58" s="83">
        <f t="shared" si="22"/>
        <v>5200</v>
      </c>
      <c r="I58" s="83">
        <f t="shared" si="22"/>
        <v>5200</v>
      </c>
      <c r="J58" s="83">
        <f t="shared" si="22"/>
        <v>5200</v>
      </c>
      <c r="K58" s="83">
        <f t="shared" si="22"/>
        <v>5200</v>
      </c>
      <c r="L58" s="83">
        <v>5167</v>
      </c>
      <c r="M58" s="808">
        <f>L58/I58</f>
        <v>0.99365384615384611</v>
      </c>
      <c r="N58" s="1"/>
    </row>
    <row r="59" spans="1:15" x14ac:dyDescent="0.25">
      <c r="A59" s="84">
        <v>312</v>
      </c>
      <c r="B59" s="361" t="s">
        <v>61</v>
      </c>
      <c r="C59" s="21">
        <v>3700</v>
      </c>
      <c r="D59" s="21">
        <v>3700</v>
      </c>
      <c r="E59" s="786">
        <f>3700+400</f>
        <v>4100</v>
      </c>
      <c r="F59" s="21">
        <f>3700+400</f>
        <v>4100</v>
      </c>
      <c r="G59" s="21">
        <f t="shared" ref="G59:I59" si="23">3700+400</f>
        <v>4100</v>
      </c>
      <c r="H59" s="21">
        <f t="shared" si="23"/>
        <v>4100</v>
      </c>
      <c r="I59" s="21">
        <f t="shared" si="23"/>
        <v>4100</v>
      </c>
      <c r="J59" s="786">
        <f>3700+400+60</f>
        <v>4160</v>
      </c>
      <c r="K59" s="21">
        <f>3700+400+60</f>
        <v>4160</v>
      </c>
      <c r="L59" s="21">
        <v>171</v>
      </c>
      <c r="M59" s="808">
        <f>L59/I59</f>
        <v>4.1707317073170734E-2</v>
      </c>
      <c r="N59" s="1"/>
    </row>
    <row r="60" spans="1:15" x14ac:dyDescent="0.25">
      <c r="A60" s="84">
        <v>312</v>
      </c>
      <c r="B60" s="362" t="s">
        <v>572</v>
      </c>
      <c r="C60" s="33">
        <v>5000</v>
      </c>
      <c r="D60" s="33">
        <f>5000</f>
        <v>5000</v>
      </c>
      <c r="E60" s="715">
        <f>5000+7200</f>
        <v>12200</v>
      </c>
      <c r="F60" s="33">
        <f>5000+7200</f>
        <v>12200</v>
      </c>
      <c r="G60" s="715">
        <f>5000+7200+155</f>
        <v>12355</v>
      </c>
      <c r="H60" s="33">
        <f>5000+7200+155</f>
        <v>12355</v>
      </c>
      <c r="I60" s="33">
        <f>5000+7200+155</f>
        <v>12355</v>
      </c>
      <c r="J60" s="33">
        <f t="shared" ref="J60:K60" si="24">5000+7200+155</f>
        <v>12355</v>
      </c>
      <c r="K60" s="33">
        <f t="shared" si="24"/>
        <v>12355</v>
      </c>
      <c r="L60" s="33">
        <v>6248</v>
      </c>
      <c r="M60" s="808">
        <f>L60/I60</f>
        <v>0.50570619182517196</v>
      </c>
      <c r="N60" s="1"/>
    </row>
    <row r="61" spans="1:15" x14ac:dyDescent="0.25">
      <c r="A61" s="71">
        <v>312</v>
      </c>
      <c r="B61" s="118" t="s">
        <v>573</v>
      </c>
      <c r="C61" s="16">
        <v>52550</v>
      </c>
      <c r="D61" s="16">
        <f>52550</f>
        <v>52550</v>
      </c>
      <c r="E61" s="709">
        <f>52550+17050</f>
        <v>69600</v>
      </c>
      <c r="F61" s="16">
        <f>52550+17050</f>
        <v>69600</v>
      </c>
      <c r="G61" s="16">
        <f t="shared" ref="G61:K61" si="25">52550+17050</f>
        <v>69600</v>
      </c>
      <c r="H61" s="16">
        <f t="shared" si="25"/>
        <v>69600</v>
      </c>
      <c r="I61" s="16">
        <f t="shared" si="25"/>
        <v>69600</v>
      </c>
      <c r="J61" s="16">
        <f t="shared" si="25"/>
        <v>69600</v>
      </c>
      <c r="K61" s="16">
        <f t="shared" si="25"/>
        <v>69600</v>
      </c>
      <c r="L61" s="16">
        <v>29000</v>
      </c>
      <c r="M61" s="808">
        <f>L61/I61</f>
        <v>0.41666666666666669</v>
      </c>
      <c r="N61" s="1"/>
    </row>
    <row r="62" spans="1:15" x14ac:dyDescent="0.25">
      <c r="A62" s="84">
        <v>312</v>
      </c>
      <c r="B62" s="118" t="s">
        <v>62</v>
      </c>
      <c r="C62" s="21">
        <v>47340</v>
      </c>
      <c r="D62" s="21">
        <v>47340</v>
      </c>
      <c r="E62" s="21">
        <v>47340</v>
      </c>
      <c r="F62" s="21">
        <v>47340</v>
      </c>
      <c r="G62" s="21">
        <v>47340</v>
      </c>
      <c r="H62" s="21">
        <v>47340</v>
      </c>
      <c r="I62" s="21">
        <v>47340</v>
      </c>
      <c r="J62" s="21">
        <v>47340</v>
      </c>
      <c r="K62" s="21">
        <v>47340</v>
      </c>
      <c r="L62" s="21">
        <v>11276</v>
      </c>
      <c r="M62" s="808">
        <f>L62/I62</f>
        <v>0.23819180397127165</v>
      </c>
      <c r="N62" s="27"/>
      <c r="O62" s="27"/>
    </row>
    <row r="63" spans="1:15" x14ac:dyDescent="0.25">
      <c r="A63" s="71">
        <v>312</v>
      </c>
      <c r="B63" s="444" t="s">
        <v>335</v>
      </c>
      <c r="C63" s="16">
        <v>2000</v>
      </c>
      <c r="D63" s="709">
        <f>2000</f>
        <v>2000</v>
      </c>
      <c r="E63" s="709">
        <f>2000-970</f>
        <v>1030</v>
      </c>
      <c r="F63" s="16">
        <f>2000-970</f>
        <v>1030</v>
      </c>
      <c r="G63" s="16">
        <f t="shared" ref="G63:K63" si="26">2000-970</f>
        <v>1030</v>
      </c>
      <c r="H63" s="16">
        <f t="shared" si="26"/>
        <v>1030</v>
      </c>
      <c r="I63" s="16">
        <f t="shared" si="26"/>
        <v>1030</v>
      </c>
      <c r="J63" s="16">
        <f t="shared" si="26"/>
        <v>1030</v>
      </c>
      <c r="K63" s="16">
        <f t="shared" si="26"/>
        <v>1030</v>
      </c>
      <c r="L63" s="16">
        <v>725</v>
      </c>
      <c r="M63" s="808">
        <f>L63/I63</f>
        <v>0.70388349514563109</v>
      </c>
      <c r="N63" s="1"/>
    </row>
    <row r="64" spans="1:15" ht="15.75" thickBot="1" x14ac:dyDescent="0.3">
      <c r="A64" s="77">
        <v>312</v>
      </c>
      <c r="B64" s="78" t="s">
        <v>548</v>
      </c>
      <c r="C64" s="789">
        <v>0</v>
      </c>
      <c r="D64" s="789">
        <v>0</v>
      </c>
      <c r="E64" s="790">
        <v>26200</v>
      </c>
      <c r="F64" s="789">
        <v>26200</v>
      </c>
      <c r="G64" s="789">
        <v>26200</v>
      </c>
      <c r="H64" s="789">
        <v>26200</v>
      </c>
      <c r="I64" s="789">
        <v>26200</v>
      </c>
      <c r="J64" s="789">
        <v>26200</v>
      </c>
      <c r="K64" s="789">
        <v>26200</v>
      </c>
      <c r="L64" s="789">
        <v>26154</v>
      </c>
      <c r="M64" s="808">
        <f>L64/I64</f>
        <v>0.99824427480916034</v>
      </c>
      <c r="N64" s="27">
        <f>SUM(I44:I64)+I68</f>
        <v>959435</v>
      </c>
      <c r="O64" s="27">
        <f>SUM(L44:L64)+L68</f>
        <v>322880</v>
      </c>
    </row>
    <row r="65" spans="1:21" x14ac:dyDescent="0.25">
      <c r="A65" s="71">
        <v>315</v>
      </c>
      <c r="B65" s="76" t="s">
        <v>58</v>
      </c>
      <c r="C65" s="16">
        <v>3000</v>
      </c>
      <c r="D65" s="16">
        <v>3000</v>
      </c>
      <c r="E65" s="16">
        <v>3000</v>
      </c>
      <c r="F65" s="16">
        <v>3000</v>
      </c>
      <c r="G65" s="16">
        <v>3000</v>
      </c>
      <c r="H65" s="16">
        <v>3000</v>
      </c>
      <c r="I65" s="16">
        <v>3000</v>
      </c>
      <c r="J65" s="16">
        <v>3000</v>
      </c>
      <c r="K65" s="16">
        <v>3000</v>
      </c>
      <c r="L65" s="16">
        <v>0</v>
      </c>
      <c r="M65" s="808">
        <f>L65/I65</f>
        <v>0</v>
      </c>
      <c r="N65" s="27"/>
      <c r="O65" s="27"/>
    </row>
    <row r="66" spans="1:21" ht="15.75" thickBot="1" x14ac:dyDescent="0.3">
      <c r="A66" s="77">
        <v>315</v>
      </c>
      <c r="B66" s="78" t="s">
        <v>294</v>
      </c>
      <c r="C66" s="79">
        <v>200</v>
      </c>
      <c r="D66" s="79">
        <v>200</v>
      </c>
      <c r="E66" s="79">
        <v>200</v>
      </c>
      <c r="F66" s="79">
        <v>200</v>
      </c>
      <c r="G66" s="787">
        <f>200+100</f>
        <v>300</v>
      </c>
      <c r="H66" s="79">
        <f>200+100</f>
        <v>300</v>
      </c>
      <c r="I66" s="79">
        <f>200+100</f>
        <v>300</v>
      </c>
      <c r="J66" s="79">
        <f t="shared" ref="J66:K66" si="27">200+100</f>
        <v>300</v>
      </c>
      <c r="K66" s="79">
        <f t="shared" si="27"/>
        <v>300</v>
      </c>
      <c r="L66" s="79">
        <v>100</v>
      </c>
      <c r="M66" s="808">
        <f>L66/I66</f>
        <v>0.33333333333333331</v>
      </c>
      <c r="N66" s="27">
        <f>SUM(I65:I66)</f>
        <v>3300</v>
      </c>
      <c r="O66" s="27">
        <f>SUM(L65:L66)</f>
        <v>100</v>
      </c>
    </row>
    <row r="67" spans="1:21" ht="15.75" x14ac:dyDescent="0.25">
      <c r="A67" s="536">
        <v>312</v>
      </c>
      <c r="B67" s="537" t="s">
        <v>246</v>
      </c>
      <c r="C67" s="541">
        <v>0</v>
      </c>
      <c r="D67" s="541">
        <v>0</v>
      </c>
      <c r="E67" s="541">
        <v>0</v>
      </c>
      <c r="F67" s="541">
        <v>0</v>
      </c>
      <c r="G67" s="541">
        <v>0</v>
      </c>
      <c r="H67" s="541">
        <v>0</v>
      </c>
      <c r="I67" s="541">
        <v>0</v>
      </c>
      <c r="J67" s="541">
        <v>0</v>
      </c>
      <c r="K67" s="541">
        <v>0</v>
      </c>
      <c r="L67" s="541">
        <v>0</v>
      </c>
      <c r="M67" s="808">
        <v>0</v>
      </c>
      <c r="N67" s="27"/>
      <c r="O67" s="27"/>
    </row>
    <row r="68" spans="1:21" ht="16.5" thickBot="1" x14ac:dyDescent="0.3">
      <c r="A68" s="86">
        <v>312</v>
      </c>
      <c r="B68" s="87" t="s">
        <v>63</v>
      </c>
      <c r="C68" s="88">
        <v>571450</v>
      </c>
      <c r="D68" s="88">
        <v>571450</v>
      </c>
      <c r="E68" s="716">
        <f>571450+57999</f>
        <v>629449</v>
      </c>
      <c r="F68" s="88">
        <f>571450+57999</f>
        <v>629449</v>
      </c>
      <c r="G68" s="88">
        <f t="shared" ref="G68:H68" si="28">571450+57999</f>
        <v>629449</v>
      </c>
      <c r="H68" s="88">
        <f t="shared" si="28"/>
        <v>629449</v>
      </c>
      <c r="I68" s="716">
        <f>571450+57999+2180</f>
        <v>631629</v>
      </c>
      <c r="J68" s="819">
        <f t="shared" ref="J68:K68" si="29">571450+57999+2180</f>
        <v>631629</v>
      </c>
      <c r="K68" s="819">
        <f t="shared" si="29"/>
        <v>631629</v>
      </c>
      <c r="L68" s="88">
        <v>214651</v>
      </c>
      <c r="M68" s="808">
        <f>L68/I68</f>
        <v>0.33983715123909763</v>
      </c>
      <c r="N68" s="27"/>
      <c r="O68" s="27"/>
    </row>
    <row r="69" spans="1:21" ht="16.5" thickBot="1" x14ac:dyDescent="0.3">
      <c r="A69" s="89" t="s">
        <v>64</v>
      </c>
      <c r="B69" s="363"/>
      <c r="C69" s="90">
        <f t="shared" ref="C69:I69" si="30">SUM(C3+C11+C32+C34+C42)</f>
        <v>2532250</v>
      </c>
      <c r="D69" s="90">
        <f t="shared" si="30"/>
        <v>2532330</v>
      </c>
      <c r="E69" s="90">
        <f t="shared" si="30"/>
        <v>2640580</v>
      </c>
      <c r="F69" s="90">
        <f t="shared" si="30"/>
        <v>2641080</v>
      </c>
      <c r="G69" s="90">
        <f t="shared" si="30"/>
        <v>2702665</v>
      </c>
      <c r="H69" s="90">
        <f t="shared" si="30"/>
        <v>2740475</v>
      </c>
      <c r="I69" s="90">
        <f t="shared" si="30"/>
        <v>2743045</v>
      </c>
      <c r="J69" s="90">
        <f t="shared" ref="J69:K69" si="31">SUM(J3+J11+J32+J34+J42)</f>
        <v>2743125</v>
      </c>
      <c r="K69" s="90">
        <f t="shared" si="31"/>
        <v>2748625</v>
      </c>
      <c r="L69" s="90">
        <f>SUM(L3+L11+L32+L34+L42)</f>
        <v>1026794</v>
      </c>
      <c r="M69" s="808">
        <f>L69/I69</f>
        <v>0.37432634171149215</v>
      </c>
      <c r="N69" s="27">
        <f>D69-C69</f>
        <v>80</v>
      </c>
      <c r="O69" s="27">
        <f>E69-D69</f>
        <v>108250</v>
      </c>
      <c r="P69" s="27">
        <f>F69-E69</f>
        <v>500</v>
      </c>
      <c r="Q69" s="27">
        <f>G69-F69</f>
        <v>61585</v>
      </c>
      <c r="R69" s="27">
        <f>H69-G69</f>
        <v>37810</v>
      </c>
      <c r="S69" s="27">
        <f>I69-H69</f>
        <v>2570</v>
      </c>
      <c r="T69" s="27">
        <f>J69-I69</f>
        <v>80</v>
      </c>
      <c r="U69" s="27">
        <f>K69-J69</f>
        <v>5500</v>
      </c>
    </row>
    <row r="70" spans="1:21" x14ac:dyDescent="0.25">
      <c r="A70" s="91" t="s">
        <v>65</v>
      </c>
      <c r="B70" s="92" t="s">
        <v>66</v>
      </c>
      <c r="C70" s="93">
        <v>2450</v>
      </c>
      <c r="D70" s="93">
        <v>2450</v>
      </c>
      <c r="E70" s="93">
        <v>2450</v>
      </c>
      <c r="F70" s="93">
        <v>2450</v>
      </c>
      <c r="G70" s="93">
        <v>2450</v>
      </c>
      <c r="H70" s="93">
        <v>2450</v>
      </c>
      <c r="I70" s="93">
        <v>2450</v>
      </c>
      <c r="J70" s="93">
        <v>2450</v>
      </c>
      <c r="K70" s="93">
        <v>2450</v>
      </c>
      <c r="L70" s="93">
        <v>41</v>
      </c>
      <c r="M70" s="808">
        <f>L70/I70</f>
        <v>1.673469387755102E-2</v>
      </c>
      <c r="N70" s="27">
        <f>D70-C70</f>
        <v>0</v>
      </c>
      <c r="O70" s="27">
        <f>E70-D70</f>
        <v>0</v>
      </c>
      <c r="P70" s="27">
        <f>F70-E70</f>
        <v>0</v>
      </c>
      <c r="Q70" s="27">
        <f>G70-F70</f>
        <v>0</v>
      </c>
      <c r="R70" s="27">
        <f>H70-G70</f>
        <v>0</v>
      </c>
      <c r="S70" s="27">
        <f>I70-H70</f>
        <v>0</v>
      </c>
      <c r="T70" s="27">
        <f>J70-I70</f>
        <v>0</v>
      </c>
      <c r="U70" s="27">
        <f>K70-J70</f>
        <v>0</v>
      </c>
    </row>
    <row r="71" spans="1:21" ht="15.75" thickBot="1" x14ac:dyDescent="0.3">
      <c r="A71" s="94" t="s">
        <v>65</v>
      </c>
      <c r="B71" s="92" t="s">
        <v>67</v>
      </c>
      <c r="C71" s="95">
        <v>2600</v>
      </c>
      <c r="D71" s="95">
        <v>2600</v>
      </c>
      <c r="E71" s="95">
        <v>2600</v>
      </c>
      <c r="F71" s="95">
        <v>2600</v>
      </c>
      <c r="G71" s="95">
        <v>2600</v>
      </c>
      <c r="H71" s="95">
        <v>2600</v>
      </c>
      <c r="I71" s="95">
        <v>2600</v>
      </c>
      <c r="J71" s="95">
        <v>2600</v>
      </c>
      <c r="K71" s="95">
        <v>2600</v>
      </c>
      <c r="L71" s="95">
        <v>450</v>
      </c>
      <c r="M71" s="808">
        <f>L71/I71</f>
        <v>0.17307692307692307</v>
      </c>
      <c r="N71" s="27">
        <f>D71-C71</f>
        <v>0</v>
      </c>
      <c r="O71" s="27">
        <f>E71-D71</f>
        <v>0</v>
      </c>
      <c r="P71" s="27">
        <f>F71-E71</f>
        <v>0</v>
      </c>
      <c r="Q71" s="27">
        <f>G71-F71</f>
        <v>0</v>
      </c>
      <c r="R71" s="27">
        <f>H71-G71</f>
        <v>0</v>
      </c>
      <c r="S71" s="27">
        <f>I71-H71</f>
        <v>0</v>
      </c>
      <c r="T71" s="27">
        <f>J71-I71</f>
        <v>0</v>
      </c>
      <c r="U71" s="27">
        <f>K71-J71</f>
        <v>0</v>
      </c>
    </row>
    <row r="72" spans="1:21" ht="15.75" thickBot="1" x14ac:dyDescent="0.3">
      <c r="A72" s="882" t="s">
        <v>69</v>
      </c>
      <c r="B72" s="883"/>
      <c r="C72" s="99">
        <f t="shared" ref="C72:L72" si="32">SUM(C70:C71)</f>
        <v>5050</v>
      </c>
      <c r="D72" s="99">
        <f t="shared" si="32"/>
        <v>5050</v>
      </c>
      <c r="E72" s="99">
        <f t="shared" si="32"/>
        <v>5050</v>
      </c>
      <c r="F72" s="99">
        <f t="shared" si="32"/>
        <v>5050</v>
      </c>
      <c r="G72" s="99">
        <f t="shared" si="32"/>
        <v>5050</v>
      </c>
      <c r="H72" s="99">
        <f t="shared" si="32"/>
        <v>5050</v>
      </c>
      <c r="I72" s="99">
        <f t="shared" si="32"/>
        <v>5050</v>
      </c>
      <c r="J72" s="99">
        <f t="shared" ref="J72:K72" si="33">SUM(J70:J71)</f>
        <v>5050</v>
      </c>
      <c r="K72" s="99">
        <f t="shared" si="33"/>
        <v>5050</v>
      </c>
      <c r="L72" s="99">
        <f t="shared" si="32"/>
        <v>491</v>
      </c>
      <c r="M72" s="808">
        <f>L72/I72</f>
        <v>9.7227722772277231E-2</v>
      </c>
      <c r="N72" s="27">
        <f>D72-C72</f>
        <v>0</v>
      </c>
      <c r="O72" s="27">
        <f>E72-D72</f>
        <v>0</v>
      </c>
      <c r="P72" s="27">
        <f>F72-E72</f>
        <v>0</v>
      </c>
      <c r="Q72" s="27">
        <f>G72-F72</f>
        <v>0</v>
      </c>
      <c r="R72" s="27">
        <f>H72-G72</f>
        <v>0</v>
      </c>
      <c r="S72" s="27">
        <f>I72-H72</f>
        <v>0</v>
      </c>
      <c r="T72" s="27">
        <f>J72-I72</f>
        <v>0</v>
      </c>
      <c r="U72" s="27">
        <f>K72-J72</f>
        <v>0</v>
      </c>
    </row>
    <row r="73" spans="1:21" ht="15.75" thickBot="1" x14ac:dyDescent="0.3">
      <c r="A73" s="100" t="s">
        <v>65</v>
      </c>
      <c r="B73" s="101" t="s">
        <v>70</v>
      </c>
      <c r="C73" s="449">
        <v>10980</v>
      </c>
      <c r="D73" s="449">
        <v>10980</v>
      </c>
      <c r="E73" s="449">
        <v>10980</v>
      </c>
      <c r="F73" s="449">
        <v>10980</v>
      </c>
      <c r="G73" s="449">
        <v>10980</v>
      </c>
      <c r="H73" s="449">
        <v>10980</v>
      </c>
      <c r="I73" s="449">
        <v>10980</v>
      </c>
      <c r="J73" s="449">
        <v>10980</v>
      </c>
      <c r="K73" s="449">
        <v>10980</v>
      </c>
      <c r="L73" s="449">
        <v>6025</v>
      </c>
      <c r="M73" s="808">
        <f>L73/I73</f>
        <v>0.54872495446265934</v>
      </c>
      <c r="N73" s="27">
        <f>D73-C73</f>
        <v>0</v>
      </c>
      <c r="O73" s="27">
        <f>E73-D73</f>
        <v>0</v>
      </c>
      <c r="P73" s="27">
        <f>F73-E73</f>
        <v>0</v>
      </c>
      <c r="Q73" s="27">
        <f>G73-F73</f>
        <v>0</v>
      </c>
      <c r="R73" s="27">
        <f>H73-G73</f>
        <v>0</v>
      </c>
      <c r="S73" s="27">
        <f>I73-H73</f>
        <v>0</v>
      </c>
      <c r="T73" s="27">
        <f>J73-I73</f>
        <v>0</v>
      </c>
      <c r="U73" s="27">
        <f>K73-J73</f>
        <v>0</v>
      </c>
    </row>
    <row r="74" spans="1:21" ht="15.75" thickBot="1" x14ac:dyDescent="0.3">
      <c r="A74" s="882" t="s">
        <v>266</v>
      </c>
      <c r="B74" s="883"/>
      <c r="C74" s="445">
        <f t="shared" ref="C74:L74" si="34">SUM(C73:C73)</f>
        <v>10980</v>
      </c>
      <c r="D74" s="445">
        <f t="shared" si="34"/>
        <v>10980</v>
      </c>
      <c r="E74" s="445">
        <f t="shared" si="34"/>
        <v>10980</v>
      </c>
      <c r="F74" s="445">
        <f t="shared" si="34"/>
        <v>10980</v>
      </c>
      <c r="G74" s="445">
        <f t="shared" si="34"/>
        <v>10980</v>
      </c>
      <c r="H74" s="445">
        <f t="shared" si="34"/>
        <v>10980</v>
      </c>
      <c r="I74" s="445">
        <f t="shared" si="34"/>
        <v>10980</v>
      </c>
      <c r="J74" s="445">
        <f t="shared" ref="J74:K74" si="35">SUM(J73:J73)</f>
        <v>10980</v>
      </c>
      <c r="K74" s="445">
        <f t="shared" si="35"/>
        <v>10980</v>
      </c>
      <c r="L74" s="445">
        <f t="shared" si="34"/>
        <v>6025</v>
      </c>
      <c r="M74" s="808">
        <f>L74/I74</f>
        <v>0.54872495446265934</v>
      </c>
      <c r="N74" s="27">
        <f>D74-C74</f>
        <v>0</v>
      </c>
      <c r="O74" s="27">
        <f>E74-D74</f>
        <v>0</v>
      </c>
      <c r="P74" s="27">
        <f>F74-E74</f>
        <v>0</v>
      </c>
      <c r="Q74" s="27">
        <f>G74-F74</f>
        <v>0</v>
      </c>
      <c r="R74" s="27">
        <f>H74-G74</f>
        <v>0</v>
      </c>
      <c r="S74" s="27">
        <f>I74-H74</f>
        <v>0</v>
      </c>
      <c r="T74" s="27">
        <f>J74-I74</f>
        <v>0</v>
      </c>
      <c r="U74" s="27">
        <f>K74-J74</f>
        <v>0</v>
      </c>
    </row>
    <row r="75" spans="1:21" ht="16.5" thickBot="1" x14ac:dyDescent="0.3">
      <c r="A75" s="884" t="s">
        <v>71</v>
      </c>
      <c r="B75" s="885"/>
      <c r="C75" s="103">
        <f t="shared" ref="C75:L75" si="36">C72+C74</f>
        <v>16030</v>
      </c>
      <c r="D75" s="103">
        <f t="shared" si="36"/>
        <v>16030</v>
      </c>
      <c r="E75" s="103">
        <f t="shared" si="36"/>
        <v>16030</v>
      </c>
      <c r="F75" s="103">
        <f t="shared" si="36"/>
        <v>16030</v>
      </c>
      <c r="G75" s="103">
        <f t="shared" si="36"/>
        <v>16030</v>
      </c>
      <c r="H75" s="103">
        <f t="shared" si="36"/>
        <v>16030</v>
      </c>
      <c r="I75" s="103">
        <f t="shared" si="36"/>
        <v>16030</v>
      </c>
      <c r="J75" s="103">
        <f t="shared" ref="J75:K75" si="37">J72+J74</f>
        <v>16030</v>
      </c>
      <c r="K75" s="103">
        <f t="shared" si="37"/>
        <v>16030</v>
      </c>
      <c r="L75" s="103">
        <f t="shared" si="36"/>
        <v>6516</v>
      </c>
      <c r="M75" s="808">
        <f>L75/I75</f>
        <v>0.40648783530879601</v>
      </c>
      <c r="N75" s="27">
        <f>D75-C75</f>
        <v>0</v>
      </c>
      <c r="O75" s="27">
        <f>E75-D75</f>
        <v>0</v>
      </c>
      <c r="P75" s="27">
        <f>F75-E75</f>
        <v>0</v>
      </c>
      <c r="Q75" s="27">
        <f>G75-F75</f>
        <v>0</v>
      </c>
      <c r="R75" s="27">
        <f>H75-G75</f>
        <v>0</v>
      </c>
      <c r="S75" s="27">
        <f>I75-H75</f>
        <v>0</v>
      </c>
      <c r="T75" s="27">
        <f>J75-I75</f>
        <v>0</v>
      </c>
      <c r="U75" s="27">
        <f>K75-J75</f>
        <v>0</v>
      </c>
    </row>
    <row r="76" spans="1:21" ht="16.5" thickBot="1" x14ac:dyDescent="0.3">
      <c r="A76" s="89" t="s">
        <v>72</v>
      </c>
      <c r="B76" s="66"/>
      <c r="C76" s="90">
        <f t="shared" ref="C76:L76" si="38">C69+C75</f>
        <v>2548280</v>
      </c>
      <c r="D76" s="90">
        <f t="shared" si="38"/>
        <v>2548360</v>
      </c>
      <c r="E76" s="90">
        <f t="shared" si="38"/>
        <v>2656610</v>
      </c>
      <c r="F76" s="90">
        <f t="shared" si="38"/>
        <v>2657110</v>
      </c>
      <c r="G76" s="90">
        <f t="shared" si="38"/>
        <v>2718695</v>
      </c>
      <c r="H76" s="90">
        <f t="shared" si="38"/>
        <v>2756505</v>
      </c>
      <c r="I76" s="90">
        <f t="shared" si="38"/>
        <v>2759075</v>
      </c>
      <c r="J76" s="90">
        <f t="shared" ref="J76:K76" si="39">J69+J75</f>
        <v>2759155</v>
      </c>
      <c r="K76" s="90">
        <f t="shared" si="39"/>
        <v>2764655</v>
      </c>
      <c r="L76" s="90">
        <f t="shared" si="38"/>
        <v>1033310</v>
      </c>
      <c r="M76" s="808">
        <f>L76/I76</f>
        <v>0.37451319735781013</v>
      </c>
      <c r="N76" s="27">
        <f>D76-C76</f>
        <v>80</v>
      </c>
      <c r="O76" s="27">
        <f>E76-D76</f>
        <v>108250</v>
      </c>
      <c r="P76" s="27">
        <f>F76-E76</f>
        <v>500</v>
      </c>
      <c r="Q76" s="27">
        <f>G76-F76</f>
        <v>61585</v>
      </c>
      <c r="R76" s="27">
        <f>H76-G76</f>
        <v>37810</v>
      </c>
      <c r="S76" s="27">
        <f>I76-H76</f>
        <v>2570</v>
      </c>
      <c r="T76" s="27">
        <f>J76-I76</f>
        <v>80</v>
      </c>
      <c r="U76" s="27">
        <f>K76-J76</f>
        <v>5500</v>
      </c>
    </row>
    <row r="77" spans="1:21" ht="38.25" customHeight="1" x14ac:dyDescent="0.25">
      <c r="A77" s="1"/>
      <c r="B77" s="1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808"/>
      <c r="N77" s="104"/>
    </row>
    <row r="78" spans="1:21" ht="33.75" customHeight="1" x14ac:dyDescent="0.25">
      <c r="A78" s="105"/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808"/>
      <c r="N78" s="107"/>
    </row>
    <row r="79" spans="1:21" ht="18.75" thickBot="1" x14ac:dyDescent="0.3">
      <c r="A79" s="886" t="s">
        <v>73</v>
      </c>
      <c r="B79" s="887"/>
      <c r="C79" s="887"/>
      <c r="D79" s="887"/>
      <c r="E79" s="887"/>
      <c r="F79" s="887"/>
      <c r="G79" s="887"/>
      <c r="H79" s="887"/>
      <c r="I79" s="887"/>
      <c r="J79" s="887"/>
      <c r="K79" s="887"/>
      <c r="L79" s="887"/>
      <c r="M79" s="808"/>
      <c r="N79" s="1"/>
    </row>
    <row r="80" spans="1:21" ht="25.5" customHeight="1" thickBot="1" x14ac:dyDescent="0.3">
      <c r="A80" s="864" t="s">
        <v>1</v>
      </c>
      <c r="B80" s="888"/>
      <c r="C80" s="413" t="s">
        <v>454</v>
      </c>
      <c r="D80" s="413" t="s">
        <v>496</v>
      </c>
      <c r="E80" s="413" t="s">
        <v>547</v>
      </c>
      <c r="F80" s="413" t="s">
        <v>497</v>
      </c>
      <c r="G80" s="413" t="s">
        <v>568</v>
      </c>
      <c r="H80" s="413" t="s">
        <v>569</v>
      </c>
      <c r="I80" s="413" t="s">
        <v>641</v>
      </c>
      <c r="J80" s="413" t="s">
        <v>657</v>
      </c>
      <c r="K80" s="413" t="s">
        <v>658</v>
      </c>
      <c r="L80" s="413" t="s">
        <v>642</v>
      </c>
      <c r="M80" s="808"/>
      <c r="N80" s="1"/>
    </row>
    <row r="81" spans="1:14" ht="15.75" thickBot="1" x14ac:dyDescent="0.3">
      <c r="A81" s="108" t="s">
        <v>74</v>
      </c>
      <c r="B81" s="109"/>
      <c r="C81" s="112">
        <f t="shared" ref="C81:L81" si="40">SUM(C82:C86)</f>
        <v>315730</v>
      </c>
      <c r="D81" s="112">
        <f t="shared" si="40"/>
        <v>315810</v>
      </c>
      <c r="E81" s="112">
        <f t="shared" si="40"/>
        <v>314840</v>
      </c>
      <c r="F81" s="112">
        <f t="shared" si="40"/>
        <v>312240</v>
      </c>
      <c r="G81" s="112">
        <f t="shared" si="40"/>
        <v>313440</v>
      </c>
      <c r="H81" s="112">
        <f t="shared" si="40"/>
        <v>314240</v>
      </c>
      <c r="I81" s="112">
        <f t="shared" si="40"/>
        <v>314240</v>
      </c>
      <c r="J81" s="112">
        <f t="shared" ref="J81:K81" si="41">SUM(J82:J86)</f>
        <v>314240</v>
      </c>
      <c r="K81" s="112">
        <f t="shared" si="41"/>
        <v>314740</v>
      </c>
      <c r="L81" s="112">
        <f t="shared" si="40"/>
        <v>92476</v>
      </c>
      <c r="M81" s="808">
        <f>L81/I81</f>
        <v>0.29428462321792259</v>
      </c>
      <c r="N81" s="1"/>
    </row>
    <row r="82" spans="1:14" x14ac:dyDescent="0.25">
      <c r="A82" s="113" t="s">
        <v>75</v>
      </c>
      <c r="B82" s="85" t="s">
        <v>76</v>
      </c>
      <c r="C82" s="56">
        <v>155900</v>
      </c>
      <c r="D82" s="56">
        <v>155900</v>
      </c>
      <c r="E82" s="56">
        <v>155900</v>
      </c>
      <c r="F82" s="749">
        <f>155900-1600</f>
        <v>154300</v>
      </c>
      <c r="G82" s="749">
        <f>155900-1600+1200</f>
        <v>155500</v>
      </c>
      <c r="H82" s="749">
        <f>155900-1600+1200+800</f>
        <v>156300</v>
      </c>
      <c r="I82" s="56">
        <f>155900-1600+1200+800</f>
        <v>156300</v>
      </c>
      <c r="J82" s="56">
        <f t="shared" ref="J82:K82" si="42">155900-1600+1200+800</f>
        <v>156300</v>
      </c>
      <c r="K82" s="56">
        <f t="shared" si="42"/>
        <v>156300</v>
      </c>
      <c r="L82" s="56">
        <v>43765</v>
      </c>
      <c r="M82" s="808">
        <f>L82/I82</f>
        <v>0.28000639795265514</v>
      </c>
      <c r="N82" s="1"/>
    </row>
    <row r="83" spans="1:14" x14ac:dyDescent="0.25">
      <c r="A83" s="117" t="s">
        <v>77</v>
      </c>
      <c r="B83" s="118" t="s">
        <v>78</v>
      </c>
      <c r="C83" s="61">
        <f>94000+5700</f>
        <v>99700</v>
      </c>
      <c r="D83" s="61">
        <f>94000+5700</f>
        <v>99700</v>
      </c>
      <c r="E83" s="61">
        <f>94000+5700</f>
        <v>99700</v>
      </c>
      <c r="F83" s="741">
        <f>94000+5700-1000-2000</f>
        <v>96700</v>
      </c>
      <c r="G83" s="61">
        <f t="shared" ref="G83:J83" si="43">94000+5700-1000-2000</f>
        <v>96700</v>
      </c>
      <c r="H83" s="61">
        <f t="shared" si="43"/>
        <v>96700</v>
      </c>
      <c r="I83" s="61">
        <f t="shared" si="43"/>
        <v>96700</v>
      </c>
      <c r="J83" s="61">
        <f t="shared" si="43"/>
        <v>96700</v>
      </c>
      <c r="K83" s="741">
        <f>94000+5700-1000-2000+500</f>
        <v>97200</v>
      </c>
      <c r="L83" s="61">
        <v>32273</v>
      </c>
      <c r="M83" s="808">
        <f>L83/I83</f>
        <v>0.33374353671147883</v>
      </c>
      <c r="N83" s="1"/>
    </row>
    <row r="84" spans="1:14" x14ac:dyDescent="0.25">
      <c r="A84" s="117" t="s">
        <v>79</v>
      </c>
      <c r="B84" s="118" t="s">
        <v>80</v>
      </c>
      <c r="C84" s="61">
        <v>2500</v>
      </c>
      <c r="D84" s="61">
        <v>2500</v>
      </c>
      <c r="E84" s="61">
        <v>2500</v>
      </c>
      <c r="F84" s="741">
        <f>2500+2000</f>
        <v>4500</v>
      </c>
      <c r="G84" s="61">
        <f t="shared" ref="G84:K84" si="44">2500+2000</f>
        <v>4500</v>
      </c>
      <c r="H84" s="61">
        <f t="shared" si="44"/>
        <v>4500</v>
      </c>
      <c r="I84" s="61">
        <f t="shared" si="44"/>
        <v>4500</v>
      </c>
      <c r="J84" s="61">
        <f t="shared" si="44"/>
        <v>4500</v>
      </c>
      <c r="K84" s="61">
        <f t="shared" si="44"/>
        <v>4500</v>
      </c>
      <c r="L84" s="61">
        <v>568</v>
      </c>
      <c r="M84" s="808">
        <f>L84/I84</f>
        <v>0.12622222222222224</v>
      </c>
      <c r="N84" s="1"/>
    </row>
    <row r="85" spans="1:14" x14ac:dyDescent="0.25">
      <c r="A85" s="121" t="s">
        <v>81</v>
      </c>
      <c r="B85" s="118" t="s">
        <v>82</v>
      </c>
      <c r="C85" s="61">
        <v>53600</v>
      </c>
      <c r="D85" s="741">
        <f>53600+80</f>
        <v>53680</v>
      </c>
      <c r="E85" s="61">
        <f>53600+80</f>
        <v>53680</v>
      </c>
      <c r="F85" s="61">
        <f>53600+80</f>
        <v>53680</v>
      </c>
      <c r="G85" s="61">
        <f t="shared" ref="G85:K85" si="45">53600+80</f>
        <v>53680</v>
      </c>
      <c r="H85" s="61">
        <f t="shared" si="45"/>
        <v>53680</v>
      </c>
      <c r="I85" s="61">
        <f t="shared" si="45"/>
        <v>53680</v>
      </c>
      <c r="J85" s="61">
        <f t="shared" si="45"/>
        <v>53680</v>
      </c>
      <c r="K85" s="61">
        <f t="shared" si="45"/>
        <v>53680</v>
      </c>
      <c r="L85" s="61">
        <v>13121</v>
      </c>
      <c r="M85" s="808">
        <f>L85/I85</f>
        <v>0.24442995529061104</v>
      </c>
      <c r="N85" s="1"/>
    </row>
    <row r="86" spans="1:14" ht="15.75" thickBot="1" x14ac:dyDescent="0.3">
      <c r="A86" s="123" t="s">
        <v>83</v>
      </c>
      <c r="B86" s="124" t="s">
        <v>498</v>
      </c>
      <c r="C86" s="128">
        <v>4030</v>
      </c>
      <c r="D86" s="128">
        <f>4030</f>
        <v>4030</v>
      </c>
      <c r="E86" s="742">
        <f>4030-970</f>
        <v>3060</v>
      </c>
      <c r="F86" s="128">
        <f>4030-970</f>
        <v>3060</v>
      </c>
      <c r="G86" s="128">
        <f t="shared" ref="G86:K86" si="46">4030-970</f>
        <v>3060</v>
      </c>
      <c r="H86" s="128">
        <f t="shared" si="46"/>
        <v>3060</v>
      </c>
      <c r="I86" s="128">
        <f t="shared" si="46"/>
        <v>3060</v>
      </c>
      <c r="J86" s="128">
        <f t="shared" si="46"/>
        <v>3060</v>
      </c>
      <c r="K86" s="128">
        <f t="shared" si="46"/>
        <v>3060</v>
      </c>
      <c r="L86" s="128">
        <v>2749</v>
      </c>
      <c r="M86" s="808">
        <f>L86/I86</f>
        <v>0.89836601307189545</v>
      </c>
      <c r="N86" s="1"/>
    </row>
    <row r="87" spans="1:14" ht="15.75" thickBot="1" x14ac:dyDescent="0.3">
      <c r="A87" s="129" t="s">
        <v>84</v>
      </c>
      <c r="B87" s="130"/>
      <c r="C87" s="112">
        <f t="shared" ref="C87:L87" si="47">SUM(C88)</f>
        <v>4900</v>
      </c>
      <c r="D87" s="112">
        <f t="shared" si="47"/>
        <v>4900</v>
      </c>
      <c r="E87" s="112">
        <f t="shared" si="47"/>
        <v>4900</v>
      </c>
      <c r="F87" s="112">
        <f t="shared" si="47"/>
        <v>4900</v>
      </c>
      <c r="G87" s="112">
        <f t="shared" si="47"/>
        <v>4900</v>
      </c>
      <c r="H87" s="112">
        <f t="shared" si="47"/>
        <v>5900</v>
      </c>
      <c r="I87" s="112">
        <f t="shared" si="47"/>
        <v>5900</v>
      </c>
      <c r="J87" s="112">
        <f t="shared" si="47"/>
        <v>5900</v>
      </c>
      <c r="K87" s="112">
        <f t="shared" si="47"/>
        <v>5900</v>
      </c>
      <c r="L87" s="112">
        <f t="shared" si="47"/>
        <v>70</v>
      </c>
      <c r="M87" s="808">
        <f>L87/I87</f>
        <v>1.1864406779661017E-2</v>
      </c>
      <c r="N87" s="1"/>
    </row>
    <row r="88" spans="1:14" ht="15.75" thickBot="1" x14ac:dyDescent="0.3">
      <c r="A88" s="131" t="s">
        <v>85</v>
      </c>
      <c r="B88" s="106" t="s">
        <v>269</v>
      </c>
      <c r="C88" s="134">
        <v>4900</v>
      </c>
      <c r="D88" s="134">
        <v>4900</v>
      </c>
      <c r="E88" s="134">
        <v>4900</v>
      </c>
      <c r="F88" s="134">
        <v>4900</v>
      </c>
      <c r="G88" s="134">
        <v>4900</v>
      </c>
      <c r="H88" s="802">
        <f>4900+1000</f>
        <v>5900</v>
      </c>
      <c r="I88" s="134">
        <f>4900+1000</f>
        <v>5900</v>
      </c>
      <c r="J88" s="134">
        <f t="shared" ref="J88:K88" si="48">4900+1000</f>
        <v>5900</v>
      </c>
      <c r="K88" s="134">
        <f t="shared" si="48"/>
        <v>5900</v>
      </c>
      <c r="L88" s="134">
        <v>70</v>
      </c>
      <c r="M88" s="808">
        <f>L88/I88</f>
        <v>1.1864406779661017E-2</v>
      </c>
      <c r="N88" s="1"/>
    </row>
    <row r="89" spans="1:14" ht="15.75" thickBot="1" x14ac:dyDescent="0.3">
      <c r="A89" s="129" t="s">
        <v>86</v>
      </c>
      <c r="B89" s="130"/>
      <c r="C89" s="112">
        <f t="shared" ref="C89:L89" si="49">SUM(C90:C91)</f>
        <v>26400</v>
      </c>
      <c r="D89" s="112">
        <f t="shared" ref="D89:I89" si="50">SUM(D90:D91)</f>
        <v>26400</v>
      </c>
      <c r="E89" s="112">
        <f t="shared" si="50"/>
        <v>26400</v>
      </c>
      <c r="F89" s="112">
        <f t="shared" si="50"/>
        <v>30100</v>
      </c>
      <c r="G89" s="112">
        <f t="shared" si="50"/>
        <v>41850</v>
      </c>
      <c r="H89" s="112">
        <f t="shared" si="50"/>
        <v>42410</v>
      </c>
      <c r="I89" s="112">
        <f t="shared" si="50"/>
        <v>42410</v>
      </c>
      <c r="J89" s="112">
        <f t="shared" ref="J89:K89" si="51">SUM(J90:J91)</f>
        <v>42410</v>
      </c>
      <c r="K89" s="112">
        <f t="shared" si="51"/>
        <v>42410</v>
      </c>
      <c r="L89" s="112">
        <f t="shared" si="49"/>
        <v>7250</v>
      </c>
      <c r="M89" s="808">
        <f>L89/I89</f>
        <v>0.17095024758311719</v>
      </c>
      <c r="N89" s="1"/>
    </row>
    <row r="90" spans="1:14" x14ac:dyDescent="0.25">
      <c r="A90" s="135" t="s">
        <v>87</v>
      </c>
      <c r="B90" s="136" t="s">
        <v>88</v>
      </c>
      <c r="C90" s="139">
        <v>24600</v>
      </c>
      <c r="D90" s="139">
        <v>24600</v>
      </c>
      <c r="E90" s="139">
        <v>24600</v>
      </c>
      <c r="F90" s="761">
        <f>24600+1700</f>
        <v>26300</v>
      </c>
      <c r="G90" s="761">
        <f>24600+1700+11750</f>
        <v>38050</v>
      </c>
      <c r="H90" s="139">
        <f>24600+1700+11750</f>
        <v>38050</v>
      </c>
      <c r="I90" s="139">
        <f>24600+1700+11750</f>
        <v>38050</v>
      </c>
      <c r="J90" s="139">
        <f t="shared" ref="J90:K90" si="52">24600+1700+11750</f>
        <v>38050</v>
      </c>
      <c r="K90" s="139">
        <f t="shared" si="52"/>
        <v>38050</v>
      </c>
      <c r="L90" s="139">
        <v>6914</v>
      </c>
      <c r="M90" s="808">
        <f>L90/I90</f>
        <v>0.18170827858081473</v>
      </c>
      <c r="N90" s="1"/>
    </row>
    <row r="91" spans="1:14" ht="15.75" thickBot="1" x14ac:dyDescent="0.3">
      <c r="A91" s="140" t="s">
        <v>89</v>
      </c>
      <c r="B91" s="141" t="s">
        <v>90</v>
      </c>
      <c r="C91" s="128">
        <v>1800</v>
      </c>
      <c r="D91" s="128">
        <v>1800</v>
      </c>
      <c r="E91" s="128">
        <v>1800</v>
      </c>
      <c r="F91" s="742">
        <f>1800+2000</f>
        <v>3800</v>
      </c>
      <c r="G91" s="128">
        <f t="shared" ref="G91" si="53">1800+2000</f>
        <v>3800</v>
      </c>
      <c r="H91" s="742">
        <f>1800+2000+560</f>
        <v>4360</v>
      </c>
      <c r="I91" s="128">
        <f>1800+2000+560</f>
        <v>4360</v>
      </c>
      <c r="J91" s="128">
        <f t="shared" ref="J91:K91" si="54">1800+2000+560</f>
        <v>4360</v>
      </c>
      <c r="K91" s="128">
        <f t="shared" si="54"/>
        <v>4360</v>
      </c>
      <c r="L91" s="128">
        <v>336</v>
      </c>
      <c r="M91" s="808">
        <f>L91/I91</f>
        <v>7.7064220183486243E-2</v>
      </c>
      <c r="N91" s="1"/>
    </row>
    <row r="92" spans="1:14" ht="15.75" thickBot="1" x14ac:dyDescent="0.3">
      <c r="A92" s="108" t="s">
        <v>91</v>
      </c>
      <c r="B92" s="144"/>
      <c r="C92" s="112">
        <f t="shared" ref="C92:L92" si="55">SUM(C93:C95)</f>
        <v>81600</v>
      </c>
      <c r="D92" s="112">
        <f t="shared" si="55"/>
        <v>81600</v>
      </c>
      <c r="E92" s="112">
        <f t="shared" si="55"/>
        <v>82200</v>
      </c>
      <c r="F92" s="112">
        <f t="shared" si="55"/>
        <v>82200</v>
      </c>
      <c r="G92" s="112">
        <f t="shared" si="55"/>
        <v>82200</v>
      </c>
      <c r="H92" s="112">
        <f t="shared" si="55"/>
        <v>83350</v>
      </c>
      <c r="I92" s="112">
        <f t="shared" si="55"/>
        <v>83350</v>
      </c>
      <c r="J92" s="112">
        <f t="shared" ref="J92:K92" si="56">SUM(J93:J95)</f>
        <v>83410</v>
      </c>
      <c r="K92" s="112">
        <f t="shared" si="56"/>
        <v>86212</v>
      </c>
      <c r="L92" s="112">
        <f t="shared" si="55"/>
        <v>26068</v>
      </c>
      <c r="M92" s="808">
        <f>L92/I92</f>
        <v>0.31275344931013799</v>
      </c>
      <c r="N92" s="1"/>
    </row>
    <row r="93" spans="1:14" x14ac:dyDescent="0.25">
      <c r="A93" s="145" t="s">
        <v>92</v>
      </c>
      <c r="B93" s="146" t="s">
        <v>93</v>
      </c>
      <c r="C93" s="55">
        <v>27600</v>
      </c>
      <c r="D93" s="55">
        <v>27600</v>
      </c>
      <c r="E93" s="55">
        <v>27600</v>
      </c>
      <c r="F93" s="55">
        <v>27600</v>
      </c>
      <c r="G93" s="55">
        <v>27600</v>
      </c>
      <c r="H93" s="55">
        <v>27600</v>
      </c>
      <c r="I93" s="55">
        <v>27600</v>
      </c>
      <c r="J93" s="55">
        <v>27600</v>
      </c>
      <c r="K93" s="743">
        <f>27600+242</f>
        <v>27842</v>
      </c>
      <c r="L93" s="55">
        <v>8193</v>
      </c>
      <c r="M93" s="808">
        <f>L93/I93</f>
        <v>0.29684782608695653</v>
      </c>
      <c r="N93" s="1"/>
    </row>
    <row r="94" spans="1:14" x14ac:dyDescent="0.25">
      <c r="A94" s="121" t="s">
        <v>94</v>
      </c>
      <c r="B94" s="118" t="s">
        <v>95</v>
      </c>
      <c r="C94" s="60">
        <v>33900</v>
      </c>
      <c r="D94" s="60">
        <v>33900</v>
      </c>
      <c r="E94" s="745">
        <f>33900+600</f>
        <v>34500</v>
      </c>
      <c r="F94" s="60">
        <f>33900+600</f>
        <v>34500</v>
      </c>
      <c r="G94" s="60">
        <f t="shared" ref="G94" si="57">33900+600</f>
        <v>34500</v>
      </c>
      <c r="H94" s="745">
        <f>33900+600+1150</f>
        <v>35650</v>
      </c>
      <c r="I94" s="60">
        <f>33900+600+1150</f>
        <v>35650</v>
      </c>
      <c r="J94" s="745">
        <f>33900+600+1150+60</f>
        <v>35710</v>
      </c>
      <c r="K94" s="745">
        <f>33900+600+1150+60+2560</f>
        <v>38270</v>
      </c>
      <c r="L94" s="60">
        <v>8254</v>
      </c>
      <c r="M94" s="808">
        <f>L94/I94</f>
        <v>0.23152875175315568</v>
      </c>
      <c r="N94" s="1"/>
    </row>
    <row r="95" spans="1:14" ht="15.75" thickBot="1" x14ac:dyDescent="0.3">
      <c r="A95" s="121" t="s">
        <v>96</v>
      </c>
      <c r="B95" s="118" t="s">
        <v>97</v>
      </c>
      <c r="C95" s="60">
        <v>20100</v>
      </c>
      <c r="D95" s="60">
        <v>20100</v>
      </c>
      <c r="E95" s="60">
        <v>20100</v>
      </c>
      <c r="F95" s="60">
        <v>20100</v>
      </c>
      <c r="G95" s="60">
        <v>20100</v>
      </c>
      <c r="H95" s="60">
        <v>20100</v>
      </c>
      <c r="I95" s="60">
        <v>20100</v>
      </c>
      <c r="J95" s="60">
        <v>20100</v>
      </c>
      <c r="K95" s="60">
        <v>20100</v>
      </c>
      <c r="L95" s="60">
        <v>9621</v>
      </c>
      <c r="M95" s="808">
        <f>L95/I95</f>
        <v>0.47865671641791047</v>
      </c>
      <c r="N95" s="1"/>
    </row>
    <row r="96" spans="1:14" ht="15.75" thickBot="1" x14ac:dyDescent="0.3">
      <c r="A96" s="889" t="s">
        <v>98</v>
      </c>
      <c r="B96" s="890"/>
      <c r="C96" s="112">
        <f t="shared" ref="C96:L96" si="58">SUM(C97:C100)</f>
        <v>152200</v>
      </c>
      <c r="D96" s="112">
        <f t="shared" si="58"/>
        <v>152200</v>
      </c>
      <c r="E96" s="112">
        <f t="shared" si="58"/>
        <v>152200</v>
      </c>
      <c r="F96" s="112">
        <f t="shared" si="58"/>
        <v>155100</v>
      </c>
      <c r="G96" s="112">
        <f t="shared" si="58"/>
        <v>168130</v>
      </c>
      <c r="H96" s="112">
        <f t="shared" si="58"/>
        <v>168130</v>
      </c>
      <c r="I96" s="112">
        <f t="shared" si="58"/>
        <v>168130</v>
      </c>
      <c r="J96" s="112">
        <f t="shared" ref="J96:K96" si="59">SUM(J97:J100)</f>
        <v>168130</v>
      </c>
      <c r="K96" s="112">
        <f t="shared" si="59"/>
        <v>168130</v>
      </c>
      <c r="L96" s="112">
        <f t="shared" si="58"/>
        <v>48818</v>
      </c>
      <c r="M96" s="808">
        <f>L96/I96</f>
        <v>0.29035865104383513</v>
      </c>
      <c r="N96" s="1"/>
    </row>
    <row r="97" spans="1:14" x14ac:dyDescent="0.25">
      <c r="A97" s="153" t="s">
        <v>99</v>
      </c>
      <c r="B97" s="154" t="s">
        <v>100</v>
      </c>
      <c r="C97" s="139">
        <v>70400</v>
      </c>
      <c r="D97" s="139">
        <v>70400</v>
      </c>
      <c r="E97" s="139">
        <v>70400</v>
      </c>
      <c r="F97" s="139">
        <v>70400</v>
      </c>
      <c r="G97" s="761">
        <f>70400+930</f>
        <v>71330</v>
      </c>
      <c r="H97" s="139">
        <f>70400+930</f>
        <v>71330</v>
      </c>
      <c r="I97" s="139">
        <f>70400+930</f>
        <v>71330</v>
      </c>
      <c r="J97" s="139">
        <f t="shared" ref="J97:K97" si="60">70400+930</f>
        <v>71330</v>
      </c>
      <c r="K97" s="139">
        <f t="shared" si="60"/>
        <v>71330</v>
      </c>
      <c r="L97" s="139">
        <v>20790</v>
      </c>
      <c r="M97" s="808">
        <f>L97/I97</f>
        <v>0.29146221786064769</v>
      </c>
      <c r="N97" s="1"/>
    </row>
    <row r="98" spans="1:14" x14ac:dyDescent="0.25">
      <c r="A98" s="121" t="s">
        <v>101</v>
      </c>
      <c r="B98" s="118" t="s">
        <v>102</v>
      </c>
      <c r="C98" s="152">
        <v>70300</v>
      </c>
      <c r="D98" s="152">
        <v>70300</v>
      </c>
      <c r="E98" s="152">
        <v>70300</v>
      </c>
      <c r="F98" s="762">
        <f>70300+2900</f>
        <v>73200</v>
      </c>
      <c r="G98" s="762">
        <f>70300+2900+12100</f>
        <v>85300</v>
      </c>
      <c r="H98" s="152">
        <f>70300+2900+12100</f>
        <v>85300</v>
      </c>
      <c r="I98" s="152">
        <f>70300+2900+12100</f>
        <v>85300</v>
      </c>
      <c r="J98" s="152">
        <f t="shared" ref="J98:K98" si="61">70300+2900+12100</f>
        <v>85300</v>
      </c>
      <c r="K98" s="152">
        <f t="shared" si="61"/>
        <v>85300</v>
      </c>
      <c r="L98" s="152">
        <v>27583</v>
      </c>
      <c r="M98" s="808">
        <f>L98/I98</f>
        <v>0.3233645955451348</v>
      </c>
      <c r="N98" s="1"/>
    </row>
    <row r="99" spans="1:14" x14ac:dyDescent="0.25">
      <c r="A99" s="131" t="s">
        <v>103</v>
      </c>
      <c r="B99" s="159" t="s">
        <v>104</v>
      </c>
      <c r="C99" s="163">
        <v>1700</v>
      </c>
      <c r="D99" s="163">
        <v>1700</v>
      </c>
      <c r="E99" s="163">
        <v>1700</v>
      </c>
      <c r="F99" s="163">
        <v>1700</v>
      </c>
      <c r="G99" s="163">
        <v>1700</v>
      </c>
      <c r="H99" s="163">
        <v>1700</v>
      </c>
      <c r="I99" s="163">
        <v>1700</v>
      </c>
      <c r="J99" s="163">
        <v>1700</v>
      </c>
      <c r="K99" s="163">
        <v>1700</v>
      </c>
      <c r="L99" s="163">
        <v>0</v>
      </c>
      <c r="M99" s="808">
        <f>L99/I99</f>
        <v>0</v>
      </c>
      <c r="N99" s="1"/>
    </row>
    <row r="100" spans="1:14" ht="15.75" thickBot="1" x14ac:dyDescent="0.3">
      <c r="A100" s="164" t="s">
        <v>105</v>
      </c>
      <c r="B100" s="165" t="s">
        <v>106</v>
      </c>
      <c r="C100" s="168">
        <v>9800</v>
      </c>
      <c r="D100" s="168">
        <v>9800</v>
      </c>
      <c r="E100" s="168">
        <v>9800</v>
      </c>
      <c r="F100" s="168">
        <v>9800</v>
      </c>
      <c r="G100" s="168">
        <v>9800</v>
      </c>
      <c r="H100" s="168">
        <v>9800</v>
      </c>
      <c r="I100" s="168">
        <v>9800</v>
      </c>
      <c r="J100" s="168">
        <v>9800</v>
      </c>
      <c r="K100" s="168">
        <v>9800</v>
      </c>
      <c r="L100" s="168">
        <v>445</v>
      </c>
      <c r="M100" s="808">
        <f>L100/I100</f>
        <v>4.5408163265306126E-2</v>
      </c>
      <c r="N100" s="1"/>
    </row>
    <row r="101" spans="1:14" ht="15.75" thickBot="1" x14ac:dyDescent="0.3">
      <c r="A101" s="108" t="s">
        <v>107</v>
      </c>
      <c r="B101" s="144"/>
      <c r="C101" s="110">
        <f t="shared" ref="C101:L101" si="62">SUM(C102:C104)</f>
        <v>259100</v>
      </c>
      <c r="D101" s="110">
        <f t="shared" ref="D101:I101" si="63">SUM(D102:D104)</f>
        <v>259100</v>
      </c>
      <c r="E101" s="110">
        <f t="shared" si="63"/>
        <v>259100</v>
      </c>
      <c r="F101" s="110">
        <f t="shared" si="63"/>
        <v>261000</v>
      </c>
      <c r="G101" s="110">
        <f t="shared" si="63"/>
        <v>280970</v>
      </c>
      <c r="H101" s="110">
        <f t="shared" si="63"/>
        <v>280970</v>
      </c>
      <c r="I101" s="110">
        <f t="shared" si="63"/>
        <v>280970</v>
      </c>
      <c r="J101" s="110">
        <f t="shared" ref="J101:K101" si="64">SUM(J102:J104)</f>
        <v>280970</v>
      </c>
      <c r="K101" s="110">
        <f t="shared" si="64"/>
        <v>281210</v>
      </c>
      <c r="L101" s="110">
        <f t="shared" si="62"/>
        <v>71621</v>
      </c>
      <c r="M101" s="808">
        <f>L101/I101</f>
        <v>0.2549062177456668</v>
      </c>
      <c r="N101" s="1"/>
    </row>
    <row r="102" spans="1:14" x14ac:dyDescent="0.25">
      <c r="A102" s="145" t="s">
        <v>108</v>
      </c>
      <c r="B102" s="85" t="s">
        <v>109</v>
      </c>
      <c r="C102" s="116">
        <v>181000</v>
      </c>
      <c r="D102" s="116">
        <v>181000</v>
      </c>
      <c r="E102" s="116">
        <v>181000</v>
      </c>
      <c r="F102" s="763">
        <f>181000-18200</f>
        <v>162800</v>
      </c>
      <c r="G102" s="763">
        <f>181000-18200+3780</f>
        <v>166580</v>
      </c>
      <c r="H102" s="116">
        <f>181000-18200+3780</f>
        <v>166580</v>
      </c>
      <c r="I102" s="116">
        <f>181000-18200+3780</f>
        <v>166580</v>
      </c>
      <c r="J102" s="116">
        <f t="shared" ref="J102:K102" si="65">181000-18200+3780</f>
        <v>166580</v>
      </c>
      <c r="K102" s="116">
        <f t="shared" si="65"/>
        <v>166580</v>
      </c>
      <c r="L102" s="116">
        <v>38651</v>
      </c>
      <c r="M102" s="808">
        <f>L102/I102</f>
        <v>0.2320266538600072</v>
      </c>
      <c r="N102" s="1"/>
    </row>
    <row r="103" spans="1:14" x14ac:dyDescent="0.25">
      <c r="A103" s="170" t="s">
        <v>110</v>
      </c>
      <c r="B103" s="118" t="s">
        <v>111</v>
      </c>
      <c r="C103" s="152">
        <v>58200</v>
      </c>
      <c r="D103" s="152">
        <v>58200</v>
      </c>
      <c r="E103" s="152">
        <v>58200</v>
      </c>
      <c r="F103" s="762">
        <f>58200+15600</f>
        <v>73800</v>
      </c>
      <c r="G103" s="762">
        <f>58200+15600+12400</f>
        <v>86200</v>
      </c>
      <c r="H103" s="152">
        <f>58200+15600+12400</f>
        <v>86200</v>
      </c>
      <c r="I103" s="152">
        <f>58200+15600+12400</f>
        <v>86200</v>
      </c>
      <c r="J103" s="152">
        <f t="shared" ref="J103:K103" si="66">58200+15600+12400</f>
        <v>86200</v>
      </c>
      <c r="K103" s="152">
        <f t="shared" si="66"/>
        <v>86200</v>
      </c>
      <c r="L103" s="152">
        <v>26828</v>
      </c>
      <c r="M103" s="808">
        <f>L103/I103</f>
        <v>0.31122969837587006</v>
      </c>
      <c r="N103" s="1"/>
    </row>
    <row r="104" spans="1:14" ht="15.75" thickBot="1" x14ac:dyDescent="0.3">
      <c r="A104" s="171" t="s">
        <v>112</v>
      </c>
      <c r="B104" s="165" t="s">
        <v>113</v>
      </c>
      <c r="C104" s="174">
        <v>19900</v>
      </c>
      <c r="D104" s="174">
        <v>19900</v>
      </c>
      <c r="E104" s="174">
        <v>19900</v>
      </c>
      <c r="F104" s="764">
        <f>19900+7500-3000</f>
        <v>24400</v>
      </c>
      <c r="G104" s="764">
        <f>19900+7500-3000+3790</f>
        <v>28190</v>
      </c>
      <c r="H104" s="174">
        <f>19900+7500-3000+3790</f>
        <v>28190</v>
      </c>
      <c r="I104" s="174">
        <f>19900+7500-3000+3790</f>
        <v>28190</v>
      </c>
      <c r="J104" s="174">
        <f t="shared" ref="J104" si="67">19900+7500-3000+3790</f>
        <v>28190</v>
      </c>
      <c r="K104" s="764">
        <f>19900+7500-3000+3790+240</f>
        <v>28430</v>
      </c>
      <c r="L104" s="174">
        <v>6142</v>
      </c>
      <c r="M104" s="808">
        <f>L104/I104</f>
        <v>0.21787868038311459</v>
      </c>
      <c r="N104" s="1"/>
    </row>
    <row r="105" spans="1:14" ht="15.75" thickBot="1" x14ac:dyDescent="0.3">
      <c r="A105" s="175" t="s">
        <v>114</v>
      </c>
      <c r="B105" s="176"/>
      <c r="C105" s="177">
        <f t="shared" ref="C105:L105" si="68">SUM(C106:C109)</f>
        <v>830</v>
      </c>
      <c r="D105" s="177">
        <f t="shared" ref="D105:I105" si="69">SUM(D106:D109)</f>
        <v>830</v>
      </c>
      <c r="E105" s="177">
        <f t="shared" si="69"/>
        <v>830</v>
      </c>
      <c r="F105" s="177">
        <f t="shared" si="69"/>
        <v>830</v>
      </c>
      <c r="G105" s="177">
        <f t="shared" si="69"/>
        <v>830</v>
      </c>
      <c r="H105" s="177">
        <f t="shared" si="69"/>
        <v>830</v>
      </c>
      <c r="I105" s="177">
        <f t="shared" si="69"/>
        <v>860</v>
      </c>
      <c r="J105" s="177">
        <f t="shared" ref="J105:K105" si="70">SUM(J106:J109)</f>
        <v>860</v>
      </c>
      <c r="K105" s="177">
        <f t="shared" si="70"/>
        <v>860</v>
      </c>
      <c r="L105" s="177">
        <f t="shared" si="68"/>
        <v>125</v>
      </c>
      <c r="M105" s="808">
        <f>L105/I105</f>
        <v>0.14534883720930233</v>
      </c>
      <c r="N105" s="1"/>
    </row>
    <row r="106" spans="1:14" x14ac:dyDescent="0.25">
      <c r="A106" s="135" t="s">
        <v>115</v>
      </c>
      <c r="B106" s="154" t="s">
        <v>116</v>
      </c>
      <c r="C106" s="181">
        <v>50</v>
      </c>
      <c r="D106" s="181">
        <v>50</v>
      </c>
      <c r="E106" s="181">
        <v>50</v>
      </c>
      <c r="F106" s="181">
        <v>50</v>
      </c>
      <c r="G106" s="181">
        <v>50</v>
      </c>
      <c r="H106" s="181">
        <v>50</v>
      </c>
      <c r="I106" s="181">
        <v>50</v>
      </c>
      <c r="J106" s="181">
        <v>50</v>
      </c>
      <c r="K106" s="181">
        <v>50</v>
      </c>
      <c r="L106" s="181">
        <v>0</v>
      </c>
      <c r="M106" s="808">
        <f>L106/I106</f>
        <v>0</v>
      </c>
      <c r="N106" s="1"/>
    </row>
    <row r="107" spans="1:14" x14ac:dyDescent="0.25">
      <c r="A107" s="170" t="s">
        <v>117</v>
      </c>
      <c r="B107" s="118" t="s">
        <v>118</v>
      </c>
      <c r="C107" s="184">
        <v>50</v>
      </c>
      <c r="D107" s="184">
        <v>50</v>
      </c>
      <c r="E107" s="184">
        <v>50</v>
      </c>
      <c r="F107" s="184">
        <v>50</v>
      </c>
      <c r="G107" s="184">
        <v>50</v>
      </c>
      <c r="H107" s="184">
        <v>50</v>
      </c>
      <c r="I107" s="184">
        <v>50</v>
      </c>
      <c r="J107" s="184">
        <v>50</v>
      </c>
      <c r="K107" s="184">
        <v>50</v>
      </c>
      <c r="L107" s="184">
        <v>0</v>
      </c>
      <c r="M107" s="808">
        <f>L107/I107</f>
        <v>0</v>
      </c>
      <c r="N107" s="1"/>
    </row>
    <row r="108" spans="1:14" x14ac:dyDescent="0.25">
      <c r="A108" s="170" t="s">
        <v>119</v>
      </c>
      <c r="B108" s="118" t="s">
        <v>120</v>
      </c>
      <c r="C108" s="60">
        <v>730</v>
      </c>
      <c r="D108" s="60">
        <v>730</v>
      </c>
      <c r="E108" s="60">
        <v>730</v>
      </c>
      <c r="F108" s="60">
        <v>730</v>
      </c>
      <c r="G108" s="60">
        <v>730</v>
      </c>
      <c r="H108" s="60">
        <v>730</v>
      </c>
      <c r="I108" s="745">
        <f>730+30</f>
        <v>760</v>
      </c>
      <c r="J108" s="60">
        <f t="shared" ref="J108:K108" si="71">730+30</f>
        <v>760</v>
      </c>
      <c r="K108" s="60">
        <f t="shared" si="71"/>
        <v>760</v>
      </c>
      <c r="L108" s="60">
        <v>125</v>
      </c>
      <c r="M108" s="808">
        <f>L108/I108</f>
        <v>0.16447368421052633</v>
      </c>
      <c r="N108" s="1"/>
    </row>
    <row r="109" spans="1:14" ht="15.75" thickBot="1" x14ac:dyDescent="0.3">
      <c r="A109" s="187" t="s">
        <v>121</v>
      </c>
      <c r="B109" s="188" t="s">
        <v>550</v>
      </c>
      <c r="C109" s="191">
        <v>0</v>
      </c>
      <c r="D109" s="191">
        <v>0</v>
      </c>
      <c r="E109" s="191">
        <v>0</v>
      </c>
      <c r="F109" s="191">
        <v>0</v>
      </c>
      <c r="G109" s="191">
        <v>0</v>
      </c>
      <c r="H109" s="191">
        <v>0</v>
      </c>
      <c r="I109" s="191">
        <v>0</v>
      </c>
      <c r="J109" s="191">
        <v>0</v>
      </c>
      <c r="K109" s="191">
        <v>0</v>
      </c>
      <c r="L109" s="191">
        <v>0</v>
      </c>
      <c r="M109" s="808">
        <v>0</v>
      </c>
      <c r="N109" s="1"/>
    </row>
    <row r="110" spans="1:14" ht="15.75" thickBot="1" x14ac:dyDescent="0.3">
      <c r="A110" s="192" t="s">
        <v>122</v>
      </c>
      <c r="B110" s="193"/>
      <c r="C110" s="194">
        <f t="shared" ref="C110:L110" si="72">SUM(C111:C115)</f>
        <v>123600</v>
      </c>
      <c r="D110" s="194">
        <f t="shared" si="72"/>
        <v>123600</v>
      </c>
      <c r="E110" s="194">
        <f t="shared" si="72"/>
        <v>123601</v>
      </c>
      <c r="F110" s="194">
        <f t="shared" si="72"/>
        <v>124901</v>
      </c>
      <c r="G110" s="194">
        <f t="shared" si="72"/>
        <v>134341</v>
      </c>
      <c r="H110" s="194">
        <f t="shared" si="72"/>
        <v>147341</v>
      </c>
      <c r="I110" s="194">
        <f t="shared" si="72"/>
        <v>147341</v>
      </c>
      <c r="J110" s="194">
        <f t="shared" ref="J110:K110" si="73">SUM(J111:J115)</f>
        <v>147341</v>
      </c>
      <c r="K110" s="194">
        <f t="shared" si="73"/>
        <v>149299</v>
      </c>
      <c r="L110" s="194">
        <f t="shared" si="72"/>
        <v>35718</v>
      </c>
      <c r="M110" s="808">
        <f>L110/I110</f>
        <v>0.24241724978111998</v>
      </c>
      <c r="N110" s="1"/>
    </row>
    <row r="111" spans="1:14" x14ac:dyDescent="0.25">
      <c r="A111" s="153" t="s">
        <v>123</v>
      </c>
      <c r="B111" s="154" t="s">
        <v>124</v>
      </c>
      <c r="C111" s="139">
        <f>48000-3000</f>
        <v>45000</v>
      </c>
      <c r="D111" s="139">
        <f>48000-3000</f>
        <v>45000</v>
      </c>
      <c r="E111" s="139">
        <f>48000-3000</f>
        <v>45000</v>
      </c>
      <c r="F111" s="761">
        <f>48000-3000+1700</f>
        <v>46700</v>
      </c>
      <c r="G111" s="761">
        <f>48000-3000+1700+8920</f>
        <v>55620</v>
      </c>
      <c r="H111" s="761">
        <f>48000-3000+1700+8920+200</f>
        <v>55820</v>
      </c>
      <c r="I111" s="139">
        <f>48000-3000+1700+8920+200</f>
        <v>55820</v>
      </c>
      <c r="J111" s="139">
        <f t="shared" ref="J111:K111" si="74">48000-3000+1700+8920+200</f>
        <v>55820</v>
      </c>
      <c r="K111" s="139">
        <f t="shared" si="74"/>
        <v>55820</v>
      </c>
      <c r="L111" s="139">
        <v>20684</v>
      </c>
      <c r="M111" s="808">
        <f>L111/I111</f>
        <v>0.37054819061268363</v>
      </c>
      <c r="N111" s="1"/>
    </row>
    <row r="112" spans="1:14" x14ac:dyDescent="0.25">
      <c r="A112" s="196" t="s">
        <v>125</v>
      </c>
      <c r="B112" s="197" t="s">
        <v>126</v>
      </c>
      <c r="C112" s="55">
        <v>47700</v>
      </c>
      <c r="D112" s="55">
        <v>47700</v>
      </c>
      <c r="E112" s="55">
        <v>47700</v>
      </c>
      <c r="F112" s="743">
        <f>47700-1000+500+1600</f>
        <v>48800</v>
      </c>
      <c r="G112" s="743">
        <f>47700-1000+500+1600+540-340</f>
        <v>49000</v>
      </c>
      <c r="H112" s="743">
        <f>47700-1000+500+1600+540-340+12000+300</f>
        <v>61300</v>
      </c>
      <c r="I112" s="55">
        <f>47700-1000+500+1600+540-340+12000+300</f>
        <v>61300</v>
      </c>
      <c r="J112" s="55">
        <f t="shared" ref="J112" si="75">47700-1000+500+1600+540-340+12000+300</f>
        <v>61300</v>
      </c>
      <c r="K112" s="743">
        <f>47700-1000+500+1600+540-340+12000+300+1858</f>
        <v>63158</v>
      </c>
      <c r="L112" s="55">
        <v>10534</v>
      </c>
      <c r="M112" s="808">
        <f>L112/I112</f>
        <v>0.17184339314845024</v>
      </c>
      <c r="N112" s="1"/>
    </row>
    <row r="113" spans="1:15" x14ac:dyDescent="0.25">
      <c r="A113" s="196" t="s">
        <v>127</v>
      </c>
      <c r="B113" s="85" t="s">
        <v>128</v>
      </c>
      <c r="C113" s="55">
        <v>5900</v>
      </c>
      <c r="D113" s="55">
        <v>5900</v>
      </c>
      <c r="E113" s="55">
        <v>5900</v>
      </c>
      <c r="F113" s="55">
        <v>5900</v>
      </c>
      <c r="G113" s="55">
        <v>5900</v>
      </c>
      <c r="H113" s="743">
        <f>5900+500</f>
        <v>6400</v>
      </c>
      <c r="I113" s="55">
        <f>5900+500</f>
        <v>6400</v>
      </c>
      <c r="J113" s="55">
        <f t="shared" ref="J113:K113" si="76">5900+500</f>
        <v>6400</v>
      </c>
      <c r="K113" s="55">
        <f t="shared" si="76"/>
        <v>6400</v>
      </c>
      <c r="L113" s="55">
        <v>1401</v>
      </c>
      <c r="M113" s="808">
        <f>L113/I113</f>
        <v>0.21890625</v>
      </c>
      <c r="N113" s="1"/>
    </row>
    <row r="114" spans="1:15" x14ac:dyDescent="0.25">
      <c r="A114" s="196" t="s">
        <v>129</v>
      </c>
      <c r="B114" s="85" t="s">
        <v>130</v>
      </c>
      <c r="C114" s="55">
        <v>20000</v>
      </c>
      <c r="D114" s="55">
        <f>20000</f>
        <v>20000</v>
      </c>
      <c r="E114" s="743">
        <f>20000+1</f>
        <v>20001</v>
      </c>
      <c r="F114" s="743">
        <f>20000+1-1500</f>
        <v>18501</v>
      </c>
      <c r="G114" s="743">
        <f>20000+1-1500+320</f>
        <v>18821</v>
      </c>
      <c r="H114" s="55">
        <f>20000+1-1500+320</f>
        <v>18821</v>
      </c>
      <c r="I114" s="55">
        <f>20000+1-1500+320</f>
        <v>18821</v>
      </c>
      <c r="J114" s="55">
        <f t="shared" ref="J114:K114" si="77">20000+1-1500+320</f>
        <v>18821</v>
      </c>
      <c r="K114" s="55">
        <f t="shared" si="77"/>
        <v>18821</v>
      </c>
      <c r="L114" s="55">
        <v>3099</v>
      </c>
      <c r="M114" s="808">
        <f>L114/I114</f>
        <v>0.16465650071728388</v>
      </c>
      <c r="N114" s="1"/>
    </row>
    <row r="115" spans="1:15" ht="15.75" thickBot="1" x14ac:dyDescent="0.3">
      <c r="A115" s="164" t="s">
        <v>131</v>
      </c>
      <c r="B115" s="165" t="s">
        <v>132</v>
      </c>
      <c r="C115" s="186">
        <v>5000</v>
      </c>
      <c r="D115" s="186">
        <v>5000</v>
      </c>
      <c r="E115" s="186">
        <v>5000</v>
      </c>
      <c r="F115" s="186">
        <v>5000</v>
      </c>
      <c r="G115" s="186">
        <v>5000</v>
      </c>
      <c r="H115" s="186">
        <v>5000</v>
      </c>
      <c r="I115" s="186">
        <v>5000</v>
      </c>
      <c r="J115" s="186">
        <v>5000</v>
      </c>
      <c r="K115" s="829">
        <f>5000+100</f>
        <v>5100</v>
      </c>
      <c r="L115" s="186">
        <v>0</v>
      </c>
      <c r="M115" s="808">
        <f>L115/I115</f>
        <v>0</v>
      </c>
      <c r="N115" s="1"/>
    </row>
    <row r="116" spans="1:15" ht="15.75" thickBot="1" x14ac:dyDescent="0.3">
      <c r="A116" s="129" t="s">
        <v>133</v>
      </c>
      <c r="B116" s="130"/>
      <c r="C116" s="110">
        <f>SUM(C117:C123)</f>
        <v>421600</v>
      </c>
      <c r="D116" s="110">
        <f>SUM(D117:D123)</f>
        <v>421600</v>
      </c>
      <c r="E116" s="110">
        <f>SUM(E117:E123)</f>
        <v>429490</v>
      </c>
      <c r="F116" s="110">
        <f>SUM(F117:F123)</f>
        <v>422590</v>
      </c>
      <c r="G116" s="110">
        <f t="shared" ref="G116:I116" si="78">SUM(G117:G123)</f>
        <v>428225</v>
      </c>
      <c r="H116" s="110">
        <f t="shared" si="78"/>
        <v>433525</v>
      </c>
      <c r="I116" s="110">
        <f t="shared" si="78"/>
        <v>433525</v>
      </c>
      <c r="J116" s="110">
        <f t="shared" ref="J116:K116" si="79">SUM(J117:J123)</f>
        <v>433525</v>
      </c>
      <c r="K116" s="110">
        <f t="shared" si="79"/>
        <v>433525</v>
      </c>
      <c r="L116" s="110">
        <f>SUM(L117:L123)</f>
        <v>117146</v>
      </c>
      <c r="M116" s="808">
        <f>L116/I116</f>
        <v>0.27021740384060894</v>
      </c>
      <c r="N116" s="1"/>
    </row>
    <row r="117" spans="1:15" x14ac:dyDescent="0.25">
      <c r="A117" s="200" t="s">
        <v>134</v>
      </c>
      <c r="B117" s="201" t="s">
        <v>135</v>
      </c>
      <c r="C117" s="205">
        <v>188100</v>
      </c>
      <c r="D117" s="205">
        <f>188100</f>
        <v>188100</v>
      </c>
      <c r="E117" s="744">
        <f>188100+7200</f>
        <v>195300</v>
      </c>
      <c r="F117" s="744">
        <f>188100+7200-6900</f>
        <v>188400</v>
      </c>
      <c r="G117" s="744">
        <f>188100+7200-6900+1055</f>
        <v>189455</v>
      </c>
      <c r="H117" s="205">
        <f>188100+7200-6900+1055</f>
        <v>189455</v>
      </c>
      <c r="I117" s="205">
        <f>188100+7200-6900+1055</f>
        <v>189455</v>
      </c>
      <c r="J117" s="205">
        <f t="shared" ref="J117:K117" si="80">188100+7200-6900+1055</f>
        <v>189455</v>
      </c>
      <c r="K117" s="205">
        <f t="shared" si="80"/>
        <v>189455</v>
      </c>
      <c r="L117" s="205">
        <v>54911</v>
      </c>
      <c r="M117" s="808">
        <f>L117/I117</f>
        <v>0.28983663666833814</v>
      </c>
      <c r="N117" s="1"/>
    </row>
    <row r="118" spans="1:15" x14ac:dyDescent="0.25">
      <c r="A118" s="209" t="s">
        <v>140</v>
      </c>
      <c r="B118" s="210" t="s">
        <v>141</v>
      </c>
      <c r="C118" s="61">
        <v>3600</v>
      </c>
      <c r="D118" s="61">
        <v>3600</v>
      </c>
      <c r="E118" s="61">
        <v>3600</v>
      </c>
      <c r="F118" s="61">
        <v>3600</v>
      </c>
      <c r="G118" s="61">
        <v>3600</v>
      </c>
      <c r="H118" s="61">
        <v>3600</v>
      </c>
      <c r="I118" s="61">
        <v>3600</v>
      </c>
      <c r="J118" s="61">
        <v>3600</v>
      </c>
      <c r="K118" s="61">
        <v>3600</v>
      </c>
      <c r="L118" s="61">
        <v>1070</v>
      </c>
      <c r="M118" s="808">
        <f>L118/I118</f>
        <v>0.29722222222222222</v>
      </c>
      <c r="N118" s="1"/>
    </row>
    <row r="119" spans="1:15" x14ac:dyDescent="0.25">
      <c r="A119" s="209" t="s">
        <v>142</v>
      </c>
      <c r="B119" s="210" t="s">
        <v>143</v>
      </c>
      <c r="C119" s="61">
        <v>29400</v>
      </c>
      <c r="D119" s="61">
        <v>29400</v>
      </c>
      <c r="E119" s="61">
        <v>29400</v>
      </c>
      <c r="F119" s="61">
        <v>29400</v>
      </c>
      <c r="G119" s="61">
        <v>29400</v>
      </c>
      <c r="H119" s="61">
        <f>29400+2650</f>
        <v>32050</v>
      </c>
      <c r="I119" s="61">
        <f>29400+2650</f>
        <v>32050</v>
      </c>
      <c r="J119" s="61">
        <f t="shared" ref="J119:K119" si="81">29400+2650</f>
        <v>32050</v>
      </c>
      <c r="K119" s="61">
        <f t="shared" si="81"/>
        <v>32050</v>
      </c>
      <c r="L119" s="61">
        <v>7910</v>
      </c>
      <c r="M119" s="808">
        <f>L119/I119</f>
        <v>0.24680187207488299</v>
      </c>
      <c r="N119" s="1"/>
    </row>
    <row r="120" spans="1:15" x14ac:dyDescent="0.25">
      <c r="A120" s="209" t="s">
        <v>144</v>
      </c>
      <c r="B120" s="210" t="s">
        <v>145</v>
      </c>
      <c r="C120" s="60">
        <v>32800</v>
      </c>
      <c r="D120" s="60">
        <v>32800</v>
      </c>
      <c r="E120" s="60">
        <v>32800</v>
      </c>
      <c r="F120" s="60">
        <v>32800</v>
      </c>
      <c r="G120" s="60">
        <v>32800</v>
      </c>
      <c r="H120" s="60">
        <f>32800+2650</f>
        <v>35450</v>
      </c>
      <c r="I120" s="60">
        <f>32800+2650</f>
        <v>35450</v>
      </c>
      <c r="J120" s="60">
        <f t="shared" ref="J120:K120" si="82">32800+2650</f>
        <v>35450</v>
      </c>
      <c r="K120" s="60">
        <f t="shared" si="82"/>
        <v>35450</v>
      </c>
      <c r="L120" s="60">
        <v>7926</v>
      </c>
      <c r="M120" s="808">
        <f>L120/I120</f>
        <v>0.22358251057827927</v>
      </c>
      <c r="N120" s="1"/>
    </row>
    <row r="121" spans="1:15" x14ac:dyDescent="0.25">
      <c r="A121" s="209" t="s">
        <v>146</v>
      </c>
      <c r="B121" s="210" t="s">
        <v>230</v>
      </c>
      <c r="C121" s="60">
        <f>147700</f>
        <v>147700</v>
      </c>
      <c r="D121" s="60">
        <f>147700</f>
        <v>147700</v>
      </c>
      <c r="E121" s="745">
        <f>147700+690</f>
        <v>148390</v>
      </c>
      <c r="F121" s="60">
        <f>147700+690</f>
        <v>148390</v>
      </c>
      <c r="G121" s="745">
        <f>147700+690+4080</f>
        <v>152470</v>
      </c>
      <c r="H121" s="60">
        <f>147700+690+4080</f>
        <v>152470</v>
      </c>
      <c r="I121" s="60">
        <f>147700+690+4080</f>
        <v>152470</v>
      </c>
      <c r="J121" s="60">
        <f t="shared" ref="J121:K121" si="83">147700+690+4080</f>
        <v>152470</v>
      </c>
      <c r="K121" s="60">
        <f t="shared" si="83"/>
        <v>152470</v>
      </c>
      <c r="L121" s="60">
        <v>41577</v>
      </c>
      <c r="M121" s="808">
        <f>L121/I121</f>
        <v>0.27268970945103954</v>
      </c>
      <c r="N121" s="27">
        <f>SUM(C119:C121)</f>
        <v>209900</v>
      </c>
      <c r="O121" s="27"/>
    </row>
    <row r="122" spans="1:15" x14ac:dyDescent="0.25">
      <c r="A122" s="211" t="s">
        <v>147</v>
      </c>
      <c r="B122" s="210" t="s">
        <v>231</v>
      </c>
      <c r="C122" s="215">
        <v>13000</v>
      </c>
      <c r="D122" s="215">
        <v>13000</v>
      </c>
      <c r="E122" s="215">
        <v>13000</v>
      </c>
      <c r="F122" s="215">
        <v>13000</v>
      </c>
      <c r="G122" s="791">
        <f>13000+500</f>
        <v>13500</v>
      </c>
      <c r="H122" s="215">
        <f>13000+500</f>
        <v>13500</v>
      </c>
      <c r="I122" s="215">
        <f>13000+500</f>
        <v>13500</v>
      </c>
      <c r="J122" s="215">
        <f t="shared" ref="J122:K122" si="84">13000+500</f>
        <v>13500</v>
      </c>
      <c r="K122" s="215">
        <f t="shared" si="84"/>
        <v>13500</v>
      </c>
      <c r="L122" s="215">
        <v>3652</v>
      </c>
      <c r="M122" s="808">
        <f>L122/I122</f>
        <v>0.27051851851851849</v>
      </c>
      <c r="N122" s="1"/>
    </row>
    <row r="123" spans="1:15" ht="15.75" thickBot="1" x14ac:dyDescent="0.3">
      <c r="A123" s="209" t="s">
        <v>148</v>
      </c>
      <c r="B123" s="210" t="s">
        <v>253</v>
      </c>
      <c r="C123" s="215">
        <v>7000</v>
      </c>
      <c r="D123" s="215">
        <v>7000</v>
      </c>
      <c r="E123" s="215">
        <v>7000</v>
      </c>
      <c r="F123" s="215">
        <v>7000</v>
      </c>
      <c r="G123" s="215">
        <v>7000</v>
      </c>
      <c r="H123" s="215">
        <v>7000</v>
      </c>
      <c r="I123" s="215">
        <v>7000</v>
      </c>
      <c r="J123" s="215">
        <v>7000</v>
      </c>
      <c r="K123" s="215">
        <v>7000</v>
      </c>
      <c r="L123" s="215">
        <v>100</v>
      </c>
      <c r="M123" s="808">
        <f>L123/I123</f>
        <v>1.4285714285714285E-2</v>
      </c>
      <c r="N123" s="1"/>
    </row>
    <row r="124" spans="1:15" ht="15.75" thickBot="1" x14ac:dyDescent="0.3">
      <c r="A124" s="108" t="s">
        <v>149</v>
      </c>
      <c r="B124" s="109"/>
      <c r="C124" s="112">
        <f t="shared" ref="C124:L124" si="85">SUM(C125:C129)</f>
        <v>380400</v>
      </c>
      <c r="D124" s="112">
        <f t="shared" si="85"/>
        <v>380400</v>
      </c>
      <c r="E124" s="112">
        <f t="shared" si="85"/>
        <v>406100</v>
      </c>
      <c r="F124" s="112">
        <f t="shared" si="85"/>
        <v>406300</v>
      </c>
      <c r="G124" s="112">
        <f t="shared" si="85"/>
        <v>406860</v>
      </c>
      <c r="H124" s="112">
        <f t="shared" si="85"/>
        <v>422860</v>
      </c>
      <c r="I124" s="112">
        <f t="shared" si="85"/>
        <v>423220</v>
      </c>
      <c r="J124" s="112">
        <f t="shared" ref="J124:K124" si="86">SUM(J125:J129)</f>
        <v>423240</v>
      </c>
      <c r="K124" s="112">
        <f t="shared" si="86"/>
        <v>423240</v>
      </c>
      <c r="L124" s="112">
        <f t="shared" si="85"/>
        <v>111609</v>
      </c>
      <c r="M124" s="808">
        <f>L124/I124</f>
        <v>0.26371390766031849</v>
      </c>
      <c r="N124" s="1"/>
    </row>
    <row r="125" spans="1:15" x14ac:dyDescent="0.25">
      <c r="A125" s="196" t="s">
        <v>150</v>
      </c>
      <c r="B125" s="85" t="s">
        <v>499</v>
      </c>
      <c r="C125" s="55">
        <v>322000</v>
      </c>
      <c r="D125" s="55">
        <v>322000</v>
      </c>
      <c r="E125" s="743">
        <f>322000+26200-670</f>
        <v>347530</v>
      </c>
      <c r="F125" s="743">
        <f>322000+26200-670+1800-1600</f>
        <v>347730</v>
      </c>
      <c r="G125" s="743">
        <f>322000+26200-670+1800-1600+400+160</f>
        <v>348290</v>
      </c>
      <c r="H125" s="55">
        <f>322000+26200-670+1800-1600+400+160</f>
        <v>348290</v>
      </c>
      <c r="I125" s="55">
        <f>322000+26200-670+1800-1600+400+160</f>
        <v>348290</v>
      </c>
      <c r="J125" s="55">
        <f t="shared" ref="J125:K125" si="87">322000+26200-670+1800-1600+400+160</f>
        <v>348290</v>
      </c>
      <c r="K125" s="55">
        <f t="shared" si="87"/>
        <v>348290</v>
      </c>
      <c r="L125" s="55">
        <v>96735</v>
      </c>
      <c r="M125" s="808">
        <f>L125/I125</f>
        <v>0.27774268569295701</v>
      </c>
      <c r="N125" s="1"/>
      <c r="O125" s="404"/>
    </row>
    <row r="126" spans="1:15" x14ac:dyDescent="0.25">
      <c r="A126" s="196" t="s">
        <v>151</v>
      </c>
      <c r="B126" s="85" t="s">
        <v>152</v>
      </c>
      <c r="C126" s="55">
        <v>500</v>
      </c>
      <c r="D126" s="55">
        <v>500</v>
      </c>
      <c r="E126" s="743">
        <f>500+170</f>
        <v>670</v>
      </c>
      <c r="F126" s="55">
        <f>500+170</f>
        <v>670</v>
      </c>
      <c r="G126" s="55">
        <f t="shared" ref="G126" si="88">500+170</f>
        <v>670</v>
      </c>
      <c r="H126" s="55">
        <f>500+170</f>
        <v>670</v>
      </c>
      <c r="I126" s="743">
        <f>500+170+360</f>
        <v>1030</v>
      </c>
      <c r="J126" s="743">
        <f>500+170+360+20</f>
        <v>1050</v>
      </c>
      <c r="K126" s="55">
        <f>500+170+360+20</f>
        <v>1050</v>
      </c>
      <c r="L126" s="55">
        <v>249</v>
      </c>
      <c r="M126" s="808">
        <f>L126/I126</f>
        <v>0.24174757281553397</v>
      </c>
      <c r="N126" s="1"/>
      <c r="O126" s="404"/>
    </row>
    <row r="127" spans="1:15" x14ac:dyDescent="0.25">
      <c r="A127" s="121" t="s">
        <v>153</v>
      </c>
      <c r="B127" s="118" t="s">
        <v>154</v>
      </c>
      <c r="C127" s="60">
        <v>56900</v>
      </c>
      <c r="D127" s="60">
        <v>56900</v>
      </c>
      <c r="E127" s="60">
        <v>56900</v>
      </c>
      <c r="F127" s="60">
        <v>56900</v>
      </c>
      <c r="G127" s="60">
        <v>56900</v>
      </c>
      <c r="H127" s="745">
        <f>56900+16000</f>
        <v>72900</v>
      </c>
      <c r="I127" s="60">
        <f>56900+16000</f>
        <v>72900</v>
      </c>
      <c r="J127" s="60">
        <f t="shared" ref="J127:K127" si="89">56900+16000</f>
        <v>72900</v>
      </c>
      <c r="K127" s="60">
        <f t="shared" si="89"/>
        <v>72900</v>
      </c>
      <c r="L127" s="60">
        <v>14625</v>
      </c>
      <c r="M127" s="808">
        <f>L127/I127</f>
        <v>0.20061728395061729</v>
      </c>
      <c r="N127" s="1"/>
    </row>
    <row r="128" spans="1:15" x14ac:dyDescent="0.25">
      <c r="A128" s="121" t="s">
        <v>155</v>
      </c>
      <c r="B128" s="118" t="s">
        <v>156</v>
      </c>
      <c r="C128" s="60">
        <v>500</v>
      </c>
      <c r="D128" s="60">
        <v>500</v>
      </c>
      <c r="E128" s="60">
        <v>500</v>
      </c>
      <c r="F128" s="60">
        <v>500</v>
      </c>
      <c r="G128" s="60">
        <v>500</v>
      </c>
      <c r="H128" s="60">
        <v>500</v>
      </c>
      <c r="I128" s="60">
        <v>500</v>
      </c>
      <c r="J128" s="60">
        <v>500</v>
      </c>
      <c r="K128" s="60">
        <v>500</v>
      </c>
      <c r="L128" s="60">
        <v>0</v>
      </c>
      <c r="M128" s="808">
        <f>L128/I128</f>
        <v>0</v>
      </c>
      <c r="N128" s="1"/>
    </row>
    <row r="129" spans="1:21" ht="15.75" thickBot="1" x14ac:dyDescent="0.3">
      <c r="A129" s="164" t="s">
        <v>157</v>
      </c>
      <c r="B129" s="165" t="s">
        <v>158</v>
      </c>
      <c r="C129" s="186">
        <v>500</v>
      </c>
      <c r="D129" s="186">
        <v>500</v>
      </c>
      <c r="E129" s="186">
        <v>500</v>
      </c>
      <c r="F129" s="186">
        <v>500</v>
      </c>
      <c r="G129" s="186">
        <v>500</v>
      </c>
      <c r="H129" s="186">
        <v>500</v>
      </c>
      <c r="I129" s="186">
        <v>500</v>
      </c>
      <c r="J129" s="186">
        <v>500</v>
      </c>
      <c r="K129" s="186">
        <v>500</v>
      </c>
      <c r="L129" s="186">
        <v>0</v>
      </c>
      <c r="M129" s="808">
        <f>L129/I129</f>
        <v>0</v>
      </c>
      <c r="N129" s="1"/>
    </row>
    <row r="130" spans="1:21" ht="16.5" thickBot="1" x14ac:dyDescent="0.3">
      <c r="A130" s="216" t="s">
        <v>159</v>
      </c>
      <c r="B130" s="176"/>
      <c r="C130" s="219">
        <f>SUM(C81+C87+C89+C92+C96+C101+C105+C110+C116+C124)</f>
        <v>1766360</v>
      </c>
      <c r="D130" s="219">
        <f>SUM(D81+D87+D89+D92+D96+D101+D105+D110+D116+D124)</f>
        <v>1766440</v>
      </c>
      <c r="E130" s="219">
        <f>SUM(E81+E87+E89+E92+E96+E101+E105+E110+E116+E124)</f>
        <v>1799661</v>
      </c>
      <c r="F130" s="219">
        <f>SUM(F81+F87+F89+F92+F96+F101+F105+F110+F116+F124)</f>
        <v>1800161</v>
      </c>
      <c r="G130" s="219">
        <f t="shared" ref="G130:I130" si="90">SUM(G81+G87+G89+G92+G96+G101+G105+G110+G116+G124)</f>
        <v>1861746</v>
      </c>
      <c r="H130" s="219">
        <f t="shared" si="90"/>
        <v>1899556</v>
      </c>
      <c r="I130" s="219">
        <f t="shared" si="90"/>
        <v>1899946</v>
      </c>
      <c r="J130" s="219">
        <f t="shared" ref="J130:K130" si="91">SUM(J81+J87+J89+J92+J96+J101+J105+J110+J116+J124)</f>
        <v>1900026</v>
      </c>
      <c r="K130" s="219">
        <f t="shared" si="91"/>
        <v>1905526</v>
      </c>
      <c r="L130" s="219">
        <f>SUM(L81+L87+L89+L92+L96+L101+L105+L110+L116+L124)</f>
        <v>510901</v>
      </c>
      <c r="M130" s="808">
        <f>L130/I130</f>
        <v>0.2689029056615293</v>
      </c>
      <c r="N130" s="27">
        <f>D130-C130</f>
        <v>80</v>
      </c>
      <c r="O130" s="27">
        <f>E130-D130</f>
        <v>33221</v>
      </c>
      <c r="P130" s="27">
        <f>F130-E130</f>
        <v>500</v>
      </c>
      <c r="Q130" s="27">
        <f>G130-F130</f>
        <v>61585</v>
      </c>
      <c r="R130" s="27">
        <f>H130-G130</f>
        <v>37810</v>
      </c>
      <c r="S130" s="27">
        <f>I130-H130</f>
        <v>390</v>
      </c>
      <c r="T130" s="27">
        <f>J130-I130</f>
        <v>80</v>
      </c>
      <c r="U130" s="27">
        <f>K130-J130</f>
        <v>5500</v>
      </c>
    </row>
    <row r="131" spans="1:21" x14ac:dyDescent="0.25">
      <c r="A131" s="220" t="s">
        <v>160</v>
      </c>
      <c r="B131" s="221" t="s">
        <v>161</v>
      </c>
      <c r="C131" s="224">
        <f t="shared" ref="C131:L131" si="92">C68</f>
        <v>571450</v>
      </c>
      <c r="D131" s="224">
        <f t="shared" si="92"/>
        <v>571450</v>
      </c>
      <c r="E131" s="224">
        <f t="shared" si="92"/>
        <v>629449</v>
      </c>
      <c r="F131" s="224">
        <f t="shared" si="92"/>
        <v>629449</v>
      </c>
      <c r="G131" s="224">
        <f t="shared" si="92"/>
        <v>629449</v>
      </c>
      <c r="H131" s="224">
        <f t="shared" si="92"/>
        <v>629449</v>
      </c>
      <c r="I131" s="224">
        <f t="shared" si="92"/>
        <v>631629</v>
      </c>
      <c r="J131" s="224">
        <f t="shared" ref="J131:K131" si="93">J68</f>
        <v>631629</v>
      </c>
      <c r="K131" s="224">
        <f t="shared" si="93"/>
        <v>631629</v>
      </c>
      <c r="L131" s="224">
        <f t="shared" si="92"/>
        <v>214651</v>
      </c>
      <c r="M131" s="808">
        <f>L131/I131</f>
        <v>0.33983715123909763</v>
      </c>
      <c r="N131" s="27">
        <f>D131-C131</f>
        <v>0</v>
      </c>
      <c r="O131" s="27">
        <f>E131-D131</f>
        <v>57999</v>
      </c>
      <c r="P131" s="27">
        <f>F131-E131</f>
        <v>0</v>
      </c>
      <c r="Q131" s="27">
        <f>G131-F131</f>
        <v>0</v>
      </c>
      <c r="R131" s="27">
        <f>H131-G131</f>
        <v>0</v>
      </c>
      <c r="S131" s="27">
        <f>I131-H131</f>
        <v>2180</v>
      </c>
      <c r="T131" s="27">
        <f>J131-I131</f>
        <v>0</v>
      </c>
      <c r="U131" s="27">
        <f>K131-J131</f>
        <v>0</v>
      </c>
    </row>
    <row r="132" spans="1:21" x14ac:dyDescent="0.25">
      <c r="A132" s="225" t="s">
        <v>160</v>
      </c>
      <c r="B132" s="226" t="s">
        <v>162</v>
      </c>
      <c r="C132" s="229">
        <f t="shared" ref="C132:L132" si="94">C70</f>
        <v>2450</v>
      </c>
      <c r="D132" s="229">
        <f t="shared" si="94"/>
        <v>2450</v>
      </c>
      <c r="E132" s="229">
        <f t="shared" si="94"/>
        <v>2450</v>
      </c>
      <c r="F132" s="229">
        <f t="shared" si="94"/>
        <v>2450</v>
      </c>
      <c r="G132" s="229">
        <f t="shared" si="94"/>
        <v>2450</v>
      </c>
      <c r="H132" s="229">
        <f t="shared" si="94"/>
        <v>2450</v>
      </c>
      <c r="I132" s="229">
        <f t="shared" si="94"/>
        <v>2450</v>
      </c>
      <c r="J132" s="229">
        <f t="shared" ref="J132:K132" si="95">J70</f>
        <v>2450</v>
      </c>
      <c r="K132" s="229">
        <f t="shared" si="95"/>
        <v>2450</v>
      </c>
      <c r="L132" s="229">
        <f t="shared" si="94"/>
        <v>41</v>
      </c>
      <c r="M132" s="808">
        <f>L132/I132</f>
        <v>1.673469387755102E-2</v>
      </c>
      <c r="N132" s="27">
        <f>D132-C132</f>
        <v>0</v>
      </c>
      <c r="O132" s="27">
        <f>E132-D132</f>
        <v>0</v>
      </c>
      <c r="P132" s="27">
        <f>F132-E132</f>
        <v>0</v>
      </c>
      <c r="Q132" s="27">
        <f>G132-F132</f>
        <v>0</v>
      </c>
      <c r="R132" s="27">
        <f>H132-G132</f>
        <v>0</v>
      </c>
      <c r="S132" s="27">
        <f>I132-H132</f>
        <v>0</v>
      </c>
      <c r="T132" s="27">
        <f>J132-I132</f>
        <v>0</v>
      </c>
      <c r="U132" s="27">
        <f>K132-J132</f>
        <v>0</v>
      </c>
    </row>
    <row r="133" spans="1:21" x14ac:dyDescent="0.25">
      <c r="A133" s="235" t="s">
        <v>140</v>
      </c>
      <c r="B133" s="236" t="s">
        <v>165</v>
      </c>
      <c r="C133" s="239">
        <v>35400</v>
      </c>
      <c r="D133" s="239">
        <v>35400</v>
      </c>
      <c r="E133" s="239">
        <v>35400</v>
      </c>
      <c r="F133" s="239">
        <v>35400</v>
      </c>
      <c r="G133" s="239">
        <v>35400</v>
      </c>
      <c r="H133" s="239">
        <v>35400</v>
      </c>
      <c r="I133" s="239">
        <v>35400</v>
      </c>
      <c r="J133" s="239">
        <v>35400</v>
      </c>
      <c r="K133" s="239">
        <v>35400</v>
      </c>
      <c r="L133" s="239">
        <v>12100</v>
      </c>
      <c r="M133" s="808">
        <f>L133/I133</f>
        <v>0.34180790960451979</v>
      </c>
      <c r="N133" s="27">
        <f>D133-C133</f>
        <v>0</v>
      </c>
      <c r="O133" s="27">
        <f>E133-D133</f>
        <v>0</v>
      </c>
      <c r="P133" s="27">
        <f>F133-E133</f>
        <v>0</v>
      </c>
      <c r="Q133" s="27">
        <f>G133-F133</f>
        <v>0</v>
      </c>
      <c r="R133" s="27">
        <f>H133-G133</f>
        <v>0</v>
      </c>
      <c r="S133" s="27">
        <f>I133-H133</f>
        <v>0</v>
      </c>
      <c r="T133" s="27">
        <f>J133-I133</f>
        <v>0</v>
      </c>
      <c r="U133" s="27">
        <f>K133-J133</f>
        <v>0</v>
      </c>
    </row>
    <row r="134" spans="1:21" ht="15.75" thickBot="1" x14ac:dyDescent="0.3">
      <c r="A134" s="225" t="s">
        <v>140</v>
      </c>
      <c r="B134" s="226" t="s">
        <v>166</v>
      </c>
      <c r="C134" s="229">
        <f t="shared" ref="C134:L134" si="96">C71</f>
        <v>2600</v>
      </c>
      <c r="D134" s="229">
        <f t="shared" si="96"/>
        <v>2600</v>
      </c>
      <c r="E134" s="229">
        <f t="shared" si="96"/>
        <v>2600</v>
      </c>
      <c r="F134" s="229">
        <f t="shared" si="96"/>
        <v>2600</v>
      </c>
      <c r="G134" s="229">
        <f t="shared" si="96"/>
        <v>2600</v>
      </c>
      <c r="H134" s="229">
        <f t="shared" si="96"/>
        <v>2600</v>
      </c>
      <c r="I134" s="229">
        <f t="shared" si="96"/>
        <v>2600</v>
      </c>
      <c r="J134" s="229">
        <f t="shared" ref="J134:K134" si="97">J71</f>
        <v>2600</v>
      </c>
      <c r="K134" s="229">
        <f t="shared" si="97"/>
        <v>2600</v>
      </c>
      <c r="L134" s="229">
        <f t="shared" si="96"/>
        <v>450</v>
      </c>
      <c r="M134" s="808">
        <f>L134/I134</f>
        <v>0.17307692307692307</v>
      </c>
      <c r="N134" s="27">
        <f>D134-C134</f>
        <v>0</v>
      </c>
      <c r="O134" s="27">
        <f>E134-D134</f>
        <v>0</v>
      </c>
      <c r="P134" s="27">
        <f>F134-E134</f>
        <v>0</v>
      </c>
      <c r="Q134" s="27">
        <f>G134-F134</f>
        <v>0</v>
      </c>
      <c r="R134" s="27">
        <f>H134-G134</f>
        <v>0</v>
      </c>
      <c r="S134" s="27">
        <f>I134-H134</f>
        <v>0</v>
      </c>
      <c r="T134" s="27">
        <f>J134-I134</f>
        <v>0</v>
      </c>
      <c r="U134" s="27">
        <f>K134-J134</f>
        <v>0</v>
      </c>
    </row>
    <row r="135" spans="1:21" ht="15.75" thickBot="1" x14ac:dyDescent="0.3">
      <c r="A135" s="891" t="s">
        <v>167</v>
      </c>
      <c r="B135" s="892"/>
      <c r="C135" s="242">
        <f t="shared" ref="C135:L135" si="98">SUM(C131:C134)</f>
        <v>611900</v>
      </c>
      <c r="D135" s="242">
        <f t="shared" si="98"/>
        <v>611900</v>
      </c>
      <c r="E135" s="242">
        <f t="shared" si="98"/>
        <v>669899</v>
      </c>
      <c r="F135" s="242">
        <f t="shared" si="98"/>
        <v>669899</v>
      </c>
      <c r="G135" s="242">
        <f t="shared" si="98"/>
        <v>669899</v>
      </c>
      <c r="H135" s="242">
        <f t="shared" si="98"/>
        <v>669899</v>
      </c>
      <c r="I135" s="242">
        <f t="shared" si="98"/>
        <v>672079</v>
      </c>
      <c r="J135" s="242">
        <f t="shared" ref="J135:K135" si="99">SUM(J131:J134)</f>
        <v>672079</v>
      </c>
      <c r="K135" s="242">
        <f t="shared" si="99"/>
        <v>672079</v>
      </c>
      <c r="L135" s="242">
        <f t="shared" si="98"/>
        <v>227242</v>
      </c>
      <c r="M135" s="808">
        <f>L135/I135</f>
        <v>0.33811798910544744</v>
      </c>
      <c r="N135" s="27">
        <f>D135-C135</f>
        <v>0</v>
      </c>
      <c r="O135" s="27">
        <f>E135-D135</f>
        <v>57999</v>
      </c>
      <c r="P135" s="27">
        <f>F135-E135</f>
        <v>0</v>
      </c>
      <c r="Q135" s="27">
        <f>G135-F135</f>
        <v>0</v>
      </c>
      <c r="R135" s="27">
        <f>H135-G135</f>
        <v>0</v>
      </c>
      <c r="S135" s="27">
        <f>I135-H135</f>
        <v>2180</v>
      </c>
      <c r="T135" s="27">
        <f>J135-I135</f>
        <v>0</v>
      </c>
      <c r="U135" s="27">
        <f>K135-J135</f>
        <v>0</v>
      </c>
    </row>
    <row r="136" spans="1:21" x14ac:dyDescent="0.25">
      <c r="A136" s="243" t="s">
        <v>140</v>
      </c>
      <c r="B136" s="244" t="s">
        <v>168</v>
      </c>
      <c r="C136" s="247">
        <f>278720+13000</f>
        <v>291720</v>
      </c>
      <c r="D136" s="247">
        <f>278720+13000</f>
        <v>291720</v>
      </c>
      <c r="E136" s="247">
        <f>278720+13000</f>
        <v>291720</v>
      </c>
      <c r="F136" s="247">
        <f>278720+13000</f>
        <v>291720</v>
      </c>
      <c r="G136" s="247">
        <f t="shared" ref="G136:K136" si="100">278720+13000</f>
        <v>291720</v>
      </c>
      <c r="H136" s="247">
        <f t="shared" si="100"/>
        <v>291720</v>
      </c>
      <c r="I136" s="247">
        <f t="shared" si="100"/>
        <v>291720</v>
      </c>
      <c r="J136" s="247">
        <f t="shared" si="100"/>
        <v>291720</v>
      </c>
      <c r="K136" s="247">
        <f t="shared" si="100"/>
        <v>291720</v>
      </c>
      <c r="L136" s="247">
        <v>72930</v>
      </c>
      <c r="M136" s="808">
        <f>L136/I136</f>
        <v>0.25</v>
      </c>
      <c r="N136" s="27">
        <f>D136-C136</f>
        <v>0</v>
      </c>
      <c r="O136" s="27">
        <f>E136-D136</f>
        <v>0</v>
      </c>
      <c r="P136" s="27">
        <f>F136-E136</f>
        <v>0</v>
      </c>
      <c r="Q136" s="27">
        <f>G136-F136</f>
        <v>0</v>
      </c>
      <c r="R136" s="27">
        <f>H136-G136</f>
        <v>0</v>
      </c>
      <c r="S136" s="27">
        <f>I136-H136</f>
        <v>0</v>
      </c>
      <c r="T136" s="27">
        <f>J136-I136</f>
        <v>0</v>
      </c>
      <c r="U136" s="27">
        <f>K136-J136</f>
        <v>0</v>
      </c>
    </row>
    <row r="137" spans="1:21" x14ac:dyDescent="0.25">
      <c r="A137" s="248" t="s">
        <v>140</v>
      </c>
      <c r="B137" s="249" t="s">
        <v>551</v>
      </c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93">
        <v>0</v>
      </c>
      <c r="K137" s="93">
        <v>0</v>
      </c>
      <c r="L137" s="93">
        <v>0</v>
      </c>
      <c r="M137" s="808">
        <v>0</v>
      </c>
      <c r="N137" s="27">
        <f>D137-C137</f>
        <v>0</v>
      </c>
      <c r="O137" s="27">
        <f>E137-D137</f>
        <v>0</v>
      </c>
      <c r="P137" s="27">
        <f>F137-E137</f>
        <v>0</v>
      </c>
      <c r="Q137" s="27">
        <f>G137-F137</f>
        <v>0</v>
      </c>
      <c r="R137" s="27">
        <f>H137-G137</f>
        <v>0</v>
      </c>
      <c r="S137" s="27">
        <f>I137-H137</f>
        <v>0</v>
      </c>
      <c r="T137" s="27">
        <f>J137-I137</f>
        <v>0</v>
      </c>
      <c r="U137" s="27">
        <f>K137-J137</f>
        <v>0</v>
      </c>
    </row>
    <row r="138" spans="1:21" ht="15.75" thickBot="1" x14ac:dyDescent="0.3">
      <c r="A138" s="248" t="s">
        <v>140</v>
      </c>
      <c r="B138" s="249" t="s">
        <v>169</v>
      </c>
      <c r="C138" s="93">
        <f t="shared" ref="C138:L138" si="101">C73</f>
        <v>10980</v>
      </c>
      <c r="D138" s="93">
        <f t="shared" si="101"/>
        <v>10980</v>
      </c>
      <c r="E138" s="93">
        <f t="shared" si="101"/>
        <v>10980</v>
      </c>
      <c r="F138" s="93">
        <f t="shared" si="101"/>
        <v>10980</v>
      </c>
      <c r="G138" s="93">
        <f t="shared" si="101"/>
        <v>10980</v>
      </c>
      <c r="H138" s="93">
        <f t="shared" si="101"/>
        <v>10980</v>
      </c>
      <c r="I138" s="93">
        <f t="shared" si="101"/>
        <v>10980</v>
      </c>
      <c r="J138" s="93">
        <f t="shared" ref="J138:K138" si="102">J73</f>
        <v>10980</v>
      </c>
      <c r="K138" s="93">
        <f t="shared" si="102"/>
        <v>10980</v>
      </c>
      <c r="L138" s="93">
        <f t="shared" si="101"/>
        <v>6025</v>
      </c>
      <c r="M138" s="808">
        <f>L138/I138</f>
        <v>0.54872495446265934</v>
      </c>
      <c r="N138" s="27">
        <f>D138-C138</f>
        <v>0</v>
      </c>
      <c r="O138" s="27">
        <f>E138-D138</f>
        <v>0</v>
      </c>
      <c r="P138" s="27">
        <f>F138-E138</f>
        <v>0</v>
      </c>
      <c r="Q138" s="27">
        <f>G138-F138</f>
        <v>0</v>
      </c>
      <c r="R138" s="27">
        <f>H138-G138</f>
        <v>0</v>
      </c>
      <c r="S138" s="27">
        <f>I138-H138</f>
        <v>0</v>
      </c>
      <c r="T138" s="27">
        <f>J138-I138</f>
        <v>0</v>
      </c>
      <c r="U138" s="27">
        <f>K138-J138</f>
        <v>0</v>
      </c>
    </row>
    <row r="139" spans="1:21" ht="15.75" thickBot="1" x14ac:dyDescent="0.3">
      <c r="A139" s="874" t="s">
        <v>170</v>
      </c>
      <c r="B139" s="875"/>
      <c r="C139" s="254">
        <f t="shared" ref="C139:L139" si="103">SUM(C136:C138)</f>
        <v>302700</v>
      </c>
      <c r="D139" s="254">
        <f t="shared" si="103"/>
        <v>302700</v>
      </c>
      <c r="E139" s="254">
        <f t="shared" si="103"/>
        <v>302700</v>
      </c>
      <c r="F139" s="254">
        <f t="shared" si="103"/>
        <v>302700</v>
      </c>
      <c r="G139" s="254">
        <f t="shared" si="103"/>
        <v>302700</v>
      </c>
      <c r="H139" s="254">
        <f t="shared" si="103"/>
        <v>302700</v>
      </c>
      <c r="I139" s="254">
        <f t="shared" si="103"/>
        <v>302700</v>
      </c>
      <c r="J139" s="254">
        <f t="shared" ref="J139:K139" si="104">SUM(J136:J138)</f>
        <v>302700</v>
      </c>
      <c r="K139" s="254">
        <f t="shared" si="104"/>
        <v>302700</v>
      </c>
      <c r="L139" s="254">
        <f t="shared" si="103"/>
        <v>78955</v>
      </c>
      <c r="M139" s="808">
        <f>L139/I139</f>
        <v>0.26083581103402709</v>
      </c>
      <c r="N139" s="27">
        <f>D139-C139</f>
        <v>0</v>
      </c>
      <c r="O139" s="27">
        <f>E139-D139</f>
        <v>0</v>
      </c>
      <c r="P139" s="27">
        <f>F139-E139</f>
        <v>0</v>
      </c>
      <c r="Q139" s="27">
        <f>G139-F139</f>
        <v>0</v>
      </c>
      <c r="R139" s="27">
        <f>H139-G139</f>
        <v>0</v>
      </c>
      <c r="S139" s="27">
        <f>I139-H139</f>
        <v>0</v>
      </c>
      <c r="T139" s="27">
        <f>J139-I139</f>
        <v>0</v>
      </c>
      <c r="U139" s="27">
        <f>K139-J139</f>
        <v>0</v>
      </c>
    </row>
    <row r="140" spans="1:21" ht="15.75" thickBot="1" x14ac:dyDescent="0.3">
      <c r="A140" s="860" t="s">
        <v>171</v>
      </c>
      <c r="B140" s="861"/>
      <c r="C140" s="257">
        <f t="shared" ref="C140:L140" si="105">C135+C139</f>
        <v>914600</v>
      </c>
      <c r="D140" s="257">
        <f t="shared" si="105"/>
        <v>914600</v>
      </c>
      <c r="E140" s="257">
        <f t="shared" si="105"/>
        <v>972599</v>
      </c>
      <c r="F140" s="257">
        <f t="shared" si="105"/>
        <v>972599</v>
      </c>
      <c r="G140" s="257">
        <f t="shared" si="105"/>
        <v>972599</v>
      </c>
      <c r="H140" s="257">
        <f t="shared" si="105"/>
        <v>972599</v>
      </c>
      <c r="I140" s="257">
        <f t="shared" si="105"/>
        <v>974779</v>
      </c>
      <c r="J140" s="257">
        <f t="shared" ref="J140:K140" si="106">J135+J139</f>
        <v>974779</v>
      </c>
      <c r="K140" s="257">
        <f t="shared" si="106"/>
        <v>974779</v>
      </c>
      <c r="L140" s="257">
        <f t="shared" si="105"/>
        <v>306197</v>
      </c>
      <c r="M140" s="808">
        <f>L140/I140</f>
        <v>0.31411940552679118</v>
      </c>
      <c r="N140" s="27">
        <f>D140-C140</f>
        <v>0</v>
      </c>
      <c r="O140" s="27">
        <f>E140-D140</f>
        <v>57999</v>
      </c>
      <c r="P140" s="27">
        <f>F140-E140</f>
        <v>0</v>
      </c>
      <c r="Q140" s="27">
        <f>G140-F140</f>
        <v>0</v>
      </c>
      <c r="R140" s="27">
        <f>H140-G140</f>
        <v>0</v>
      </c>
      <c r="S140" s="27">
        <f>I140-H140</f>
        <v>2180</v>
      </c>
      <c r="T140" s="27">
        <f>J140-I140</f>
        <v>0</v>
      </c>
      <c r="U140" s="27">
        <f>K140-J140</f>
        <v>0</v>
      </c>
    </row>
    <row r="141" spans="1:21" ht="16.5" thickBot="1" x14ac:dyDescent="0.3">
      <c r="A141" s="258" t="s">
        <v>172</v>
      </c>
      <c r="B141" s="144"/>
      <c r="C141" s="261">
        <f t="shared" ref="C141:L141" si="107">C130+C140</f>
        <v>2680960</v>
      </c>
      <c r="D141" s="261">
        <f t="shared" si="107"/>
        <v>2681040</v>
      </c>
      <c r="E141" s="261">
        <f t="shared" si="107"/>
        <v>2772260</v>
      </c>
      <c r="F141" s="261">
        <f t="shared" si="107"/>
        <v>2772760</v>
      </c>
      <c r="G141" s="261">
        <f t="shared" si="107"/>
        <v>2834345</v>
      </c>
      <c r="H141" s="261">
        <f t="shared" si="107"/>
        <v>2872155</v>
      </c>
      <c r="I141" s="261">
        <f t="shared" si="107"/>
        <v>2874725</v>
      </c>
      <c r="J141" s="261">
        <f t="shared" ref="J141:K141" si="108">J130+J140</f>
        <v>2874805</v>
      </c>
      <c r="K141" s="261">
        <f t="shared" si="108"/>
        <v>2880305</v>
      </c>
      <c r="L141" s="261">
        <f t="shared" si="107"/>
        <v>817098</v>
      </c>
      <c r="M141" s="808">
        <f>L141/I141</f>
        <v>0.2842351877136074</v>
      </c>
      <c r="N141" s="27">
        <f>D141-C141</f>
        <v>80</v>
      </c>
      <c r="O141" s="27">
        <f>E141-D141</f>
        <v>91220</v>
      </c>
      <c r="P141" s="27">
        <f>F141-E141</f>
        <v>500</v>
      </c>
      <c r="Q141" s="27">
        <f>G141-F141</f>
        <v>61585</v>
      </c>
      <c r="R141" s="27">
        <f>H141-G141</f>
        <v>37810</v>
      </c>
      <c r="S141" s="27">
        <f>I141-H141</f>
        <v>2570</v>
      </c>
      <c r="T141" s="27">
        <f>J141-I141</f>
        <v>80</v>
      </c>
      <c r="U141" s="27">
        <f>K141-J141</f>
        <v>5500</v>
      </c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808"/>
      <c r="N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808"/>
      <c r="N143" s="1"/>
    </row>
    <row r="144" spans="1:21" ht="18.75" thickBot="1" x14ac:dyDescent="0.3">
      <c r="A144" s="862" t="s">
        <v>173</v>
      </c>
      <c r="B144" s="863"/>
      <c r="C144" s="863"/>
      <c r="D144" s="863"/>
      <c r="E144" s="863"/>
      <c r="F144" s="863"/>
      <c r="G144" s="863"/>
      <c r="H144" s="863"/>
      <c r="I144" s="863"/>
      <c r="J144" s="863"/>
      <c r="K144" s="863"/>
      <c r="L144" s="863"/>
      <c r="M144" s="808"/>
      <c r="N144" s="1"/>
    </row>
    <row r="145" spans="1:21" ht="27" customHeight="1" thickBot="1" x14ac:dyDescent="0.3">
      <c r="A145" s="864" t="s">
        <v>1</v>
      </c>
      <c r="B145" s="865"/>
      <c r="C145" s="413" t="s">
        <v>454</v>
      </c>
      <c r="D145" s="413" t="s">
        <v>496</v>
      </c>
      <c r="E145" s="413" t="s">
        <v>547</v>
      </c>
      <c r="F145" s="413" t="s">
        <v>497</v>
      </c>
      <c r="G145" s="413" t="s">
        <v>568</v>
      </c>
      <c r="H145" s="413" t="s">
        <v>569</v>
      </c>
      <c r="I145" s="413" t="s">
        <v>641</v>
      </c>
      <c r="J145" s="413" t="s">
        <v>657</v>
      </c>
      <c r="K145" s="413" t="s">
        <v>658</v>
      </c>
      <c r="L145" s="413" t="s">
        <v>642</v>
      </c>
      <c r="M145" s="808"/>
      <c r="N145" s="1"/>
    </row>
    <row r="146" spans="1:21" ht="16.5" thickBot="1" x14ac:dyDescent="0.3">
      <c r="A146" s="866" t="s">
        <v>174</v>
      </c>
      <c r="B146" s="867"/>
      <c r="C146" s="262">
        <f>SUM(C147:C153)</f>
        <v>869220</v>
      </c>
      <c r="D146" s="262">
        <f t="shared" ref="D146:L146" si="109">SUM(D147:D153)</f>
        <v>869220</v>
      </c>
      <c r="E146" s="262">
        <f t="shared" si="109"/>
        <v>869220</v>
      </c>
      <c r="F146" s="262">
        <f t="shared" si="109"/>
        <v>1047220</v>
      </c>
      <c r="G146" s="262">
        <f t="shared" si="109"/>
        <v>1047220</v>
      </c>
      <c r="H146" s="262">
        <f t="shared" si="109"/>
        <v>1047220</v>
      </c>
      <c r="I146" s="262">
        <f t="shared" si="109"/>
        <v>1047220</v>
      </c>
      <c r="J146" s="262">
        <f t="shared" ref="J146:K146" si="110">SUM(J147:J153)</f>
        <v>1047220</v>
      </c>
      <c r="K146" s="262">
        <f t="shared" si="110"/>
        <v>1047220</v>
      </c>
      <c r="L146" s="262">
        <f t="shared" si="109"/>
        <v>0</v>
      </c>
      <c r="M146" s="808">
        <f>L146/I146</f>
        <v>0</v>
      </c>
      <c r="N146" s="27">
        <f>D146-C146</f>
        <v>0</v>
      </c>
      <c r="O146" s="27">
        <f>E146-D146</f>
        <v>0</v>
      </c>
      <c r="P146" s="27">
        <f>F146-E146</f>
        <v>178000</v>
      </c>
      <c r="Q146" s="27">
        <f>G146-F146</f>
        <v>0</v>
      </c>
      <c r="R146" s="27">
        <f>H146-G146</f>
        <v>0</v>
      </c>
      <c r="S146" s="27">
        <f>I146-H146</f>
        <v>0</v>
      </c>
      <c r="T146" s="27">
        <f>J146-I146</f>
        <v>0</v>
      </c>
      <c r="U146" s="27">
        <f>K146-J146</f>
        <v>0</v>
      </c>
    </row>
    <row r="147" spans="1:21" x14ac:dyDescent="0.25">
      <c r="A147" s="711">
        <v>231</v>
      </c>
      <c r="B147" s="526" t="s">
        <v>306</v>
      </c>
      <c r="C147" s="712">
        <v>0</v>
      </c>
      <c r="D147" s="712">
        <v>0</v>
      </c>
      <c r="E147" s="712">
        <v>0</v>
      </c>
      <c r="F147" s="712">
        <v>0</v>
      </c>
      <c r="G147" s="712">
        <v>0</v>
      </c>
      <c r="H147" s="712">
        <v>0</v>
      </c>
      <c r="I147" s="712">
        <v>0</v>
      </c>
      <c r="J147" s="712">
        <v>0</v>
      </c>
      <c r="K147" s="712">
        <v>0</v>
      </c>
      <c r="L147" s="712">
        <v>0</v>
      </c>
      <c r="M147" s="808">
        <v>0</v>
      </c>
      <c r="N147" s="1"/>
      <c r="O147" s="1"/>
      <c r="P147" s="1"/>
      <c r="Q147" s="1"/>
      <c r="R147" s="1"/>
      <c r="S147" s="1"/>
      <c r="T147" s="1"/>
      <c r="U147" s="1"/>
    </row>
    <row r="148" spans="1:21" ht="15.75" thickBot="1" x14ac:dyDescent="0.3">
      <c r="A148" s="3">
        <v>233</v>
      </c>
      <c r="B148" s="328" t="s">
        <v>175</v>
      </c>
      <c r="C148" s="710">
        <v>5000</v>
      </c>
      <c r="D148" s="710">
        <v>5000</v>
      </c>
      <c r="E148" s="710">
        <v>5000</v>
      </c>
      <c r="F148" s="710">
        <v>5000</v>
      </c>
      <c r="G148" s="710">
        <v>5000</v>
      </c>
      <c r="H148" s="710">
        <v>5000</v>
      </c>
      <c r="I148" s="710">
        <v>5000</v>
      </c>
      <c r="J148" s="710">
        <v>5000</v>
      </c>
      <c r="K148" s="710">
        <f>5000</f>
        <v>5000</v>
      </c>
      <c r="L148" s="710">
        <v>0</v>
      </c>
      <c r="M148" s="808">
        <f>L148/I148</f>
        <v>0</v>
      </c>
      <c r="N148" s="27">
        <f>SUM(C147:C148)</f>
        <v>5000</v>
      </c>
      <c r="O148" s="27">
        <f>SUM(D147:D148)</f>
        <v>5000</v>
      </c>
      <c r="P148" s="27">
        <f>SUM(E147:E148)</f>
        <v>5000</v>
      </c>
      <c r="Q148" s="27">
        <f>SUM(F147:F148)</f>
        <v>5000</v>
      </c>
      <c r="R148" s="27">
        <f>SUM(G147:G148)</f>
        <v>5000</v>
      </c>
      <c r="S148" s="27">
        <f>SUM(H147:H148)</f>
        <v>5000</v>
      </c>
      <c r="T148" s="27">
        <f>SUM(I147:I148)</f>
        <v>5000</v>
      </c>
      <c r="U148" s="27">
        <f>SUM(J147:J148)</f>
        <v>5000</v>
      </c>
    </row>
    <row r="149" spans="1:21" x14ac:dyDescent="0.25">
      <c r="A149" s="271">
        <v>322</v>
      </c>
      <c r="B149" s="76" t="s">
        <v>237</v>
      </c>
      <c r="C149" s="273">
        <v>355220</v>
      </c>
      <c r="D149" s="273">
        <v>355220</v>
      </c>
      <c r="E149" s="273">
        <v>355220</v>
      </c>
      <c r="F149" s="273">
        <v>355220</v>
      </c>
      <c r="G149" s="273">
        <v>355220</v>
      </c>
      <c r="H149" s="273">
        <v>355220</v>
      </c>
      <c r="I149" s="273">
        <v>355220</v>
      </c>
      <c r="J149" s="273">
        <v>355220</v>
      </c>
      <c r="K149" s="273">
        <v>355220</v>
      </c>
      <c r="L149" s="267">
        <v>0</v>
      </c>
      <c r="M149" s="808">
        <f>L149/I149</f>
        <v>0</v>
      </c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271">
        <v>322</v>
      </c>
      <c r="B150" s="274" t="s">
        <v>243</v>
      </c>
      <c r="C150" s="270">
        <v>19000</v>
      </c>
      <c r="D150" s="270">
        <v>19000</v>
      </c>
      <c r="E150" s="270">
        <v>19000</v>
      </c>
      <c r="F150" s="270">
        <v>19000</v>
      </c>
      <c r="G150" s="270">
        <v>19000</v>
      </c>
      <c r="H150" s="270">
        <v>19000</v>
      </c>
      <c r="I150" s="270">
        <v>19000</v>
      </c>
      <c r="J150" s="270">
        <v>19000</v>
      </c>
      <c r="K150" s="270">
        <v>19000</v>
      </c>
      <c r="L150" s="267">
        <v>0</v>
      </c>
      <c r="M150" s="808">
        <f>L150/I150</f>
        <v>0</v>
      </c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271">
        <v>322</v>
      </c>
      <c r="B151" s="85" t="s">
        <v>303</v>
      </c>
      <c r="C151" s="273">
        <v>190000</v>
      </c>
      <c r="D151" s="273">
        <v>190000</v>
      </c>
      <c r="E151" s="273">
        <v>190000</v>
      </c>
      <c r="F151" s="273">
        <v>190000</v>
      </c>
      <c r="G151" s="273">
        <v>190000</v>
      </c>
      <c r="H151" s="273">
        <v>190000</v>
      </c>
      <c r="I151" s="273">
        <v>190000</v>
      </c>
      <c r="J151" s="273">
        <v>190000</v>
      </c>
      <c r="K151" s="273">
        <v>190000</v>
      </c>
      <c r="L151" s="267">
        <v>0</v>
      </c>
      <c r="M151" s="808">
        <f>L151/I151</f>
        <v>0</v>
      </c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268">
        <v>322</v>
      </c>
      <c r="B152" s="72" t="s">
        <v>179</v>
      </c>
      <c r="C152" s="270">
        <v>300000</v>
      </c>
      <c r="D152" s="270">
        <v>300000</v>
      </c>
      <c r="E152" s="270">
        <v>300000</v>
      </c>
      <c r="F152" s="270">
        <v>300000</v>
      </c>
      <c r="G152" s="270">
        <v>300000</v>
      </c>
      <c r="H152" s="270">
        <v>300000</v>
      </c>
      <c r="I152" s="270">
        <v>300000</v>
      </c>
      <c r="J152" s="270">
        <v>300000</v>
      </c>
      <c r="K152" s="270">
        <v>300000</v>
      </c>
      <c r="L152" s="270">
        <v>0</v>
      </c>
      <c r="M152" s="808">
        <f>L152/I152</f>
        <v>0</v>
      </c>
    </row>
    <row r="153" spans="1:21" ht="15.75" thickBot="1" x14ac:dyDescent="0.3">
      <c r="A153" s="765">
        <v>322</v>
      </c>
      <c r="B153" s="766" t="s">
        <v>539</v>
      </c>
      <c r="C153" s="409">
        <v>0</v>
      </c>
      <c r="D153" s="409">
        <v>0</v>
      </c>
      <c r="E153" s="409">
        <v>0</v>
      </c>
      <c r="F153" s="767">
        <v>178000</v>
      </c>
      <c r="G153" s="409">
        <v>178000</v>
      </c>
      <c r="H153" s="409">
        <v>178000</v>
      </c>
      <c r="I153" s="409">
        <v>178000</v>
      </c>
      <c r="J153" s="409">
        <v>178000</v>
      </c>
      <c r="K153" s="409">
        <v>178000</v>
      </c>
      <c r="L153" s="409">
        <v>0</v>
      </c>
      <c r="M153" s="808">
        <f>L153/I153</f>
        <v>0</v>
      </c>
      <c r="N153" s="27">
        <f>SUM(C149:C153)</f>
        <v>864220</v>
      </c>
      <c r="O153" s="27">
        <f>SUM(D149:D153)</f>
        <v>864220</v>
      </c>
      <c r="P153" s="27">
        <f>SUM(E149:E153)</f>
        <v>864220</v>
      </c>
      <c r="Q153" s="27">
        <f>SUM(F149:F153)</f>
        <v>1042220</v>
      </c>
      <c r="R153" s="27">
        <f>SUM(G149:G153)</f>
        <v>1042220</v>
      </c>
      <c r="S153" s="27">
        <f>SUM(H149:H153)</f>
        <v>1042220</v>
      </c>
      <c r="T153" s="27">
        <f>SUM(I149:I153)</f>
        <v>1042220</v>
      </c>
      <c r="U153" s="27">
        <f>SUM(J149:J153)</f>
        <v>1042220</v>
      </c>
    </row>
    <row r="154" spans="1:21" ht="16.5" thickBot="1" x14ac:dyDescent="0.3">
      <c r="A154" s="866" t="s">
        <v>180</v>
      </c>
      <c r="B154" s="867"/>
      <c r="C154" s="262">
        <f>SUM(C155:C168)</f>
        <v>1445946</v>
      </c>
      <c r="D154" s="262">
        <f>SUM(D155:D168)</f>
        <v>1445946</v>
      </c>
      <c r="E154" s="262">
        <f>SUM(E155:E168)</f>
        <v>1445946</v>
      </c>
      <c r="F154" s="262">
        <f>SUM(F155:F168)</f>
        <v>1623946</v>
      </c>
      <c r="G154" s="262">
        <f t="shared" ref="G154:I154" si="111">SUM(G155:G168)</f>
        <v>1623946</v>
      </c>
      <c r="H154" s="262">
        <f t="shared" si="111"/>
        <v>1623946</v>
      </c>
      <c r="I154" s="262">
        <f t="shared" si="111"/>
        <v>1623946</v>
      </c>
      <c r="J154" s="262">
        <f t="shared" ref="J154:K154" si="112">SUM(J155:J168)</f>
        <v>1623946</v>
      </c>
      <c r="K154" s="262">
        <f t="shared" si="112"/>
        <v>1623946</v>
      </c>
      <c r="L154" s="262">
        <f>SUM(L155:L168)</f>
        <v>8937</v>
      </c>
      <c r="M154" s="808">
        <f>L154/I154</f>
        <v>5.5032618079665207E-3</v>
      </c>
      <c r="N154" s="27">
        <f>D154-C154</f>
        <v>0</v>
      </c>
      <c r="O154" s="27">
        <f>E154-D154</f>
        <v>0</v>
      </c>
      <c r="P154" s="27">
        <f>F154-E154</f>
        <v>178000</v>
      </c>
      <c r="Q154" s="27">
        <f>G154-F154</f>
        <v>0</v>
      </c>
      <c r="R154" s="27">
        <f>H154-G154</f>
        <v>0</v>
      </c>
      <c r="S154" s="27">
        <f>I154-H154</f>
        <v>0</v>
      </c>
      <c r="T154" s="27">
        <f>J154-I154</f>
        <v>0</v>
      </c>
      <c r="U154" s="27">
        <f>K154-J154</f>
        <v>0</v>
      </c>
    </row>
    <row r="155" spans="1:21" x14ac:dyDescent="0.25">
      <c r="A155" s="286" t="s">
        <v>94</v>
      </c>
      <c r="B155" s="275" t="s">
        <v>184</v>
      </c>
      <c r="C155" s="287">
        <v>1500</v>
      </c>
      <c r="D155" s="287">
        <v>1500</v>
      </c>
      <c r="E155" s="287">
        <v>1500</v>
      </c>
      <c r="F155" s="287">
        <v>1500</v>
      </c>
      <c r="G155" s="287">
        <v>1500</v>
      </c>
      <c r="H155" s="287">
        <v>1500</v>
      </c>
      <c r="I155" s="287">
        <v>1500</v>
      </c>
      <c r="J155" s="287">
        <v>1500</v>
      </c>
      <c r="K155" s="287">
        <v>1500</v>
      </c>
      <c r="L155" s="287">
        <v>0</v>
      </c>
      <c r="M155" s="808">
        <f>L155/I155</f>
        <v>0</v>
      </c>
      <c r="N155" s="1"/>
    </row>
    <row r="156" spans="1:21" x14ac:dyDescent="0.25">
      <c r="A156" s="288" t="s">
        <v>96</v>
      </c>
      <c r="B156" s="561" t="s">
        <v>347</v>
      </c>
      <c r="C156" s="290">
        <v>5000</v>
      </c>
      <c r="D156" s="290">
        <v>5000</v>
      </c>
      <c r="E156" s="290">
        <v>5000</v>
      </c>
      <c r="F156" s="737">
        <f>5000-2000</f>
        <v>3000</v>
      </c>
      <c r="G156" s="290">
        <f t="shared" ref="G156:K156" si="113">5000-2000</f>
        <v>3000</v>
      </c>
      <c r="H156" s="290">
        <f t="shared" si="113"/>
        <v>3000</v>
      </c>
      <c r="I156" s="290">
        <f t="shared" si="113"/>
        <v>3000</v>
      </c>
      <c r="J156" s="290">
        <f t="shared" si="113"/>
        <v>3000</v>
      </c>
      <c r="K156" s="290">
        <f t="shared" si="113"/>
        <v>3000</v>
      </c>
      <c r="L156" s="290">
        <v>2943</v>
      </c>
      <c r="M156" s="808">
        <f>L156/I156</f>
        <v>0.98099999999999998</v>
      </c>
      <c r="N156" s="1"/>
    </row>
    <row r="157" spans="1:21" x14ac:dyDescent="0.25">
      <c r="A157" s="279" t="s">
        <v>101</v>
      </c>
      <c r="B157" s="294" t="s">
        <v>236</v>
      </c>
      <c r="C157" s="281">
        <v>390000</v>
      </c>
      <c r="D157" s="281">
        <v>390000</v>
      </c>
      <c r="E157" s="281">
        <v>390000</v>
      </c>
      <c r="F157" s="731">
        <f>390000-50000</f>
        <v>340000</v>
      </c>
      <c r="G157" s="281">
        <f t="shared" ref="G157:K157" si="114">390000-50000</f>
        <v>340000</v>
      </c>
      <c r="H157" s="281">
        <f t="shared" si="114"/>
        <v>340000</v>
      </c>
      <c r="I157" s="281">
        <f t="shared" si="114"/>
        <v>340000</v>
      </c>
      <c r="J157" s="281">
        <f t="shared" si="114"/>
        <v>340000</v>
      </c>
      <c r="K157" s="281">
        <f t="shared" si="114"/>
        <v>340000</v>
      </c>
      <c r="L157" s="281">
        <v>0</v>
      </c>
      <c r="M157" s="808">
        <f>L157/I157</f>
        <v>0</v>
      </c>
      <c r="N157" s="1"/>
    </row>
    <row r="158" spans="1:21" x14ac:dyDescent="0.25">
      <c r="A158" s="288" t="s">
        <v>188</v>
      </c>
      <c r="B158" s="289" t="s">
        <v>189</v>
      </c>
      <c r="C158" s="290">
        <v>25000</v>
      </c>
      <c r="D158" s="290">
        <v>25000</v>
      </c>
      <c r="E158" s="290">
        <v>25000</v>
      </c>
      <c r="F158" s="290">
        <v>25000</v>
      </c>
      <c r="G158" s="290">
        <v>25000</v>
      </c>
      <c r="H158" s="290">
        <v>25000</v>
      </c>
      <c r="I158" s="290">
        <v>25000</v>
      </c>
      <c r="J158" s="290">
        <v>25000</v>
      </c>
      <c r="K158" s="290">
        <v>25000</v>
      </c>
      <c r="L158" s="290">
        <v>0</v>
      </c>
      <c r="M158" s="808">
        <f>L158/I158</f>
        <v>0</v>
      </c>
      <c r="N158" s="1"/>
    </row>
    <row r="159" spans="1:21" x14ac:dyDescent="0.25">
      <c r="A159" s="297" t="s">
        <v>188</v>
      </c>
      <c r="B159" s="294" t="s">
        <v>242</v>
      </c>
      <c r="C159" s="281">
        <v>30000</v>
      </c>
      <c r="D159" s="281">
        <v>30000</v>
      </c>
      <c r="E159" s="281">
        <v>30000</v>
      </c>
      <c r="F159" s="731">
        <f>30000+37000</f>
        <v>67000</v>
      </c>
      <c r="G159" s="281">
        <f t="shared" ref="G159:K159" si="115">30000+37000</f>
        <v>67000</v>
      </c>
      <c r="H159" s="281">
        <f t="shared" si="115"/>
        <v>67000</v>
      </c>
      <c r="I159" s="281">
        <f t="shared" si="115"/>
        <v>67000</v>
      </c>
      <c r="J159" s="281">
        <f t="shared" si="115"/>
        <v>67000</v>
      </c>
      <c r="K159" s="281">
        <f t="shared" si="115"/>
        <v>67000</v>
      </c>
      <c r="L159" s="281">
        <v>4980</v>
      </c>
      <c r="M159" s="808">
        <f>L159/I159</f>
        <v>7.4328358208955225E-2</v>
      </c>
      <c r="N159" s="27"/>
    </row>
    <row r="160" spans="1:21" x14ac:dyDescent="0.25">
      <c r="A160" s="300" t="s">
        <v>108</v>
      </c>
      <c r="B160" s="298" t="s">
        <v>549</v>
      </c>
      <c r="C160" s="281">
        <v>10000</v>
      </c>
      <c r="D160" s="281">
        <v>10000</v>
      </c>
      <c r="E160" s="281">
        <v>10000</v>
      </c>
      <c r="F160" s="281">
        <v>10000</v>
      </c>
      <c r="G160" s="281">
        <v>10000</v>
      </c>
      <c r="H160" s="281">
        <v>10000</v>
      </c>
      <c r="I160" s="281">
        <v>10000</v>
      </c>
      <c r="J160" s="281">
        <v>10000</v>
      </c>
      <c r="K160" s="731">
        <f>10000+6000</f>
        <v>16000</v>
      </c>
      <c r="L160" s="281">
        <v>0</v>
      </c>
      <c r="M160" s="808">
        <f>L160/I160</f>
        <v>0</v>
      </c>
      <c r="N160" s="1"/>
    </row>
    <row r="161" spans="1:21" x14ac:dyDescent="0.25">
      <c r="A161" s="297" t="s">
        <v>108</v>
      </c>
      <c r="B161" s="770" t="s">
        <v>235</v>
      </c>
      <c r="C161" s="281">
        <v>100000</v>
      </c>
      <c r="D161" s="281">
        <v>100000</v>
      </c>
      <c r="E161" s="281">
        <v>100000</v>
      </c>
      <c r="F161" s="731">
        <f>100000-38000</f>
        <v>62000</v>
      </c>
      <c r="G161" s="281">
        <f t="shared" ref="G161:K161" si="116">100000-38000</f>
        <v>62000</v>
      </c>
      <c r="H161" s="281">
        <f t="shared" si="116"/>
        <v>62000</v>
      </c>
      <c r="I161" s="281">
        <f t="shared" si="116"/>
        <v>62000</v>
      </c>
      <c r="J161" s="281">
        <f t="shared" si="116"/>
        <v>62000</v>
      </c>
      <c r="K161" s="281">
        <f t="shared" si="116"/>
        <v>62000</v>
      </c>
      <c r="L161" s="281">
        <v>1014</v>
      </c>
      <c r="M161" s="808">
        <f>L161/I161</f>
        <v>1.6354838709677421E-2</v>
      </c>
      <c r="N161" s="27"/>
    </row>
    <row r="162" spans="1:21" ht="15.75" thickBot="1" x14ac:dyDescent="0.3">
      <c r="A162" s="768" t="s">
        <v>112</v>
      </c>
      <c r="B162" s="769" t="s">
        <v>540</v>
      </c>
      <c r="C162" s="285">
        <v>0</v>
      </c>
      <c r="D162" s="285">
        <v>0</v>
      </c>
      <c r="E162" s="285">
        <v>0</v>
      </c>
      <c r="F162" s="756">
        <v>70000</v>
      </c>
      <c r="G162" s="285">
        <v>70000</v>
      </c>
      <c r="H162" s="285">
        <v>70000</v>
      </c>
      <c r="I162" s="285">
        <v>70000</v>
      </c>
      <c r="J162" s="285">
        <v>70000</v>
      </c>
      <c r="K162" s="756">
        <f>70000+19000</f>
        <v>89000</v>
      </c>
      <c r="L162" s="285">
        <v>0</v>
      </c>
      <c r="M162" s="808">
        <f>L162/I162</f>
        <v>0</v>
      </c>
      <c r="N162" s="27"/>
    </row>
    <row r="163" spans="1:21" x14ac:dyDescent="0.25">
      <c r="A163" s="771" t="s">
        <v>123</v>
      </c>
      <c r="B163" s="772" t="s">
        <v>193</v>
      </c>
      <c r="C163" s="773">
        <v>21000</v>
      </c>
      <c r="D163" s="773">
        <v>21000</v>
      </c>
      <c r="E163" s="773">
        <v>21000</v>
      </c>
      <c r="F163" s="773">
        <v>21000</v>
      </c>
      <c r="G163" s="773">
        <v>21000</v>
      </c>
      <c r="H163" s="773">
        <v>21000</v>
      </c>
      <c r="I163" s="773">
        <v>21000</v>
      </c>
      <c r="J163" s="773">
        <v>21000</v>
      </c>
      <c r="K163" s="773">
        <v>21000</v>
      </c>
      <c r="L163" s="773">
        <v>0</v>
      </c>
      <c r="M163" s="808">
        <f>L163/I163</f>
        <v>0</v>
      </c>
      <c r="N163" s="27"/>
    </row>
    <row r="164" spans="1:21" x14ac:dyDescent="0.25">
      <c r="A164" s="303" t="s">
        <v>123</v>
      </c>
      <c r="B164" s="304" t="s">
        <v>541</v>
      </c>
      <c r="C164" s="293">
        <v>8000</v>
      </c>
      <c r="D164" s="293">
        <v>8000</v>
      </c>
      <c r="E164" s="293">
        <v>8000</v>
      </c>
      <c r="F164" s="730">
        <f>8000+246000</f>
        <v>254000</v>
      </c>
      <c r="G164" s="293">
        <f t="shared" ref="G164:K164" si="117">8000+246000</f>
        <v>254000</v>
      </c>
      <c r="H164" s="293">
        <f t="shared" si="117"/>
        <v>254000</v>
      </c>
      <c r="I164" s="293">
        <f t="shared" si="117"/>
        <v>254000</v>
      </c>
      <c r="J164" s="293">
        <f t="shared" si="117"/>
        <v>254000</v>
      </c>
      <c r="K164" s="293">
        <f t="shared" si="117"/>
        <v>254000</v>
      </c>
      <c r="L164" s="293">
        <v>0</v>
      </c>
      <c r="M164" s="808">
        <f>L164/I164</f>
        <v>0</v>
      </c>
      <c r="N164" s="1"/>
    </row>
    <row r="165" spans="1:21" x14ac:dyDescent="0.25">
      <c r="A165" s="303" t="s">
        <v>125</v>
      </c>
      <c r="B165" s="304" t="s">
        <v>522</v>
      </c>
      <c r="C165" s="293">
        <v>0</v>
      </c>
      <c r="D165" s="293">
        <v>0</v>
      </c>
      <c r="E165" s="293">
        <v>0</v>
      </c>
      <c r="F165" s="730">
        <v>15000</v>
      </c>
      <c r="G165" s="293">
        <v>15000</v>
      </c>
      <c r="H165" s="293">
        <v>15000</v>
      </c>
      <c r="I165" s="293">
        <v>15000</v>
      </c>
      <c r="J165" s="293">
        <v>15000</v>
      </c>
      <c r="K165" s="730">
        <f>15000-15000</f>
        <v>0</v>
      </c>
      <c r="L165" s="293">
        <v>0</v>
      </c>
      <c r="M165" s="808">
        <f>L165/I165</f>
        <v>0</v>
      </c>
      <c r="N165" s="1"/>
    </row>
    <row r="166" spans="1:21" x14ac:dyDescent="0.25">
      <c r="A166" s="303" t="s">
        <v>125</v>
      </c>
      <c r="B166" s="294" t="s">
        <v>259</v>
      </c>
      <c r="C166" s="293">
        <v>200000</v>
      </c>
      <c r="D166" s="293">
        <v>200000</v>
      </c>
      <c r="E166" s="293">
        <v>200000</v>
      </c>
      <c r="F166" s="293">
        <v>200000</v>
      </c>
      <c r="G166" s="293">
        <v>200000</v>
      </c>
      <c r="H166" s="293">
        <v>200000</v>
      </c>
      <c r="I166" s="293">
        <v>200000</v>
      </c>
      <c r="J166" s="293">
        <v>200000</v>
      </c>
      <c r="K166" s="293">
        <v>200000</v>
      </c>
      <c r="L166" s="293">
        <v>0</v>
      </c>
      <c r="M166" s="808">
        <f>L166/I166</f>
        <v>0</v>
      </c>
      <c r="N166" s="1"/>
    </row>
    <row r="167" spans="1:21" ht="15.75" thickBot="1" x14ac:dyDescent="0.3">
      <c r="A167" s="299" t="s">
        <v>125</v>
      </c>
      <c r="B167" s="774" t="s">
        <v>523</v>
      </c>
      <c r="C167" s="284">
        <v>160886</v>
      </c>
      <c r="D167" s="284">
        <v>160886</v>
      </c>
      <c r="E167" s="284">
        <v>160886</v>
      </c>
      <c r="F167" s="753">
        <f>160886-100000</f>
        <v>60886</v>
      </c>
      <c r="G167" s="284">
        <f t="shared" ref="G167" si="118">160886-100000</f>
        <v>60886</v>
      </c>
      <c r="H167" s="284">
        <f>160886-100000</f>
        <v>60886</v>
      </c>
      <c r="I167" s="284">
        <f>160886-100000</f>
        <v>60886</v>
      </c>
      <c r="J167" s="284">
        <f t="shared" ref="J167" si="119">160886-100000</f>
        <v>60886</v>
      </c>
      <c r="K167" s="753">
        <f>160886-100000-10000</f>
        <v>50886</v>
      </c>
      <c r="L167" s="284">
        <v>0</v>
      </c>
      <c r="M167" s="808">
        <f>L167/I167</f>
        <v>0</v>
      </c>
      <c r="N167" s="1"/>
    </row>
    <row r="168" spans="1:21" ht="15.75" thickBot="1" x14ac:dyDescent="0.3">
      <c r="A168" s="775" t="s">
        <v>134</v>
      </c>
      <c r="B168" s="407" t="s">
        <v>261</v>
      </c>
      <c r="C168" s="408">
        <v>494560</v>
      </c>
      <c r="D168" s="408">
        <v>494560</v>
      </c>
      <c r="E168" s="408">
        <v>494560</v>
      </c>
      <c r="F168" s="408">
        <v>494560</v>
      </c>
      <c r="G168" s="408">
        <v>494560</v>
      </c>
      <c r="H168" s="408">
        <f>494560</f>
        <v>494560</v>
      </c>
      <c r="I168" s="408">
        <f>494560</f>
        <v>494560</v>
      </c>
      <c r="J168" s="408">
        <f t="shared" ref="J168:K168" si="120">494560</f>
        <v>494560</v>
      </c>
      <c r="K168" s="408">
        <f t="shared" si="120"/>
        <v>494560</v>
      </c>
      <c r="L168" s="408">
        <v>0</v>
      </c>
      <c r="M168" s="808">
        <f>L168/I168</f>
        <v>0</v>
      </c>
      <c r="N168" s="1"/>
    </row>
    <row r="169" spans="1:21" x14ac:dyDescent="0.25">
      <c r="A169" s="311"/>
      <c r="B169" s="312"/>
      <c r="C169" s="313"/>
      <c r="D169" s="313"/>
      <c r="E169" s="313"/>
      <c r="F169" s="313"/>
      <c r="G169" s="313"/>
      <c r="H169" s="313"/>
      <c r="I169" s="313"/>
      <c r="J169" s="313"/>
      <c r="K169" s="313"/>
      <c r="L169" s="313"/>
      <c r="M169" s="808"/>
      <c r="N169" s="313"/>
    </row>
    <row r="170" spans="1:21" x14ac:dyDescent="0.25">
      <c r="A170" s="314"/>
      <c r="B170" s="315"/>
      <c r="C170" s="316"/>
      <c r="D170" s="316"/>
      <c r="E170" s="316"/>
      <c r="F170" s="316"/>
      <c r="G170" s="316"/>
      <c r="H170" s="316"/>
      <c r="I170" s="316"/>
      <c r="J170" s="316"/>
      <c r="K170" s="316"/>
      <c r="L170" s="316"/>
      <c r="M170" s="808"/>
      <c r="N170" s="316"/>
    </row>
    <row r="171" spans="1:21" ht="18.75" thickBot="1" x14ac:dyDescent="0.3">
      <c r="A171" s="868" t="s">
        <v>195</v>
      </c>
      <c r="B171" s="869"/>
      <c r="C171" s="869"/>
      <c r="D171" s="869"/>
      <c r="E171" s="869"/>
      <c r="F171" s="869"/>
      <c r="G171" s="869"/>
      <c r="H171" s="869"/>
      <c r="I171" s="869"/>
      <c r="J171" s="869"/>
      <c r="K171" s="869"/>
      <c r="L171" s="869"/>
      <c r="M171" s="808"/>
      <c r="N171" s="1"/>
    </row>
    <row r="172" spans="1:21" ht="27" customHeight="1" thickBot="1" x14ac:dyDescent="0.3">
      <c r="A172" s="864" t="s">
        <v>1</v>
      </c>
      <c r="B172" s="865"/>
      <c r="C172" s="413" t="s">
        <v>454</v>
      </c>
      <c r="D172" s="413" t="s">
        <v>496</v>
      </c>
      <c r="E172" s="413" t="s">
        <v>547</v>
      </c>
      <c r="F172" s="413" t="s">
        <v>497</v>
      </c>
      <c r="G172" s="413" t="s">
        <v>568</v>
      </c>
      <c r="H172" s="413" t="s">
        <v>569</v>
      </c>
      <c r="I172" s="413" t="s">
        <v>641</v>
      </c>
      <c r="J172" s="413" t="s">
        <v>657</v>
      </c>
      <c r="K172" s="413" t="s">
        <v>658</v>
      </c>
      <c r="L172" s="413" t="s">
        <v>642</v>
      </c>
      <c r="M172" s="808"/>
      <c r="N172" s="1"/>
    </row>
    <row r="173" spans="1:21" ht="16.5" thickBot="1" x14ac:dyDescent="0.3">
      <c r="A173" s="441" t="s">
        <v>196</v>
      </c>
      <c r="B173" s="442"/>
      <c r="C173" s="443">
        <f>SUM(C174:C185)</f>
        <v>728546</v>
      </c>
      <c r="D173" s="443">
        <f>SUM(D174:D185)</f>
        <v>728546</v>
      </c>
      <c r="E173" s="443">
        <f>SUM(E174:E185)</f>
        <v>711516</v>
      </c>
      <c r="F173" s="443">
        <f>SUM(F174:F185)</f>
        <v>714937</v>
      </c>
      <c r="G173" s="443">
        <f t="shared" ref="G173:I173" si="121">SUM(G174:G185)</f>
        <v>714937</v>
      </c>
      <c r="H173" s="443">
        <f t="shared" si="121"/>
        <v>714937</v>
      </c>
      <c r="I173" s="443">
        <f t="shared" si="121"/>
        <v>714937</v>
      </c>
      <c r="J173" s="443">
        <f t="shared" ref="J173:K173" si="122">SUM(J174:J185)</f>
        <v>714937</v>
      </c>
      <c r="K173" s="443">
        <f t="shared" si="122"/>
        <v>714937</v>
      </c>
      <c r="L173" s="443">
        <f>SUM(L174:L185)</f>
        <v>77136</v>
      </c>
      <c r="M173" s="808">
        <f>L173/I173</f>
        <v>0.10789202405246896</v>
      </c>
      <c r="N173" s="27">
        <f>D173-C173</f>
        <v>0</v>
      </c>
      <c r="O173" s="27">
        <f>E173-D173</f>
        <v>-17030</v>
      </c>
      <c r="P173" s="27">
        <f>F173-E173</f>
        <v>3421</v>
      </c>
      <c r="Q173" s="27">
        <f>G173-F173</f>
        <v>0</v>
      </c>
      <c r="R173" s="27">
        <f>H173-G173</f>
        <v>0</v>
      </c>
      <c r="S173" s="27">
        <f>I173-H173</f>
        <v>0</v>
      </c>
      <c r="T173" s="27">
        <f>J173-I173</f>
        <v>0</v>
      </c>
      <c r="U173" s="27">
        <f>K173-J173</f>
        <v>0</v>
      </c>
    </row>
    <row r="174" spans="1:21" x14ac:dyDescent="0.25">
      <c r="A174" s="432">
        <v>453</v>
      </c>
      <c r="B174" s="433" t="s">
        <v>466</v>
      </c>
      <c r="C174" s="64">
        <f>3000+1900</f>
        <v>4900</v>
      </c>
      <c r="D174" s="64">
        <f>3000+1900</f>
        <v>4900</v>
      </c>
      <c r="E174" s="717">
        <f>3780+1810</f>
        <v>5590</v>
      </c>
      <c r="F174" s="64">
        <f>3780+1810</f>
        <v>5590</v>
      </c>
      <c r="G174" s="64">
        <f t="shared" ref="G174:K174" si="123">3780+1810</f>
        <v>5590</v>
      </c>
      <c r="H174" s="64">
        <f t="shared" si="123"/>
        <v>5590</v>
      </c>
      <c r="I174" s="64">
        <f t="shared" si="123"/>
        <v>5590</v>
      </c>
      <c r="J174" s="64">
        <f t="shared" si="123"/>
        <v>5590</v>
      </c>
      <c r="K174" s="64">
        <f t="shared" si="123"/>
        <v>5590</v>
      </c>
      <c r="L174" s="64">
        <v>1970</v>
      </c>
      <c r="M174" s="808">
        <f>L174/I174</f>
        <v>0.35241502683363146</v>
      </c>
      <c r="N174" s="27"/>
    </row>
    <row r="175" spans="1:21" x14ac:dyDescent="0.25">
      <c r="A175" s="317">
        <v>453</v>
      </c>
      <c r="B175" s="318" t="s">
        <v>465</v>
      </c>
      <c r="C175" s="319">
        <v>1500</v>
      </c>
      <c r="D175" s="319">
        <v>1500</v>
      </c>
      <c r="E175" s="319">
        <v>1500</v>
      </c>
      <c r="F175" s="319">
        <v>1500</v>
      </c>
      <c r="G175" s="319">
        <v>1500</v>
      </c>
      <c r="H175" s="319">
        <v>1500</v>
      </c>
      <c r="I175" s="319">
        <v>1500</v>
      </c>
      <c r="J175" s="319">
        <v>1500</v>
      </c>
      <c r="K175" s="319">
        <v>1500</v>
      </c>
      <c r="L175" s="319">
        <v>0</v>
      </c>
      <c r="M175" s="808">
        <f>L175/I175</f>
        <v>0</v>
      </c>
      <c r="N175" s="1"/>
    </row>
    <row r="176" spans="1:21" x14ac:dyDescent="0.25">
      <c r="A176" s="317">
        <v>453</v>
      </c>
      <c r="B176" s="433" t="s">
        <v>338</v>
      </c>
      <c r="C176" s="319">
        <v>29750</v>
      </c>
      <c r="D176" s="319">
        <v>29750</v>
      </c>
      <c r="E176" s="760">
        <f>29750-17050</f>
        <v>12700</v>
      </c>
      <c r="F176" s="319">
        <f>29750-17050</f>
        <v>12700</v>
      </c>
      <c r="G176" s="319">
        <f t="shared" ref="G176:K176" si="124">29750-17050</f>
        <v>12700</v>
      </c>
      <c r="H176" s="319">
        <f t="shared" si="124"/>
        <v>12700</v>
      </c>
      <c r="I176" s="319">
        <f t="shared" si="124"/>
        <v>12700</v>
      </c>
      <c r="J176" s="319">
        <f t="shared" si="124"/>
        <v>12700</v>
      </c>
      <c r="K176" s="319">
        <f t="shared" si="124"/>
        <v>12700</v>
      </c>
      <c r="L176" s="319">
        <v>12679</v>
      </c>
      <c r="M176" s="808">
        <f>L176/I176</f>
        <v>0.99834645669291333</v>
      </c>
      <c r="N176" s="27"/>
    </row>
    <row r="177" spans="1:21" x14ac:dyDescent="0.25">
      <c r="A177" s="317">
        <v>453</v>
      </c>
      <c r="B177" s="318" t="s">
        <v>307</v>
      </c>
      <c r="C177" s="319">
        <v>886</v>
      </c>
      <c r="D177" s="319">
        <v>886</v>
      </c>
      <c r="E177" s="319">
        <v>886</v>
      </c>
      <c r="F177" s="319">
        <v>886</v>
      </c>
      <c r="G177" s="319">
        <v>886</v>
      </c>
      <c r="H177" s="319">
        <v>886</v>
      </c>
      <c r="I177" s="319">
        <v>886</v>
      </c>
      <c r="J177" s="319">
        <v>886</v>
      </c>
      <c r="K177" s="319">
        <v>886</v>
      </c>
      <c r="L177" s="319">
        <v>0</v>
      </c>
      <c r="M177" s="808">
        <f>L177/I177</f>
        <v>0</v>
      </c>
      <c r="N177" s="1"/>
    </row>
    <row r="178" spans="1:21" x14ac:dyDescent="0.25">
      <c r="A178" s="317">
        <v>453</v>
      </c>
      <c r="B178" s="433" t="s">
        <v>339</v>
      </c>
      <c r="C178" s="319">
        <v>2030</v>
      </c>
      <c r="D178" s="319">
        <v>2030</v>
      </c>
      <c r="E178" s="319">
        <f>2030</f>
        <v>2030</v>
      </c>
      <c r="F178" s="319">
        <v>2030</v>
      </c>
      <c r="G178" s="319">
        <v>2030</v>
      </c>
      <c r="H178" s="319">
        <v>2030</v>
      </c>
      <c r="I178" s="319">
        <v>2030</v>
      </c>
      <c r="J178" s="319">
        <v>2030</v>
      </c>
      <c r="K178" s="319">
        <v>2030</v>
      </c>
      <c r="L178" s="319">
        <v>2024</v>
      </c>
      <c r="M178" s="808">
        <f>L178/I178</f>
        <v>0.99704433497536948</v>
      </c>
      <c r="N178" s="27"/>
    </row>
    <row r="179" spans="1:21" ht="15.75" thickBot="1" x14ac:dyDescent="0.3">
      <c r="A179" s="320">
        <v>453</v>
      </c>
      <c r="B179" s="321" t="s">
        <v>502</v>
      </c>
      <c r="C179" s="322">
        <v>2000</v>
      </c>
      <c r="D179" s="322">
        <v>2000</v>
      </c>
      <c r="E179" s="718">
        <f>2000-670</f>
        <v>1330</v>
      </c>
      <c r="F179" s="322">
        <f>2000-670</f>
        <v>1330</v>
      </c>
      <c r="G179" s="322">
        <f t="shared" ref="G179:K179" si="125">2000-670</f>
        <v>1330</v>
      </c>
      <c r="H179" s="322">
        <f t="shared" si="125"/>
        <v>1330</v>
      </c>
      <c r="I179" s="322">
        <f t="shared" si="125"/>
        <v>1330</v>
      </c>
      <c r="J179" s="322">
        <f t="shared" si="125"/>
        <v>1330</v>
      </c>
      <c r="K179" s="322">
        <f t="shared" si="125"/>
        <v>1330</v>
      </c>
      <c r="L179" s="322">
        <v>1329</v>
      </c>
      <c r="M179" s="808">
        <f>L179/I179</f>
        <v>0.99924812030075183</v>
      </c>
      <c r="N179" s="27">
        <f>SUM(H174:H179)</f>
        <v>24036</v>
      </c>
      <c r="O179" s="27">
        <f>SUM(L174:L179)</f>
        <v>18002</v>
      </c>
    </row>
    <row r="180" spans="1:21" x14ac:dyDescent="0.25">
      <c r="A180" s="713">
        <v>454</v>
      </c>
      <c r="B180" s="400" t="s">
        <v>342</v>
      </c>
      <c r="C180" s="714">
        <f>160000-63500-3000</f>
        <v>93500</v>
      </c>
      <c r="D180" s="714">
        <f>160000-63500-3000</f>
        <v>93500</v>
      </c>
      <c r="E180" s="714">
        <f>160000-63500-3000</f>
        <v>93500</v>
      </c>
      <c r="F180" s="714">
        <f>160000-63500-3000</f>
        <v>93500</v>
      </c>
      <c r="G180" s="714">
        <f t="shared" ref="G180:K180" si="126">160000-63500-3000</f>
        <v>93500</v>
      </c>
      <c r="H180" s="714">
        <f t="shared" si="126"/>
        <v>93500</v>
      </c>
      <c r="I180" s="714">
        <f t="shared" si="126"/>
        <v>93500</v>
      </c>
      <c r="J180" s="714">
        <f t="shared" si="126"/>
        <v>93500</v>
      </c>
      <c r="K180" s="714">
        <f t="shared" si="126"/>
        <v>93500</v>
      </c>
      <c r="L180" s="714">
        <v>28776</v>
      </c>
      <c r="M180" s="808">
        <f>L180/I180</f>
        <v>0.30776470588235294</v>
      </c>
      <c r="N180" s="1"/>
    </row>
    <row r="181" spans="1:21" x14ac:dyDescent="0.25">
      <c r="A181" s="713">
        <v>454</v>
      </c>
      <c r="B181" s="400" t="s">
        <v>341</v>
      </c>
      <c r="C181" s="714">
        <f>575840</f>
        <v>575840</v>
      </c>
      <c r="D181" s="714">
        <f>575840</f>
        <v>575840</v>
      </c>
      <c r="E181" s="714">
        <f>575840</f>
        <v>575840</v>
      </c>
      <c r="F181" s="714">
        <f>575840</f>
        <v>575840</v>
      </c>
      <c r="G181" s="714">
        <f t="shared" ref="G181:K181" si="127">575840</f>
        <v>575840</v>
      </c>
      <c r="H181" s="714">
        <f t="shared" si="127"/>
        <v>575840</v>
      </c>
      <c r="I181" s="714">
        <f t="shared" si="127"/>
        <v>575840</v>
      </c>
      <c r="J181" s="714">
        <f t="shared" si="127"/>
        <v>575840</v>
      </c>
      <c r="K181" s="714">
        <f t="shared" si="127"/>
        <v>575840</v>
      </c>
      <c r="L181" s="714">
        <v>8937</v>
      </c>
      <c r="M181" s="808">
        <f>L181/I181</f>
        <v>1.5519936093359266E-2</v>
      </c>
      <c r="N181" s="1"/>
    </row>
    <row r="182" spans="1:21" ht="15.75" thickBot="1" x14ac:dyDescent="0.3">
      <c r="A182" s="558">
        <v>454</v>
      </c>
      <c r="B182" s="559" t="s">
        <v>343</v>
      </c>
      <c r="C182" s="560">
        <v>0</v>
      </c>
      <c r="D182" s="560">
        <v>0</v>
      </c>
      <c r="E182" s="560">
        <v>0</v>
      </c>
      <c r="F182" s="560">
        <v>0</v>
      </c>
      <c r="G182" s="560">
        <v>0</v>
      </c>
      <c r="H182" s="560">
        <v>0</v>
      </c>
      <c r="I182" s="560">
        <v>0</v>
      </c>
      <c r="J182" s="560">
        <v>0</v>
      </c>
      <c r="K182" s="560">
        <v>0</v>
      </c>
      <c r="L182" s="560">
        <v>0</v>
      </c>
      <c r="M182" s="808">
        <v>0</v>
      </c>
      <c r="N182" s="27">
        <f>SUM(H180:H182)</f>
        <v>669340</v>
      </c>
      <c r="O182" s="27">
        <f>SUM(L180:L182)</f>
        <v>37713</v>
      </c>
    </row>
    <row r="183" spans="1:21" x14ac:dyDescent="0.25">
      <c r="A183" s="556">
        <v>456</v>
      </c>
      <c r="B183" s="400" t="s">
        <v>308</v>
      </c>
      <c r="C183" s="557">
        <v>18000</v>
      </c>
      <c r="D183" s="557">
        <v>18000</v>
      </c>
      <c r="E183" s="557">
        <v>18000</v>
      </c>
      <c r="F183" s="748">
        <f>18000+3421</f>
        <v>21421</v>
      </c>
      <c r="G183" s="557">
        <f t="shared" ref="G183:K183" si="128">18000+3421</f>
        <v>21421</v>
      </c>
      <c r="H183" s="557">
        <f t="shared" si="128"/>
        <v>21421</v>
      </c>
      <c r="I183" s="557">
        <f t="shared" si="128"/>
        <v>21421</v>
      </c>
      <c r="J183" s="557">
        <f t="shared" si="128"/>
        <v>21421</v>
      </c>
      <c r="K183" s="557">
        <f t="shared" si="128"/>
        <v>21421</v>
      </c>
      <c r="L183" s="557">
        <v>21421</v>
      </c>
      <c r="M183" s="808">
        <f>L183/I183</f>
        <v>1</v>
      </c>
      <c r="N183" s="1"/>
    </row>
    <row r="184" spans="1:21" x14ac:dyDescent="0.25">
      <c r="A184" s="432">
        <v>456</v>
      </c>
      <c r="B184" s="433" t="s">
        <v>309</v>
      </c>
      <c r="C184" s="64">
        <v>40</v>
      </c>
      <c r="D184" s="64">
        <v>40</v>
      </c>
      <c r="E184" s="64">
        <v>40</v>
      </c>
      <c r="F184" s="64">
        <v>40</v>
      </c>
      <c r="G184" s="64">
        <v>40</v>
      </c>
      <c r="H184" s="64">
        <v>40</v>
      </c>
      <c r="I184" s="64">
        <v>40</v>
      </c>
      <c r="J184" s="64">
        <v>40</v>
      </c>
      <c r="K184" s="64">
        <v>40</v>
      </c>
      <c r="L184" s="64">
        <v>0</v>
      </c>
      <c r="M184" s="808">
        <f>L184/I184</f>
        <v>0</v>
      </c>
      <c r="N184" s="27"/>
      <c r="O184" s="458"/>
    </row>
    <row r="185" spans="1:21" ht="15.75" thickBot="1" x14ac:dyDescent="0.3">
      <c r="A185" s="713">
        <v>456</v>
      </c>
      <c r="B185" s="400" t="s">
        <v>344</v>
      </c>
      <c r="C185" s="714">
        <v>100</v>
      </c>
      <c r="D185" s="714">
        <v>100</v>
      </c>
      <c r="E185" s="714">
        <v>100</v>
      </c>
      <c r="F185" s="714">
        <v>100</v>
      </c>
      <c r="G185" s="714">
        <v>100</v>
      </c>
      <c r="H185" s="714">
        <v>100</v>
      </c>
      <c r="I185" s="714">
        <v>100</v>
      </c>
      <c r="J185" s="714">
        <v>100</v>
      </c>
      <c r="K185" s="714">
        <v>100</v>
      </c>
      <c r="L185" s="714">
        <v>0</v>
      </c>
      <c r="M185" s="808">
        <f>L185/I185</f>
        <v>0</v>
      </c>
      <c r="N185" s="27">
        <f>SUM(H183:H185)</f>
        <v>21561</v>
      </c>
      <c r="O185" s="27">
        <f>SUM(L183:L185)</f>
        <v>21421</v>
      </c>
    </row>
    <row r="186" spans="1:21" ht="16.5" thickBot="1" x14ac:dyDescent="0.3">
      <c r="A186" s="441" t="s">
        <v>198</v>
      </c>
      <c r="B186" s="442"/>
      <c r="C186" s="443">
        <f t="shared" ref="C186:L186" si="129">SUM(C187:C191)</f>
        <v>19140</v>
      </c>
      <c r="D186" s="443">
        <f t="shared" si="129"/>
        <v>19140</v>
      </c>
      <c r="E186" s="443">
        <f t="shared" si="129"/>
        <v>19140</v>
      </c>
      <c r="F186" s="443">
        <f t="shared" si="129"/>
        <v>22561</v>
      </c>
      <c r="G186" s="443">
        <f t="shared" si="129"/>
        <v>22561</v>
      </c>
      <c r="H186" s="443">
        <f t="shared" si="129"/>
        <v>22561</v>
      </c>
      <c r="I186" s="443">
        <f t="shared" si="129"/>
        <v>22561</v>
      </c>
      <c r="J186" s="443">
        <f t="shared" ref="J186:K186" si="130">SUM(J187:J191)</f>
        <v>22561</v>
      </c>
      <c r="K186" s="443">
        <f t="shared" si="130"/>
        <v>22561</v>
      </c>
      <c r="L186" s="443">
        <f t="shared" si="129"/>
        <v>18327</v>
      </c>
      <c r="M186" s="808">
        <f>L186/I186</f>
        <v>0.81233101369620142</v>
      </c>
      <c r="N186" s="27">
        <f>D186-C186</f>
        <v>0</v>
      </c>
      <c r="O186" s="27">
        <f>E186-D186</f>
        <v>0</v>
      </c>
      <c r="P186" s="27">
        <f>F186-E186</f>
        <v>3421</v>
      </c>
      <c r="Q186" s="27">
        <f>G186-F186</f>
        <v>0</v>
      </c>
      <c r="R186" s="27">
        <f>H186-G186</f>
        <v>0</v>
      </c>
      <c r="S186" s="27">
        <f>I186-H186</f>
        <v>0</v>
      </c>
      <c r="T186" s="27">
        <f>J186-I186</f>
        <v>0</v>
      </c>
      <c r="U186" s="27">
        <f>K186-J186</f>
        <v>0</v>
      </c>
    </row>
    <row r="187" spans="1:21" x14ac:dyDescent="0.25">
      <c r="A187" s="323">
        <v>819</v>
      </c>
      <c r="B187" s="324" t="s">
        <v>199</v>
      </c>
      <c r="C187" s="205">
        <v>100</v>
      </c>
      <c r="D187" s="205">
        <v>100</v>
      </c>
      <c r="E187" s="205">
        <v>100</v>
      </c>
      <c r="F187" s="205">
        <v>100</v>
      </c>
      <c r="G187" s="205">
        <v>100</v>
      </c>
      <c r="H187" s="205">
        <v>100</v>
      </c>
      <c r="I187" s="205">
        <v>100</v>
      </c>
      <c r="J187" s="205">
        <v>100</v>
      </c>
      <c r="K187" s="205">
        <v>100</v>
      </c>
      <c r="L187" s="205">
        <v>0</v>
      </c>
      <c r="M187" s="808">
        <f>L187/I187</f>
        <v>0</v>
      </c>
      <c r="N187" s="1"/>
    </row>
    <row r="188" spans="1:21" x14ac:dyDescent="0.25">
      <c r="A188" s="325">
        <v>819</v>
      </c>
      <c r="B188" s="326" t="s">
        <v>310</v>
      </c>
      <c r="C188" s="56">
        <v>40</v>
      </c>
      <c r="D188" s="56">
        <v>40</v>
      </c>
      <c r="E188" s="56">
        <v>40</v>
      </c>
      <c r="F188" s="56">
        <v>40</v>
      </c>
      <c r="G188" s="56">
        <v>40</v>
      </c>
      <c r="H188" s="56">
        <v>40</v>
      </c>
      <c r="I188" s="56">
        <v>40</v>
      </c>
      <c r="J188" s="56">
        <v>40</v>
      </c>
      <c r="K188" s="56">
        <v>40</v>
      </c>
      <c r="L188" s="56">
        <v>0</v>
      </c>
      <c r="M188" s="808">
        <f>L188/I188</f>
        <v>0</v>
      </c>
      <c r="N188" s="1"/>
    </row>
    <row r="189" spans="1:21" ht="15.75" thickBot="1" x14ac:dyDescent="0.3">
      <c r="A189" s="776">
        <v>819</v>
      </c>
      <c r="B189" s="777" t="s">
        <v>311</v>
      </c>
      <c r="C189" s="778">
        <v>18000</v>
      </c>
      <c r="D189" s="778">
        <v>18000</v>
      </c>
      <c r="E189" s="778">
        <v>18000</v>
      </c>
      <c r="F189" s="779">
        <f>18000+3421</f>
        <v>21421</v>
      </c>
      <c r="G189" s="778">
        <f t="shared" ref="G189:K189" si="131">18000+3421</f>
        <v>21421</v>
      </c>
      <c r="H189" s="778">
        <f t="shared" si="131"/>
        <v>21421</v>
      </c>
      <c r="I189" s="778">
        <f t="shared" si="131"/>
        <v>21421</v>
      </c>
      <c r="J189" s="778">
        <f t="shared" si="131"/>
        <v>21421</v>
      </c>
      <c r="K189" s="778">
        <f t="shared" si="131"/>
        <v>21421</v>
      </c>
      <c r="L189" s="778">
        <v>18000</v>
      </c>
      <c r="M189" s="808">
        <f>L189/I189</f>
        <v>0.8402969049064003</v>
      </c>
      <c r="N189" s="27">
        <f>SUM(C187:C189)</f>
        <v>18140</v>
      </c>
      <c r="O189" s="27">
        <f>SUM(D187:D189)</f>
        <v>18140</v>
      </c>
      <c r="P189" s="27">
        <f>SUM(F187:F189)</f>
        <v>21561</v>
      </c>
    </row>
    <row r="190" spans="1:21" x14ac:dyDescent="0.25">
      <c r="A190" s="325">
        <v>821</v>
      </c>
      <c r="B190" s="326" t="s">
        <v>268</v>
      </c>
      <c r="C190" s="56">
        <v>0</v>
      </c>
      <c r="D190" s="56">
        <v>0</v>
      </c>
      <c r="E190" s="56">
        <v>0</v>
      </c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  <c r="M190" s="808">
        <v>0</v>
      </c>
      <c r="N190" s="1"/>
    </row>
    <row r="191" spans="1:21" ht="15.75" thickBot="1" x14ac:dyDescent="0.3">
      <c r="A191" s="327">
        <v>821</v>
      </c>
      <c r="B191" s="328" t="s">
        <v>200</v>
      </c>
      <c r="C191" s="128">
        <v>1000</v>
      </c>
      <c r="D191" s="128">
        <v>1000</v>
      </c>
      <c r="E191" s="128">
        <v>1000</v>
      </c>
      <c r="F191" s="128">
        <v>1000</v>
      </c>
      <c r="G191" s="128">
        <v>1000</v>
      </c>
      <c r="H191" s="128">
        <v>1000</v>
      </c>
      <c r="I191" s="128">
        <v>1000</v>
      </c>
      <c r="J191" s="128">
        <v>1000</v>
      </c>
      <c r="K191" s="128">
        <v>1000</v>
      </c>
      <c r="L191" s="128">
        <v>327</v>
      </c>
      <c r="M191" s="808">
        <f>L191/I191</f>
        <v>0.32700000000000001</v>
      </c>
      <c r="N191" s="1"/>
    </row>
    <row r="192" spans="1:21" x14ac:dyDescent="0.25">
      <c r="A192" s="314"/>
      <c r="B192" s="329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</row>
    <row r="193" spans="1:22" ht="15.75" x14ac:dyDescent="0.25">
      <c r="A193" s="105"/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  <c r="L193" s="312"/>
      <c r="M193" s="312"/>
      <c r="N193" s="312"/>
    </row>
    <row r="194" spans="1:22" ht="18.75" thickBot="1" x14ac:dyDescent="0.3">
      <c r="A194" s="870" t="s">
        <v>201</v>
      </c>
      <c r="B194" s="871"/>
      <c r="C194" s="871"/>
      <c r="D194" s="871"/>
      <c r="E194" s="871"/>
      <c r="F194" s="871"/>
      <c r="G194" s="871"/>
      <c r="H194" s="871"/>
      <c r="I194" s="871"/>
      <c r="J194" s="871"/>
      <c r="K194" s="871"/>
      <c r="L194" s="871"/>
      <c r="M194" s="809"/>
      <c r="N194" s="1"/>
    </row>
    <row r="195" spans="1:22" ht="27.75" customHeight="1" thickBot="1" x14ac:dyDescent="0.3">
      <c r="A195" s="864" t="s">
        <v>1</v>
      </c>
      <c r="B195" s="865"/>
      <c r="C195" s="413" t="s">
        <v>454</v>
      </c>
      <c r="D195" s="413" t="s">
        <v>496</v>
      </c>
      <c r="E195" s="413" t="s">
        <v>547</v>
      </c>
      <c r="F195" s="413" t="s">
        <v>497</v>
      </c>
      <c r="G195" s="413" t="s">
        <v>568</v>
      </c>
      <c r="H195" s="413" t="s">
        <v>569</v>
      </c>
      <c r="I195" s="413" t="s">
        <v>641</v>
      </c>
      <c r="J195" s="413" t="s">
        <v>657</v>
      </c>
      <c r="K195" s="413" t="s">
        <v>658</v>
      </c>
      <c r="L195" s="413" t="s">
        <v>642</v>
      </c>
      <c r="M195" s="810"/>
      <c r="N195" s="1"/>
    </row>
    <row r="196" spans="1:22" ht="15.75" x14ac:dyDescent="0.25">
      <c r="A196" s="330" t="s">
        <v>202</v>
      </c>
      <c r="B196" s="29"/>
      <c r="C196" s="331">
        <f t="shared" ref="C196:L196" si="132">C76</f>
        <v>2548280</v>
      </c>
      <c r="D196" s="331">
        <f t="shared" si="132"/>
        <v>2548360</v>
      </c>
      <c r="E196" s="331">
        <f t="shared" si="132"/>
        <v>2656610</v>
      </c>
      <c r="F196" s="331">
        <f t="shared" si="132"/>
        <v>2657110</v>
      </c>
      <c r="G196" s="331">
        <f t="shared" si="132"/>
        <v>2718695</v>
      </c>
      <c r="H196" s="331">
        <f t="shared" si="132"/>
        <v>2756505</v>
      </c>
      <c r="I196" s="331">
        <f t="shared" si="132"/>
        <v>2759075</v>
      </c>
      <c r="J196" s="331">
        <f t="shared" ref="J196:K196" si="133">J76</f>
        <v>2759155</v>
      </c>
      <c r="K196" s="331">
        <f t="shared" si="133"/>
        <v>2764655</v>
      </c>
      <c r="L196" s="331">
        <f t="shared" si="132"/>
        <v>1033310</v>
      </c>
      <c r="M196" s="806"/>
      <c r="N196" s="1"/>
    </row>
    <row r="197" spans="1:22" ht="15.75" x14ac:dyDescent="0.25">
      <c r="A197" s="332" t="s">
        <v>203</v>
      </c>
      <c r="B197" s="333"/>
      <c r="C197" s="334">
        <f>C141</f>
        <v>2680960</v>
      </c>
      <c r="D197" s="334">
        <f>D141</f>
        <v>2681040</v>
      </c>
      <c r="E197" s="334">
        <f>E141</f>
        <v>2772260</v>
      </c>
      <c r="F197" s="334">
        <f>F141</f>
        <v>2772760</v>
      </c>
      <c r="G197" s="334">
        <f t="shared" ref="G197:I197" si="134">G141</f>
        <v>2834345</v>
      </c>
      <c r="H197" s="334">
        <f t="shared" si="134"/>
        <v>2872155</v>
      </c>
      <c r="I197" s="334">
        <f t="shared" si="134"/>
        <v>2874725</v>
      </c>
      <c r="J197" s="334">
        <f t="shared" ref="J197:K197" si="135">J141</f>
        <v>2874805</v>
      </c>
      <c r="K197" s="334">
        <f t="shared" si="135"/>
        <v>2880305</v>
      </c>
      <c r="L197" s="334">
        <f>L141</f>
        <v>817098</v>
      </c>
      <c r="M197" s="806"/>
      <c r="N197" s="1"/>
    </row>
    <row r="198" spans="1:22" ht="15.75" x14ac:dyDescent="0.25">
      <c r="A198" s="872" t="s">
        <v>204</v>
      </c>
      <c r="B198" s="873"/>
      <c r="C198" s="335">
        <f t="shared" ref="C198:L198" si="136">C196-C197</f>
        <v>-132680</v>
      </c>
      <c r="D198" s="335">
        <f t="shared" si="136"/>
        <v>-132680</v>
      </c>
      <c r="E198" s="335">
        <f t="shared" si="136"/>
        <v>-115650</v>
      </c>
      <c r="F198" s="335">
        <f t="shared" si="136"/>
        <v>-115650</v>
      </c>
      <c r="G198" s="335">
        <f t="shared" si="136"/>
        <v>-115650</v>
      </c>
      <c r="H198" s="335">
        <f t="shared" si="136"/>
        <v>-115650</v>
      </c>
      <c r="I198" s="335">
        <f t="shared" si="136"/>
        <v>-115650</v>
      </c>
      <c r="J198" s="335">
        <f t="shared" ref="J198:K198" si="137">J196-J197</f>
        <v>-115650</v>
      </c>
      <c r="K198" s="335">
        <f t="shared" si="137"/>
        <v>-115650</v>
      </c>
      <c r="L198" s="335">
        <f t="shared" si="136"/>
        <v>216212</v>
      </c>
      <c r="M198" s="811"/>
      <c r="N198" s="1"/>
    </row>
    <row r="199" spans="1:22" ht="15.75" x14ac:dyDescent="0.25">
      <c r="A199" s="332" t="s">
        <v>205</v>
      </c>
      <c r="B199" s="18"/>
      <c r="C199" s="334">
        <f>C146</f>
        <v>869220</v>
      </c>
      <c r="D199" s="334">
        <f>D146</f>
        <v>869220</v>
      </c>
      <c r="E199" s="334">
        <f>E146</f>
        <v>869220</v>
      </c>
      <c r="F199" s="334">
        <f>F146</f>
        <v>1047220</v>
      </c>
      <c r="G199" s="334">
        <f t="shared" ref="G199:I199" si="138">G146</f>
        <v>1047220</v>
      </c>
      <c r="H199" s="334">
        <f t="shared" si="138"/>
        <v>1047220</v>
      </c>
      <c r="I199" s="334">
        <f t="shared" si="138"/>
        <v>1047220</v>
      </c>
      <c r="J199" s="334">
        <f t="shared" ref="J199:K199" si="139">J146</f>
        <v>1047220</v>
      </c>
      <c r="K199" s="334">
        <f t="shared" si="139"/>
        <v>1047220</v>
      </c>
      <c r="L199" s="334">
        <f>L146</f>
        <v>0</v>
      </c>
      <c r="M199" s="806"/>
      <c r="N199" s="1"/>
    </row>
    <row r="200" spans="1:22" ht="15.75" x14ac:dyDescent="0.25">
      <c r="A200" s="332" t="s">
        <v>206</v>
      </c>
      <c r="B200" s="18"/>
      <c r="C200" s="20">
        <f>C154</f>
        <v>1445946</v>
      </c>
      <c r="D200" s="20">
        <f>D154</f>
        <v>1445946</v>
      </c>
      <c r="E200" s="20">
        <f>E154</f>
        <v>1445946</v>
      </c>
      <c r="F200" s="20">
        <f>F154</f>
        <v>1623946</v>
      </c>
      <c r="G200" s="20">
        <f t="shared" ref="G200:I200" si="140">G154</f>
        <v>1623946</v>
      </c>
      <c r="H200" s="20">
        <f t="shared" si="140"/>
        <v>1623946</v>
      </c>
      <c r="I200" s="20">
        <f t="shared" si="140"/>
        <v>1623946</v>
      </c>
      <c r="J200" s="20">
        <f t="shared" ref="J200:K200" si="141">J154</f>
        <v>1623946</v>
      </c>
      <c r="K200" s="20">
        <f t="shared" si="141"/>
        <v>1623946</v>
      </c>
      <c r="L200" s="20">
        <f>L154</f>
        <v>8937</v>
      </c>
      <c r="M200" s="807"/>
      <c r="N200" s="1"/>
    </row>
    <row r="201" spans="1:22" ht="15.75" x14ac:dyDescent="0.25">
      <c r="A201" s="872" t="s">
        <v>207</v>
      </c>
      <c r="B201" s="873"/>
      <c r="C201" s="335">
        <f t="shared" ref="C201:L201" si="142">C199-C200</f>
        <v>-576726</v>
      </c>
      <c r="D201" s="335">
        <f t="shared" si="142"/>
        <v>-576726</v>
      </c>
      <c r="E201" s="335">
        <f t="shared" si="142"/>
        <v>-576726</v>
      </c>
      <c r="F201" s="335">
        <f t="shared" si="142"/>
        <v>-576726</v>
      </c>
      <c r="G201" s="335">
        <f t="shared" si="142"/>
        <v>-576726</v>
      </c>
      <c r="H201" s="335">
        <f t="shared" si="142"/>
        <v>-576726</v>
      </c>
      <c r="I201" s="335">
        <f t="shared" si="142"/>
        <v>-576726</v>
      </c>
      <c r="J201" s="335">
        <f t="shared" ref="J201:K201" si="143">J199-J200</f>
        <v>-576726</v>
      </c>
      <c r="K201" s="335">
        <f t="shared" si="143"/>
        <v>-576726</v>
      </c>
      <c r="L201" s="335">
        <f t="shared" si="142"/>
        <v>-8937</v>
      </c>
      <c r="M201" s="811"/>
      <c r="N201" s="1"/>
    </row>
    <row r="202" spans="1:22" ht="15.75" x14ac:dyDescent="0.25">
      <c r="A202" s="336" t="s">
        <v>208</v>
      </c>
      <c r="B202" s="337"/>
      <c r="C202" s="338">
        <f>C173</f>
        <v>728546</v>
      </c>
      <c r="D202" s="338">
        <f>D173</f>
        <v>728546</v>
      </c>
      <c r="E202" s="338">
        <f>E173</f>
        <v>711516</v>
      </c>
      <c r="F202" s="338">
        <f>F173</f>
        <v>714937</v>
      </c>
      <c r="G202" s="338">
        <f t="shared" ref="G202:I202" si="144">G173</f>
        <v>714937</v>
      </c>
      <c r="H202" s="338">
        <f t="shared" si="144"/>
        <v>714937</v>
      </c>
      <c r="I202" s="338">
        <f t="shared" si="144"/>
        <v>714937</v>
      </c>
      <c r="J202" s="338">
        <f t="shared" ref="J202:K202" si="145">J173</f>
        <v>714937</v>
      </c>
      <c r="K202" s="338">
        <f t="shared" si="145"/>
        <v>714937</v>
      </c>
      <c r="L202" s="338">
        <f>L173</f>
        <v>77136</v>
      </c>
      <c r="M202" s="806"/>
      <c r="N202" s="1"/>
    </row>
    <row r="203" spans="1:22" ht="15.75" x14ac:dyDescent="0.25">
      <c r="A203" s="336" t="s">
        <v>209</v>
      </c>
      <c r="B203" s="337"/>
      <c r="C203" s="338">
        <f t="shared" ref="C203:L203" si="146">C186</f>
        <v>19140</v>
      </c>
      <c r="D203" s="338">
        <f t="shared" si="146"/>
        <v>19140</v>
      </c>
      <c r="E203" s="338">
        <f t="shared" si="146"/>
        <v>19140</v>
      </c>
      <c r="F203" s="338">
        <f t="shared" si="146"/>
        <v>22561</v>
      </c>
      <c r="G203" s="338">
        <f t="shared" si="146"/>
        <v>22561</v>
      </c>
      <c r="H203" s="338">
        <f t="shared" si="146"/>
        <v>22561</v>
      </c>
      <c r="I203" s="338">
        <f t="shared" si="146"/>
        <v>22561</v>
      </c>
      <c r="J203" s="338">
        <f t="shared" ref="J203:K203" si="147">J186</f>
        <v>22561</v>
      </c>
      <c r="K203" s="338">
        <f t="shared" si="147"/>
        <v>22561</v>
      </c>
      <c r="L203" s="338">
        <f t="shared" si="146"/>
        <v>18327</v>
      </c>
      <c r="M203" s="806"/>
      <c r="N203" s="1"/>
    </row>
    <row r="204" spans="1:22" ht="16.5" thickBot="1" x14ac:dyDescent="0.3">
      <c r="A204" s="858" t="s">
        <v>210</v>
      </c>
      <c r="B204" s="859"/>
      <c r="C204" s="339">
        <f t="shared" ref="C204:L204" si="148">C202-C203</f>
        <v>709406</v>
      </c>
      <c r="D204" s="339">
        <f t="shared" si="148"/>
        <v>709406</v>
      </c>
      <c r="E204" s="339">
        <f t="shared" si="148"/>
        <v>692376</v>
      </c>
      <c r="F204" s="339">
        <f t="shared" si="148"/>
        <v>692376</v>
      </c>
      <c r="G204" s="339">
        <f t="shared" si="148"/>
        <v>692376</v>
      </c>
      <c r="H204" s="339">
        <f t="shared" si="148"/>
        <v>692376</v>
      </c>
      <c r="I204" s="339">
        <f t="shared" si="148"/>
        <v>692376</v>
      </c>
      <c r="J204" s="339">
        <f t="shared" ref="J204:K204" si="149">J202-J203</f>
        <v>692376</v>
      </c>
      <c r="K204" s="339">
        <f t="shared" si="149"/>
        <v>692376</v>
      </c>
      <c r="L204" s="339">
        <f t="shared" si="148"/>
        <v>58809</v>
      </c>
      <c r="M204" s="811"/>
      <c r="N204" s="1"/>
    </row>
    <row r="205" spans="1:22" ht="16.5" thickBot="1" x14ac:dyDescent="0.3">
      <c r="A205" s="340" t="s">
        <v>211</v>
      </c>
      <c r="B205" s="341"/>
      <c r="C205" s="342">
        <f t="shared" ref="C205:L205" si="150">C198+C201+C204</f>
        <v>0</v>
      </c>
      <c r="D205" s="342">
        <f t="shared" si="150"/>
        <v>0</v>
      </c>
      <c r="E205" s="342">
        <f t="shared" si="150"/>
        <v>0</v>
      </c>
      <c r="F205" s="342">
        <f t="shared" si="150"/>
        <v>0</v>
      </c>
      <c r="G205" s="342">
        <f t="shared" si="150"/>
        <v>0</v>
      </c>
      <c r="H205" s="342">
        <f t="shared" si="150"/>
        <v>0</v>
      </c>
      <c r="I205" s="342">
        <f t="shared" si="150"/>
        <v>0</v>
      </c>
      <c r="J205" s="342">
        <f t="shared" ref="J205:K205" si="151">J198+J201+J204</f>
        <v>0</v>
      </c>
      <c r="K205" s="342">
        <f t="shared" si="151"/>
        <v>0</v>
      </c>
      <c r="L205" s="342">
        <f t="shared" si="150"/>
        <v>266084</v>
      </c>
      <c r="M205" s="811"/>
      <c r="N205" s="1"/>
    </row>
    <row r="206" spans="1:2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22" ht="16.5" x14ac:dyDescent="0.3">
      <c r="A207" s="1"/>
      <c r="B207" s="704" t="s">
        <v>457</v>
      </c>
      <c r="C207" s="705">
        <f t="shared" ref="C207:L208" si="152">C196+C199+C202</f>
        <v>4146046</v>
      </c>
      <c r="D207" s="705">
        <f t="shared" si="152"/>
        <v>4146126</v>
      </c>
      <c r="E207" s="705">
        <f t="shared" si="152"/>
        <v>4237346</v>
      </c>
      <c r="F207" s="705">
        <f t="shared" si="152"/>
        <v>4419267</v>
      </c>
      <c r="G207" s="705">
        <f t="shared" si="152"/>
        <v>4480852</v>
      </c>
      <c r="H207" s="705">
        <f t="shared" si="152"/>
        <v>4518662</v>
      </c>
      <c r="I207" s="705">
        <f t="shared" si="152"/>
        <v>4521232</v>
      </c>
      <c r="J207" s="705">
        <f t="shared" ref="J207:K207" si="153">J196+J199+J202</f>
        <v>4521312</v>
      </c>
      <c r="K207" s="705">
        <f t="shared" si="153"/>
        <v>4526812</v>
      </c>
      <c r="L207" s="705">
        <f t="shared" si="152"/>
        <v>1110446</v>
      </c>
      <c r="M207" s="705"/>
      <c r="N207" s="1"/>
      <c r="O207" s="458">
        <f>D207-C207</f>
        <v>80</v>
      </c>
      <c r="P207" s="458">
        <f>E207-D207</f>
        <v>91220</v>
      </c>
      <c r="Q207" s="458">
        <f>F207-E207</f>
        <v>181921</v>
      </c>
      <c r="R207" s="458">
        <f>G207-F207</f>
        <v>61585</v>
      </c>
      <c r="S207" s="458">
        <f>H207-G207</f>
        <v>37810</v>
      </c>
      <c r="T207" s="458">
        <f>I207-H207</f>
        <v>2570</v>
      </c>
      <c r="U207" s="458">
        <f>J207-I207</f>
        <v>80</v>
      </c>
      <c r="V207" s="458">
        <f>K207-J207</f>
        <v>5500</v>
      </c>
    </row>
    <row r="208" spans="1:22" ht="16.5" x14ac:dyDescent="0.3">
      <c r="A208" s="1"/>
      <c r="B208" s="704" t="s">
        <v>458</v>
      </c>
      <c r="C208" s="705">
        <f t="shared" si="152"/>
        <v>4146046</v>
      </c>
      <c r="D208" s="705">
        <f t="shared" si="152"/>
        <v>4146126</v>
      </c>
      <c r="E208" s="705">
        <f t="shared" si="152"/>
        <v>4237346</v>
      </c>
      <c r="F208" s="705">
        <f t="shared" si="152"/>
        <v>4419267</v>
      </c>
      <c r="G208" s="705">
        <f t="shared" si="152"/>
        <v>4480852</v>
      </c>
      <c r="H208" s="705">
        <f t="shared" si="152"/>
        <v>4518662</v>
      </c>
      <c r="I208" s="705">
        <f t="shared" si="152"/>
        <v>4521232</v>
      </c>
      <c r="J208" s="705">
        <f t="shared" ref="J208:K208" si="154">J197+J200+J203</f>
        <v>4521312</v>
      </c>
      <c r="K208" s="705">
        <f t="shared" si="154"/>
        <v>4526812</v>
      </c>
      <c r="L208" s="705">
        <f t="shared" si="152"/>
        <v>844362</v>
      </c>
      <c r="M208" s="705"/>
      <c r="N208" s="1"/>
      <c r="O208" s="458">
        <f>D208-C208</f>
        <v>80</v>
      </c>
      <c r="P208" s="458">
        <f>E208-D208</f>
        <v>91220</v>
      </c>
      <c r="Q208" s="458">
        <f>F208-E208</f>
        <v>181921</v>
      </c>
      <c r="R208" s="458">
        <f>G208-F208</f>
        <v>61585</v>
      </c>
      <c r="S208" s="458">
        <f>H208-G208</f>
        <v>37810</v>
      </c>
      <c r="T208" s="458">
        <f>I208-H208</f>
        <v>2570</v>
      </c>
      <c r="U208" s="458">
        <f>J208-I208</f>
        <v>80</v>
      </c>
      <c r="V208" s="458">
        <f>K208-J208</f>
        <v>5500</v>
      </c>
    </row>
    <row r="209" spans="1:22" ht="16.5" x14ac:dyDescent="0.3">
      <c r="A209" s="1"/>
      <c r="B209" s="704"/>
      <c r="C209" s="705"/>
      <c r="D209" s="705"/>
      <c r="E209" s="705"/>
      <c r="F209" s="705"/>
      <c r="G209" s="705"/>
      <c r="H209" s="705"/>
      <c r="I209" s="705"/>
      <c r="J209" s="705"/>
      <c r="K209" s="705"/>
      <c r="L209" s="705"/>
      <c r="M209" s="705"/>
      <c r="N209" s="1"/>
      <c r="O209" s="458"/>
      <c r="P209" s="458"/>
      <c r="Q209" s="458"/>
      <c r="R209" s="458"/>
      <c r="S209" s="458"/>
      <c r="T209" s="458"/>
      <c r="U209" s="458"/>
      <c r="V209" s="458"/>
    </row>
    <row r="210" spans="1:22" ht="16.5" x14ac:dyDescent="0.3">
      <c r="A210" s="1"/>
      <c r="B210" s="704" t="s">
        <v>459</v>
      </c>
      <c r="C210" s="705">
        <f t="shared" ref="C210:L210" si="155">C207-C75</f>
        <v>4130016</v>
      </c>
      <c r="D210" s="705">
        <f t="shared" si="155"/>
        <v>4130096</v>
      </c>
      <c r="E210" s="705">
        <f t="shared" si="155"/>
        <v>4221316</v>
      </c>
      <c r="F210" s="705">
        <f t="shared" si="155"/>
        <v>4403237</v>
      </c>
      <c r="G210" s="705">
        <f t="shared" si="155"/>
        <v>4464822</v>
      </c>
      <c r="H210" s="705">
        <f t="shared" si="155"/>
        <v>4502632</v>
      </c>
      <c r="I210" s="705">
        <f t="shared" si="155"/>
        <v>4505202</v>
      </c>
      <c r="J210" s="705">
        <f t="shared" ref="J210:K210" si="156">J207-J75</f>
        <v>4505282</v>
      </c>
      <c r="K210" s="705">
        <f t="shared" si="156"/>
        <v>4510782</v>
      </c>
      <c r="L210" s="705">
        <f t="shared" si="155"/>
        <v>1103930</v>
      </c>
      <c r="M210" s="705"/>
      <c r="N210" s="1"/>
      <c r="O210" s="458">
        <f>D210-C210</f>
        <v>80</v>
      </c>
      <c r="P210" s="458">
        <f>E210-D210</f>
        <v>91220</v>
      </c>
      <c r="Q210" s="458">
        <f>F210-E210</f>
        <v>181921</v>
      </c>
      <c r="R210" s="458">
        <f>G210-F210</f>
        <v>61585</v>
      </c>
      <c r="S210" s="458">
        <f>H210-G210</f>
        <v>37810</v>
      </c>
      <c r="T210" s="458">
        <f>I210-H210</f>
        <v>2570</v>
      </c>
      <c r="U210" s="458">
        <f>J210-I210</f>
        <v>80</v>
      </c>
      <c r="V210" s="458">
        <f>K210-J210</f>
        <v>5500</v>
      </c>
    </row>
    <row r="211" spans="1:22" ht="16.5" x14ac:dyDescent="0.3">
      <c r="A211" s="1"/>
      <c r="B211" s="704" t="s">
        <v>460</v>
      </c>
      <c r="C211" s="705">
        <f>C208-C140</f>
        <v>3231446</v>
      </c>
      <c r="D211" s="705">
        <f>D208-D140</f>
        <v>3231526</v>
      </c>
      <c r="E211" s="705">
        <f>E208-E140</f>
        <v>3264747</v>
      </c>
      <c r="F211" s="705">
        <f>F208-F140</f>
        <v>3446668</v>
      </c>
      <c r="G211" s="705">
        <f t="shared" ref="G211:I211" si="157">G208-G140</f>
        <v>3508253</v>
      </c>
      <c r="H211" s="705">
        <f t="shared" si="157"/>
        <v>3546063</v>
      </c>
      <c r="I211" s="705">
        <f t="shared" si="157"/>
        <v>3546453</v>
      </c>
      <c r="J211" s="705">
        <f t="shared" ref="J211:K211" si="158">J208-J140</f>
        <v>3546533</v>
      </c>
      <c r="K211" s="705">
        <f t="shared" si="158"/>
        <v>3552033</v>
      </c>
      <c r="L211" s="705">
        <f>L208-L140</f>
        <v>538165</v>
      </c>
      <c r="M211" s="705"/>
      <c r="N211" s="1"/>
      <c r="O211" s="458">
        <f>D211-C211</f>
        <v>80</v>
      </c>
      <c r="P211" s="458">
        <f>E211-D211</f>
        <v>33221</v>
      </c>
      <c r="Q211" s="458">
        <f>F211-E211</f>
        <v>181921</v>
      </c>
      <c r="R211" s="458">
        <f>G211-F211</f>
        <v>61585</v>
      </c>
      <c r="S211" s="458">
        <f>H211-G211</f>
        <v>37810</v>
      </c>
      <c r="T211" s="458">
        <f>I211-H211</f>
        <v>390</v>
      </c>
      <c r="U211" s="458">
        <f>J211-I211</f>
        <v>80</v>
      </c>
      <c r="V211" s="458">
        <f>K211-J211</f>
        <v>5500</v>
      </c>
    </row>
    <row r="212" spans="1:22" ht="16.5" x14ac:dyDescent="0.3">
      <c r="A212" s="1"/>
      <c r="B212" s="704"/>
      <c r="C212" s="705"/>
      <c r="D212" s="705"/>
      <c r="E212" s="705"/>
      <c r="F212" s="705"/>
      <c r="G212" s="705"/>
      <c r="H212" s="705"/>
      <c r="I212" s="705"/>
      <c r="J212" s="705"/>
      <c r="K212" s="705"/>
      <c r="L212" s="705"/>
      <c r="M212" s="705"/>
      <c r="N212" s="1"/>
      <c r="O212" s="458"/>
      <c r="P212" s="458"/>
      <c r="Q212" s="458"/>
      <c r="R212" s="458"/>
      <c r="S212" s="458"/>
      <c r="T212" s="458"/>
      <c r="U212" s="458"/>
      <c r="V212" s="458"/>
    </row>
    <row r="213" spans="1:22" ht="16.5" x14ac:dyDescent="0.3">
      <c r="A213" s="1"/>
      <c r="B213" s="706" t="s">
        <v>461</v>
      </c>
      <c r="C213" s="707">
        <f t="shared" ref="C213:L214" si="159">C207-C210</f>
        <v>16030</v>
      </c>
      <c r="D213" s="707">
        <f t="shared" si="159"/>
        <v>16030</v>
      </c>
      <c r="E213" s="707">
        <f t="shared" si="159"/>
        <v>16030</v>
      </c>
      <c r="F213" s="707">
        <f t="shared" si="159"/>
        <v>16030</v>
      </c>
      <c r="G213" s="707">
        <f t="shared" si="159"/>
        <v>16030</v>
      </c>
      <c r="H213" s="707">
        <f t="shared" si="159"/>
        <v>16030</v>
      </c>
      <c r="I213" s="707">
        <f t="shared" si="159"/>
        <v>16030</v>
      </c>
      <c r="J213" s="707">
        <f t="shared" ref="J213:K213" si="160">J207-J210</f>
        <v>16030</v>
      </c>
      <c r="K213" s="707">
        <f t="shared" si="160"/>
        <v>16030</v>
      </c>
      <c r="L213" s="707">
        <f t="shared" si="159"/>
        <v>6516</v>
      </c>
      <c r="M213" s="707"/>
      <c r="N213" s="1"/>
      <c r="O213" s="458">
        <f>D213-C213</f>
        <v>0</v>
      </c>
      <c r="P213" s="458">
        <f>E213-D213</f>
        <v>0</v>
      </c>
      <c r="Q213" s="458">
        <f>F213-E213</f>
        <v>0</v>
      </c>
      <c r="R213" s="458">
        <f>G213-F213</f>
        <v>0</v>
      </c>
      <c r="S213" s="458">
        <f>H213-G213</f>
        <v>0</v>
      </c>
      <c r="T213" s="458">
        <f>I213-H213</f>
        <v>0</v>
      </c>
      <c r="U213" s="458">
        <f>J213-I213</f>
        <v>0</v>
      </c>
      <c r="V213" s="458">
        <f>K213-J213</f>
        <v>0</v>
      </c>
    </row>
    <row r="214" spans="1:22" ht="16.5" x14ac:dyDescent="0.3">
      <c r="A214" s="104"/>
      <c r="B214" s="706" t="s">
        <v>462</v>
      </c>
      <c r="C214" s="707">
        <f t="shared" si="159"/>
        <v>914600</v>
      </c>
      <c r="D214" s="707">
        <f t="shared" si="159"/>
        <v>914600</v>
      </c>
      <c r="E214" s="707">
        <f t="shared" si="159"/>
        <v>972599</v>
      </c>
      <c r="F214" s="707">
        <f t="shared" si="159"/>
        <v>972599</v>
      </c>
      <c r="G214" s="707">
        <f t="shared" si="159"/>
        <v>972599</v>
      </c>
      <c r="H214" s="707">
        <f t="shared" si="159"/>
        <v>972599</v>
      </c>
      <c r="I214" s="707">
        <f t="shared" si="159"/>
        <v>974779</v>
      </c>
      <c r="J214" s="707">
        <f t="shared" ref="J214:K214" si="161">J208-J211</f>
        <v>974779</v>
      </c>
      <c r="K214" s="707">
        <f t="shared" si="161"/>
        <v>974779</v>
      </c>
      <c r="L214" s="707">
        <f t="shared" si="159"/>
        <v>306197</v>
      </c>
      <c r="M214" s="707"/>
      <c r="N214" s="1"/>
      <c r="O214" s="458">
        <f>D214-C214</f>
        <v>0</v>
      </c>
      <c r="P214" s="458">
        <f>E214-D214</f>
        <v>57999</v>
      </c>
      <c r="Q214" s="458">
        <f>F214-E214</f>
        <v>0</v>
      </c>
      <c r="R214" s="458">
        <f>G214-F214</f>
        <v>0</v>
      </c>
      <c r="S214" s="458">
        <f>H214-G214</f>
        <v>0</v>
      </c>
      <c r="T214" s="458">
        <f>I214-H214</f>
        <v>2180</v>
      </c>
      <c r="U214" s="458">
        <f>J214-I214</f>
        <v>0</v>
      </c>
      <c r="V214" s="458">
        <f>K214-J214</f>
        <v>0</v>
      </c>
    </row>
    <row r="215" spans="1:22" ht="16.5" x14ac:dyDescent="0.3">
      <c r="A215" s="1"/>
      <c r="B215" s="704" t="s">
        <v>365</v>
      </c>
      <c r="C215" s="707">
        <f t="shared" ref="C215:L215" si="162">C214-C213+C205</f>
        <v>898570</v>
      </c>
      <c r="D215" s="707">
        <f t="shared" si="162"/>
        <v>898570</v>
      </c>
      <c r="E215" s="707">
        <f t="shared" si="162"/>
        <v>956569</v>
      </c>
      <c r="F215" s="707">
        <f t="shared" si="162"/>
        <v>956569</v>
      </c>
      <c r="G215" s="707">
        <f t="shared" si="162"/>
        <v>956569</v>
      </c>
      <c r="H215" s="707">
        <f t="shared" si="162"/>
        <v>956569</v>
      </c>
      <c r="I215" s="707">
        <f t="shared" si="162"/>
        <v>958749</v>
      </c>
      <c r="J215" s="707">
        <f t="shared" ref="J215:K215" si="163">J214-J213+J205</f>
        <v>958749</v>
      </c>
      <c r="K215" s="707">
        <f t="shared" si="163"/>
        <v>958749</v>
      </c>
      <c r="L215" s="707">
        <f t="shared" si="162"/>
        <v>565765</v>
      </c>
      <c r="M215" s="707"/>
      <c r="N215" s="1"/>
      <c r="O215" s="458">
        <f>D215-C215</f>
        <v>0</v>
      </c>
      <c r="P215" s="458">
        <f>E215-D215</f>
        <v>57999</v>
      </c>
      <c r="Q215" s="458">
        <f>F215-E215</f>
        <v>0</v>
      </c>
      <c r="R215" s="458">
        <f>G215-F215</f>
        <v>0</v>
      </c>
      <c r="S215" s="458">
        <f>H215-G215</f>
        <v>0</v>
      </c>
      <c r="T215" s="458">
        <f>I215-H215</f>
        <v>2180</v>
      </c>
      <c r="U215" s="458">
        <f>J215-I215</f>
        <v>0</v>
      </c>
      <c r="V215" s="458">
        <f>K215-J215</f>
        <v>0</v>
      </c>
    </row>
    <row r="216" spans="1:22" x14ac:dyDescent="0.25">
      <c r="A216" s="1"/>
      <c r="B216" s="1"/>
      <c r="C216" s="531"/>
      <c r="D216" s="531"/>
      <c r="E216" s="531"/>
      <c r="F216" s="531"/>
      <c r="G216" s="531"/>
      <c r="H216" s="531"/>
      <c r="I216" s="531"/>
      <c r="J216" s="531"/>
      <c r="K216" s="531"/>
      <c r="L216" s="531"/>
      <c r="M216" s="531"/>
      <c r="N216" s="1"/>
    </row>
    <row r="217" spans="1:22" x14ac:dyDescent="0.25">
      <c r="A217" s="1"/>
      <c r="B217" s="345" t="s">
        <v>216</v>
      </c>
      <c r="C217" s="554"/>
      <c r="D217" s="345"/>
      <c r="E217" s="345"/>
      <c r="F217" s="345"/>
      <c r="G217" s="345"/>
      <c r="H217" s="345"/>
      <c r="I217" s="345"/>
      <c r="J217" s="345"/>
      <c r="K217" s="345"/>
      <c r="L217" s="345"/>
      <c r="M217" s="345"/>
      <c r="N217" s="1"/>
    </row>
    <row r="218" spans="1:22" x14ac:dyDescent="0.25">
      <c r="A218" s="1"/>
      <c r="B218" s="345" t="s">
        <v>455</v>
      </c>
      <c r="C218" s="345"/>
      <c r="D218" s="345"/>
      <c r="E218" s="345"/>
      <c r="F218" s="345"/>
      <c r="G218" s="345"/>
      <c r="H218" s="345"/>
      <c r="I218" s="345"/>
      <c r="J218" s="345"/>
      <c r="K218" s="345"/>
      <c r="L218" s="345"/>
      <c r="M218" s="345"/>
      <c r="N218" s="1"/>
    </row>
    <row r="219" spans="1:22" x14ac:dyDescent="0.25">
      <c r="A219" s="1"/>
      <c r="B219" s="345"/>
      <c r="C219" s="345"/>
      <c r="D219" s="345"/>
      <c r="E219" s="345"/>
      <c r="F219" s="345"/>
      <c r="G219" s="345"/>
      <c r="H219" s="345"/>
      <c r="I219" s="345"/>
      <c r="J219" s="345"/>
      <c r="K219" s="345"/>
      <c r="L219" s="345"/>
      <c r="M219" s="345"/>
      <c r="N219" s="1"/>
    </row>
    <row r="220" spans="1:22" x14ac:dyDescent="0.25">
      <c r="A220" s="1"/>
      <c r="B220" s="347" t="s">
        <v>456</v>
      </c>
      <c r="C220" s="345"/>
      <c r="D220" s="345"/>
      <c r="E220" s="345"/>
      <c r="F220" s="345"/>
      <c r="G220" s="345"/>
      <c r="H220" s="345"/>
      <c r="I220" s="345"/>
      <c r="J220" s="345"/>
      <c r="K220" s="345"/>
      <c r="L220" s="345"/>
      <c r="M220" s="345"/>
      <c r="N220" s="1"/>
    </row>
    <row r="221" spans="1:22" x14ac:dyDescent="0.25">
      <c r="A221" s="1"/>
      <c r="B221" s="347"/>
      <c r="C221" s="345"/>
      <c r="D221" s="345"/>
      <c r="E221" s="345"/>
      <c r="F221" s="345"/>
      <c r="G221" s="345"/>
      <c r="H221" s="345"/>
      <c r="I221" s="345"/>
      <c r="J221" s="345"/>
      <c r="K221" s="345"/>
      <c r="L221" s="345"/>
      <c r="M221" s="345"/>
      <c r="N221" s="1"/>
    </row>
    <row r="222" spans="1:22" x14ac:dyDescent="0.25">
      <c r="A222" s="1"/>
      <c r="B222" s="346" t="s">
        <v>686</v>
      </c>
      <c r="C222" s="345"/>
      <c r="D222" s="345"/>
      <c r="E222" s="345"/>
      <c r="F222" s="345"/>
      <c r="G222" s="345"/>
      <c r="H222" s="345"/>
      <c r="I222" s="345"/>
      <c r="J222" s="345"/>
      <c r="K222" s="345"/>
      <c r="L222" s="345"/>
      <c r="M222" s="345"/>
      <c r="N222" s="1"/>
    </row>
    <row r="223" spans="1:22" x14ac:dyDescent="0.25">
      <c r="A223" s="1"/>
      <c r="B223" s="345" t="s">
        <v>685</v>
      </c>
      <c r="C223" s="345"/>
      <c r="D223" s="345"/>
      <c r="E223" s="345"/>
      <c r="F223" s="345"/>
      <c r="G223" s="345"/>
      <c r="H223" s="345"/>
      <c r="I223" s="345"/>
      <c r="J223" s="345"/>
      <c r="K223" s="345"/>
      <c r="L223" s="345"/>
      <c r="M223" s="345"/>
      <c r="N223" s="1"/>
    </row>
    <row r="224" spans="1:22" x14ac:dyDescent="0.25">
      <c r="A224" s="1"/>
      <c r="B224" s="345" t="s">
        <v>687</v>
      </c>
      <c r="C224" s="345"/>
      <c r="D224" s="345"/>
      <c r="E224" s="345"/>
      <c r="F224" s="345"/>
      <c r="G224" s="345"/>
      <c r="H224" s="345"/>
      <c r="I224" s="345"/>
      <c r="J224" s="345"/>
      <c r="K224" s="345"/>
      <c r="L224" s="345"/>
      <c r="M224" s="345"/>
      <c r="N224" s="1"/>
    </row>
    <row r="225" spans="1:14" x14ac:dyDescent="0.25">
      <c r="A225" s="1"/>
      <c r="B225" s="345"/>
      <c r="C225" s="345"/>
      <c r="D225" s="345"/>
      <c r="E225" s="345"/>
      <c r="F225" s="345"/>
      <c r="G225" s="345"/>
      <c r="H225" s="345"/>
      <c r="I225" s="345"/>
      <c r="J225" s="345"/>
      <c r="K225" s="345"/>
      <c r="L225" s="345"/>
      <c r="M225" s="345"/>
      <c r="N225" s="1"/>
    </row>
    <row r="226" spans="1:14" x14ac:dyDescent="0.25">
      <c r="A226" s="1"/>
      <c r="B226" s="347" t="s">
        <v>567</v>
      </c>
      <c r="C226" s="345"/>
      <c r="D226" s="345"/>
      <c r="E226" s="345"/>
      <c r="F226" s="345"/>
      <c r="G226" s="345"/>
      <c r="H226" s="345"/>
      <c r="I226" s="345"/>
      <c r="J226" s="345"/>
      <c r="K226" s="345"/>
      <c r="L226" s="345"/>
      <c r="M226" s="345"/>
      <c r="N226" s="1"/>
    </row>
    <row r="227" spans="1:14" x14ac:dyDescent="0.25">
      <c r="A227" s="1"/>
      <c r="B227" s="347" t="s">
        <v>653</v>
      </c>
      <c r="C227" s="345"/>
      <c r="D227" s="345"/>
      <c r="E227" s="345"/>
      <c r="F227" s="345"/>
      <c r="G227" s="345"/>
      <c r="H227" s="345"/>
      <c r="I227" s="345"/>
      <c r="J227" s="345"/>
      <c r="K227" s="345"/>
      <c r="L227" s="345"/>
      <c r="M227" s="345"/>
      <c r="N227" s="1"/>
    </row>
    <row r="228" spans="1:14" x14ac:dyDescent="0.25">
      <c r="A228" s="1"/>
      <c r="B228" s="347" t="s">
        <v>688</v>
      </c>
      <c r="C228" s="345"/>
      <c r="D228" s="345"/>
      <c r="E228" s="345"/>
      <c r="F228" s="345"/>
      <c r="G228" s="345"/>
      <c r="H228" s="345"/>
      <c r="I228" s="345"/>
      <c r="J228" s="345"/>
      <c r="K228" s="345"/>
      <c r="L228" s="345"/>
      <c r="M228" s="345"/>
      <c r="N228" s="1"/>
    </row>
    <row r="229" spans="1:14" x14ac:dyDescent="0.25">
      <c r="A229" s="1"/>
      <c r="B229" s="34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34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34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34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</sheetData>
  <mergeCells count="24">
    <mergeCell ref="A139:B139"/>
    <mergeCell ref="A1:L1"/>
    <mergeCell ref="A2:B2"/>
    <mergeCell ref="A3:B3"/>
    <mergeCell ref="A11:B11"/>
    <mergeCell ref="A72:B72"/>
    <mergeCell ref="A74:B74"/>
    <mergeCell ref="A75:B75"/>
    <mergeCell ref="A79:L79"/>
    <mergeCell ref="A80:B80"/>
    <mergeCell ref="A96:B96"/>
    <mergeCell ref="A135:B135"/>
    <mergeCell ref="A204:B204"/>
    <mergeCell ref="A140:B140"/>
    <mergeCell ref="A144:L144"/>
    <mergeCell ref="A145:B145"/>
    <mergeCell ref="A146:B146"/>
    <mergeCell ref="A154:B154"/>
    <mergeCell ref="A171:L171"/>
    <mergeCell ref="A172:B172"/>
    <mergeCell ref="A194:L194"/>
    <mergeCell ref="A195:B195"/>
    <mergeCell ref="A198:B198"/>
    <mergeCell ref="A201:B201"/>
  </mergeCells>
  <pageMargins left="0.7" right="0.7" top="0.75" bottom="0.75" header="0.3" footer="0.3"/>
  <pageSetup paperSize="9" scale="31" fitToHeight="0" orientation="portrait" r:id="rId1"/>
  <headerFooter>
    <oddHeader xml:space="preserve">&amp;CRozpočet obce Heľpa na rok 2023
3.zmena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2"/>
  <sheetViews>
    <sheetView zoomScale="112" zoomScaleNormal="112" workbookViewId="0">
      <selection sqref="A1:J1"/>
    </sheetView>
  </sheetViews>
  <sheetFormatPr defaultRowHeight="15" x14ac:dyDescent="0.25"/>
  <cols>
    <col min="1" max="1" width="6" customWidth="1"/>
    <col min="2" max="2" width="62.140625" customWidth="1"/>
    <col min="3" max="4" width="12.5703125" customWidth="1"/>
    <col min="5" max="5" width="12.28515625" customWidth="1"/>
    <col min="6" max="9" width="12.5703125" customWidth="1"/>
    <col min="10" max="10" width="13.85546875" customWidth="1"/>
    <col min="11" max="11" width="6" customWidth="1"/>
    <col min="12" max="15" width="12.5703125" customWidth="1"/>
  </cols>
  <sheetData>
    <row r="1" spans="1:13" ht="18.75" thickBot="1" x14ac:dyDescent="0.3">
      <c r="A1" s="876" t="s">
        <v>0</v>
      </c>
      <c r="B1" s="877"/>
      <c r="C1" s="877"/>
      <c r="D1" s="877"/>
      <c r="E1" s="877"/>
      <c r="F1" s="877"/>
      <c r="G1" s="877"/>
      <c r="H1" s="877"/>
      <c r="I1" s="877"/>
      <c r="J1" s="877"/>
      <c r="K1" s="804"/>
      <c r="L1" s="1"/>
    </row>
    <row r="2" spans="1:13" ht="15.75" thickBot="1" x14ac:dyDescent="0.3">
      <c r="A2" s="878" t="s">
        <v>1</v>
      </c>
      <c r="B2" s="879"/>
      <c r="C2" s="413" t="s">
        <v>454</v>
      </c>
      <c r="D2" s="413" t="s">
        <v>496</v>
      </c>
      <c r="E2" s="413" t="s">
        <v>547</v>
      </c>
      <c r="F2" s="413" t="s">
        <v>497</v>
      </c>
      <c r="G2" s="413" t="s">
        <v>568</v>
      </c>
      <c r="H2" s="413" t="s">
        <v>569</v>
      </c>
      <c r="I2" s="413" t="s">
        <v>641</v>
      </c>
      <c r="J2" s="413" t="s">
        <v>642</v>
      </c>
      <c r="K2" s="805" t="s">
        <v>621</v>
      </c>
      <c r="L2" s="1"/>
    </row>
    <row r="3" spans="1:13" ht="15.75" thickBot="1" x14ac:dyDescent="0.3">
      <c r="A3" s="880" t="s">
        <v>4</v>
      </c>
      <c r="B3" s="881"/>
      <c r="C3" s="2">
        <f t="shared" ref="C3:J3" si="0">SUM(C4:C10)</f>
        <v>1452500</v>
      </c>
      <c r="D3" s="2">
        <f t="shared" ref="D3:H3" si="1">SUM(D4:D10)</f>
        <v>1452500</v>
      </c>
      <c r="E3" s="2">
        <f t="shared" si="1"/>
        <v>1452500</v>
      </c>
      <c r="F3" s="2">
        <f t="shared" si="1"/>
        <v>1452500</v>
      </c>
      <c r="G3" s="2">
        <f t="shared" si="1"/>
        <v>1452500</v>
      </c>
      <c r="H3" s="2">
        <f t="shared" si="1"/>
        <v>1459500</v>
      </c>
      <c r="I3" s="2">
        <f t="shared" ref="I3" si="2">SUM(I4:I10)</f>
        <v>1459500</v>
      </c>
      <c r="J3" s="2">
        <f t="shared" si="0"/>
        <v>613643</v>
      </c>
      <c r="K3" s="808">
        <f>J3/I3</f>
        <v>0.4204474134977732</v>
      </c>
      <c r="L3" s="803"/>
    </row>
    <row r="4" spans="1:13" ht="15.75" thickBot="1" x14ac:dyDescent="0.3">
      <c r="A4" s="3">
        <v>111</v>
      </c>
      <c r="B4" s="124" t="s">
        <v>5</v>
      </c>
      <c r="C4" s="6">
        <v>1368000</v>
      </c>
      <c r="D4" s="6">
        <v>1368000</v>
      </c>
      <c r="E4" s="6">
        <v>1368000</v>
      </c>
      <c r="F4" s="6">
        <v>1368000</v>
      </c>
      <c r="G4" s="6">
        <v>1368000</v>
      </c>
      <c r="H4" s="795">
        <f>1368000+7000</f>
        <v>1375000</v>
      </c>
      <c r="I4" s="6">
        <f>1368000+7000</f>
        <v>1375000</v>
      </c>
      <c r="J4" s="6">
        <v>582237</v>
      </c>
      <c r="K4" s="808">
        <f t="shared" ref="K4:K66" si="3">J4/I4</f>
        <v>0.42344509090909088</v>
      </c>
      <c r="L4" s="1"/>
    </row>
    <row r="5" spans="1:13" ht="15.75" thickBot="1" x14ac:dyDescent="0.3">
      <c r="A5" s="7">
        <v>121</v>
      </c>
      <c r="B5" s="350" t="s">
        <v>6</v>
      </c>
      <c r="C5" s="11">
        <v>43200</v>
      </c>
      <c r="D5" s="11">
        <v>43200</v>
      </c>
      <c r="E5" s="11">
        <v>43200</v>
      </c>
      <c r="F5" s="11">
        <v>43200</v>
      </c>
      <c r="G5" s="11">
        <v>43200</v>
      </c>
      <c r="H5" s="11">
        <v>43200</v>
      </c>
      <c r="I5" s="11">
        <v>43200</v>
      </c>
      <c r="J5" s="11">
        <v>17398</v>
      </c>
      <c r="K5" s="808">
        <f t="shared" si="3"/>
        <v>0.40273148148148147</v>
      </c>
      <c r="L5" s="1"/>
    </row>
    <row r="6" spans="1:13" x14ac:dyDescent="0.25">
      <c r="A6" s="12">
        <v>133</v>
      </c>
      <c r="B6" s="351" t="s">
        <v>7</v>
      </c>
      <c r="C6" s="16">
        <v>1100</v>
      </c>
      <c r="D6" s="16">
        <v>1100</v>
      </c>
      <c r="E6" s="16">
        <v>1100</v>
      </c>
      <c r="F6" s="16">
        <v>1100</v>
      </c>
      <c r="G6" s="16">
        <v>1100</v>
      </c>
      <c r="H6" s="16">
        <v>1100</v>
      </c>
      <c r="I6" s="16">
        <v>1100</v>
      </c>
      <c r="J6" s="16">
        <v>813</v>
      </c>
      <c r="K6" s="808">
        <f t="shared" si="3"/>
        <v>0.73909090909090913</v>
      </c>
      <c r="L6" s="1"/>
    </row>
    <row r="7" spans="1:13" x14ac:dyDescent="0.25">
      <c r="A7" s="17">
        <v>133</v>
      </c>
      <c r="B7" s="352" t="s">
        <v>8</v>
      </c>
      <c r="C7" s="21">
        <v>200</v>
      </c>
      <c r="D7" s="21">
        <v>200</v>
      </c>
      <c r="E7" s="21">
        <v>200</v>
      </c>
      <c r="F7" s="21">
        <v>200</v>
      </c>
      <c r="G7" s="21">
        <v>200</v>
      </c>
      <c r="H7" s="21">
        <v>200</v>
      </c>
      <c r="I7" s="21">
        <v>200</v>
      </c>
      <c r="J7" s="21">
        <v>160</v>
      </c>
      <c r="K7" s="808">
        <f t="shared" si="3"/>
        <v>0.8</v>
      </c>
      <c r="L7" s="1"/>
    </row>
    <row r="8" spans="1:13" x14ac:dyDescent="0.25">
      <c r="A8" s="17">
        <v>133</v>
      </c>
      <c r="B8" s="352" t="s">
        <v>9</v>
      </c>
      <c r="C8" s="21">
        <v>2000</v>
      </c>
      <c r="D8" s="21">
        <v>2000</v>
      </c>
      <c r="E8" s="21">
        <v>2000</v>
      </c>
      <c r="F8" s="21">
        <v>2000</v>
      </c>
      <c r="G8" s="21">
        <v>2000</v>
      </c>
      <c r="H8" s="21">
        <v>2000</v>
      </c>
      <c r="I8" s="21">
        <v>2000</v>
      </c>
      <c r="J8" s="21">
        <v>593</v>
      </c>
      <c r="K8" s="808">
        <f t="shared" si="3"/>
        <v>0.29649999999999999</v>
      </c>
      <c r="L8" s="1"/>
    </row>
    <row r="9" spans="1:13" x14ac:dyDescent="0.25">
      <c r="A9" s="17">
        <v>133</v>
      </c>
      <c r="B9" s="352" t="s">
        <v>10</v>
      </c>
      <c r="C9" s="21">
        <v>6000</v>
      </c>
      <c r="D9" s="21">
        <v>6000</v>
      </c>
      <c r="E9" s="21">
        <v>6000</v>
      </c>
      <c r="F9" s="21">
        <v>6000</v>
      </c>
      <c r="G9" s="21">
        <v>6000</v>
      </c>
      <c r="H9" s="21">
        <v>6000</v>
      </c>
      <c r="I9" s="21">
        <v>6000</v>
      </c>
      <c r="J9" s="21">
        <v>475</v>
      </c>
      <c r="K9" s="808">
        <f t="shared" si="3"/>
        <v>7.9166666666666663E-2</v>
      </c>
      <c r="L9" s="1"/>
    </row>
    <row r="10" spans="1:13" ht="15.75" thickBot="1" x14ac:dyDescent="0.3">
      <c r="A10" s="22">
        <v>133</v>
      </c>
      <c r="B10" s="353" t="s">
        <v>11</v>
      </c>
      <c r="C10" s="26">
        <v>32000</v>
      </c>
      <c r="D10" s="26">
        <v>32000</v>
      </c>
      <c r="E10" s="26">
        <v>32000</v>
      </c>
      <c r="F10" s="26">
        <v>32000</v>
      </c>
      <c r="G10" s="26">
        <v>32000</v>
      </c>
      <c r="H10" s="26">
        <v>32000</v>
      </c>
      <c r="I10" s="26">
        <v>32000</v>
      </c>
      <c r="J10" s="26">
        <v>11967</v>
      </c>
      <c r="K10" s="808">
        <f t="shared" si="3"/>
        <v>0.37396875000000002</v>
      </c>
      <c r="L10" s="27"/>
    </row>
    <row r="11" spans="1:13" ht="15.75" thickBot="1" x14ac:dyDescent="0.3">
      <c r="A11" s="880" t="s">
        <v>12</v>
      </c>
      <c r="B11" s="881"/>
      <c r="C11" s="354">
        <f t="shared" ref="C11:J11" si="4">SUM(C12:C31)</f>
        <v>245915</v>
      </c>
      <c r="D11" s="354">
        <f t="shared" si="4"/>
        <v>245915</v>
      </c>
      <c r="E11" s="354">
        <f t="shared" si="4"/>
        <v>245915</v>
      </c>
      <c r="F11" s="354">
        <f t="shared" si="4"/>
        <v>246415</v>
      </c>
      <c r="G11" s="354">
        <f t="shared" si="4"/>
        <v>246415</v>
      </c>
      <c r="H11" s="354">
        <f t="shared" si="4"/>
        <v>247225</v>
      </c>
      <c r="I11" s="354">
        <f t="shared" ref="I11" si="5">SUM(I12:I31)</f>
        <v>247255</v>
      </c>
      <c r="J11" s="354">
        <f t="shared" si="4"/>
        <v>75584</v>
      </c>
      <c r="K11" s="808">
        <f t="shared" si="3"/>
        <v>0.30569250369052192</v>
      </c>
      <c r="L11" s="1"/>
    </row>
    <row r="12" spans="1:13" x14ac:dyDescent="0.25">
      <c r="A12" s="28">
        <v>212</v>
      </c>
      <c r="B12" s="29" t="s">
        <v>13</v>
      </c>
      <c r="C12" s="32">
        <v>1294</v>
      </c>
      <c r="D12" s="32">
        <v>1294</v>
      </c>
      <c r="E12" s="32">
        <v>1294</v>
      </c>
      <c r="F12" s="740">
        <f>1294+119</f>
        <v>1413</v>
      </c>
      <c r="G12" s="32">
        <f t="shared" ref="G12" si="6">1294+119</f>
        <v>1413</v>
      </c>
      <c r="H12" s="740">
        <f>1294+119+810</f>
        <v>2223</v>
      </c>
      <c r="I12" s="32">
        <f>1294+119+810</f>
        <v>2223</v>
      </c>
      <c r="J12" s="32">
        <v>527</v>
      </c>
      <c r="K12" s="808">
        <f t="shared" si="3"/>
        <v>0.23706702654071074</v>
      </c>
      <c r="L12" s="1"/>
    </row>
    <row r="13" spans="1:13" x14ac:dyDescent="0.25">
      <c r="A13" s="12">
        <v>212</v>
      </c>
      <c r="B13" s="13" t="s">
        <v>14</v>
      </c>
      <c r="C13" s="16">
        <v>1000</v>
      </c>
      <c r="D13" s="16">
        <v>1000</v>
      </c>
      <c r="E13" s="16">
        <v>1000</v>
      </c>
      <c r="F13" s="16">
        <v>1000</v>
      </c>
      <c r="G13" s="16">
        <v>1000</v>
      </c>
      <c r="H13" s="16">
        <v>1000</v>
      </c>
      <c r="I13" s="16">
        <v>1000</v>
      </c>
      <c r="J13" s="16">
        <v>160</v>
      </c>
      <c r="K13" s="808">
        <f t="shared" si="3"/>
        <v>0.16</v>
      </c>
      <c r="L13" s="27"/>
    </row>
    <row r="14" spans="1:13" x14ac:dyDescent="0.25">
      <c r="A14" s="17">
        <v>212</v>
      </c>
      <c r="B14" s="18" t="s">
        <v>15</v>
      </c>
      <c r="C14" s="33">
        <v>3713</v>
      </c>
      <c r="D14" s="33">
        <v>3713</v>
      </c>
      <c r="E14" s="33">
        <v>3713</v>
      </c>
      <c r="F14" s="715">
        <f>3713-119</f>
        <v>3594</v>
      </c>
      <c r="G14" s="33">
        <f t="shared" ref="G14:I14" si="7">3713-119</f>
        <v>3594</v>
      </c>
      <c r="H14" s="33">
        <f t="shared" si="7"/>
        <v>3594</v>
      </c>
      <c r="I14" s="33">
        <f t="shared" si="7"/>
        <v>3594</v>
      </c>
      <c r="J14" s="33">
        <v>1083</v>
      </c>
      <c r="K14" s="808">
        <f t="shared" si="3"/>
        <v>0.30133555926544242</v>
      </c>
      <c r="L14" s="1"/>
    </row>
    <row r="15" spans="1:13" x14ac:dyDescent="0.25">
      <c r="A15" s="17">
        <v>212</v>
      </c>
      <c r="B15" s="18" t="s">
        <v>16</v>
      </c>
      <c r="C15" s="21">
        <v>19848</v>
      </c>
      <c r="D15" s="21">
        <v>19848</v>
      </c>
      <c r="E15" s="21">
        <v>19848</v>
      </c>
      <c r="F15" s="21">
        <v>19848</v>
      </c>
      <c r="G15" s="21">
        <v>19848</v>
      </c>
      <c r="H15" s="21">
        <v>19848</v>
      </c>
      <c r="I15" s="21">
        <v>19848</v>
      </c>
      <c r="J15" s="21">
        <v>5711</v>
      </c>
      <c r="K15" s="808">
        <f t="shared" si="3"/>
        <v>0.28773679967754939</v>
      </c>
      <c r="L15" s="27"/>
    </row>
    <row r="16" spans="1:13" ht="15.75" thickBot="1" x14ac:dyDescent="0.3">
      <c r="A16" s="35">
        <v>212</v>
      </c>
      <c r="B16" s="36" t="s">
        <v>17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808">
        <v>0</v>
      </c>
      <c r="L16" s="458">
        <f>SUM(I12:I16)</f>
        <v>26665</v>
      </c>
      <c r="M16" s="458">
        <f>SUM(J12:J16)</f>
        <v>7481</v>
      </c>
    </row>
    <row r="17" spans="1:13" ht="15.75" thickBot="1" x14ac:dyDescent="0.3">
      <c r="A17" s="7">
        <v>221</v>
      </c>
      <c r="B17" s="8" t="s">
        <v>18</v>
      </c>
      <c r="C17" s="41">
        <v>5100</v>
      </c>
      <c r="D17" s="41">
        <v>5100</v>
      </c>
      <c r="E17" s="41">
        <v>5100</v>
      </c>
      <c r="F17" s="41">
        <v>5100</v>
      </c>
      <c r="G17" s="41">
        <v>5100</v>
      </c>
      <c r="H17" s="41">
        <v>5100</v>
      </c>
      <c r="I17" s="41">
        <v>5100</v>
      </c>
      <c r="J17" s="41">
        <v>1613</v>
      </c>
      <c r="K17" s="808">
        <f t="shared" si="3"/>
        <v>0.31627450980392158</v>
      </c>
      <c r="L17" s="1"/>
    </row>
    <row r="18" spans="1:13" ht="15.75" thickBot="1" x14ac:dyDescent="0.3">
      <c r="A18" s="35">
        <v>222</v>
      </c>
      <c r="B18" s="36" t="s">
        <v>19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818">
        <v>30</v>
      </c>
      <c r="J18" s="39">
        <v>30</v>
      </c>
      <c r="K18" s="808">
        <f t="shared" si="3"/>
        <v>1</v>
      </c>
      <c r="L18" s="1"/>
    </row>
    <row r="19" spans="1:13" x14ac:dyDescent="0.25">
      <c r="A19" s="12">
        <v>223</v>
      </c>
      <c r="B19" s="13" t="s">
        <v>20</v>
      </c>
      <c r="C19" s="16">
        <v>750</v>
      </c>
      <c r="D19" s="16">
        <v>750</v>
      </c>
      <c r="E19" s="16">
        <v>750</v>
      </c>
      <c r="F19" s="16">
        <v>750</v>
      </c>
      <c r="G19" s="16">
        <v>750</v>
      </c>
      <c r="H19" s="16">
        <v>750</v>
      </c>
      <c r="I19" s="16">
        <v>750</v>
      </c>
      <c r="J19" s="16">
        <v>69</v>
      </c>
      <c r="K19" s="808">
        <f t="shared" si="3"/>
        <v>9.1999999999999998E-2</v>
      </c>
      <c r="L19" s="1"/>
    </row>
    <row r="20" spans="1:13" x14ac:dyDescent="0.25">
      <c r="A20" s="17">
        <v>223</v>
      </c>
      <c r="B20" s="18" t="s">
        <v>21</v>
      </c>
      <c r="C20" s="21">
        <f t="shared" ref="C20:I20" si="8">19000+3000</f>
        <v>22000</v>
      </c>
      <c r="D20" s="21">
        <f t="shared" si="8"/>
        <v>22000</v>
      </c>
      <c r="E20" s="21">
        <f t="shared" si="8"/>
        <v>22000</v>
      </c>
      <c r="F20" s="21">
        <f t="shared" si="8"/>
        <v>22000</v>
      </c>
      <c r="G20" s="21">
        <f t="shared" si="8"/>
        <v>22000</v>
      </c>
      <c r="H20" s="21">
        <f t="shared" si="8"/>
        <v>22000</v>
      </c>
      <c r="I20" s="21">
        <f t="shared" si="8"/>
        <v>22000</v>
      </c>
      <c r="J20" s="21">
        <v>5472</v>
      </c>
      <c r="K20" s="808">
        <f t="shared" si="3"/>
        <v>0.24872727272727271</v>
      </c>
      <c r="L20" s="1"/>
    </row>
    <row r="21" spans="1:13" x14ac:dyDescent="0.25">
      <c r="A21" s="17">
        <v>223</v>
      </c>
      <c r="B21" s="18" t="s">
        <v>22</v>
      </c>
      <c r="C21" s="21">
        <v>50</v>
      </c>
      <c r="D21" s="21">
        <v>50</v>
      </c>
      <c r="E21" s="21">
        <v>50</v>
      </c>
      <c r="F21" s="21">
        <v>50</v>
      </c>
      <c r="G21" s="21">
        <v>50</v>
      </c>
      <c r="H21" s="21">
        <v>50</v>
      </c>
      <c r="I21" s="21">
        <v>50</v>
      </c>
      <c r="J21" s="21">
        <v>0</v>
      </c>
      <c r="K21" s="808">
        <f t="shared" si="3"/>
        <v>0</v>
      </c>
      <c r="L21" s="1"/>
    </row>
    <row r="22" spans="1:13" x14ac:dyDescent="0.25">
      <c r="A22" s="17">
        <v>223</v>
      </c>
      <c r="B22" s="18" t="s">
        <v>23</v>
      </c>
      <c r="C22" s="21">
        <v>2000</v>
      </c>
      <c r="D22" s="21">
        <v>2000</v>
      </c>
      <c r="E22" s="21">
        <v>2000</v>
      </c>
      <c r="F22" s="786">
        <f>2000+500</f>
        <v>2500</v>
      </c>
      <c r="G22" s="21">
        <f t="shared" ref="G22:I22" si="9">2000+500</f>
        <v>2500</v>
      </c>
      <c r="H22" s="21">
        <f t="shared" si="9"/>
        <v>2500</v>
      </c>
      <c r="I22" s="21">
        <f t="shared" si="9"/>
        <v>2500</v>
      </c>
      <c r="J22" s="21">
        <v>603</v>
      </c>
      <c r="K22" s="808">
        <f t="shared" si="3"/>
        <v>0.2412</v>
      </c>
      <c r="L22" s="1"/>
    </row>
    <row r="23" spans="1:13" x14ac:dyDescent="0.25">
      <c r="A23" s="17">
        <v>223</v>
      </c>
      <c r="B23" s="18" t="s">
        <v>24</v>
      </c>
      <c r="C23" s="21">
        <v>1000</v>
      </c>
      <c r="D23" s="21">
        <v>1000</v>
      </c>
      <c r="E23" s="21">
        <v>1000</v>
      </c>
      <c r="F23" s="21">
        <v>1000</v>
      </c>
      <c r="G23" s="21">
        <v>1000</v>
      </c>
      <c r="H23" s="21">
        <v>1000</v>
      </c>
      <c r="I23" s="21">
        <v>1000</v>
      </c>
      <c r="J23" s="21">
        <v>68</v>
      </c>
      <c r="K23" s="808">
        <f t="shared" si="3"/>
        <v>6.8000000000000005E-2</v>
      </c>
      <c r="L23" s="1"/>
    </row>
    <row r="24" spans="1:13" x14ac:dyDescent="0.25">
      <c r="A24" s="17">
        <v>223</v>
      </c>
      <c r="B24" s="18" t="s">
        <v>26</v>
      </c>
      <c r="C24" s="21">
        <v>1000</v>
      </c>
      <c r="D24" s="21">
        <v>1000</v>
      </c>
      <c r="E24" s="21">
        <v>1000</v>
      </c>
      <c r="F24" s="21">
        <v>1000</v>
      </c>
      <c r="G24" s="21">
        <v>1000</v>
      </c>
      <c r="H24" s="21">
        <v>1000</v>
      </c>
      <c r="I24" s="21">
        <v>1000</v>
      </c>
      <c r="J24" s="21">
        <v>220</v>
      </c>
      <c r="K24" s="808">
        <f t="shared" si="3"/>
        <v>0.22</v>
      </c>
      <c r="L24" s="1"/>
    </row>
    <row r="25" spans="1:13" x14ac:dyDescent="0.25">
      <c r="A25" s="17">
        <v>223</v>
      </c>
      <c r="B25" s="18" t="s">
        <v>27</v>
      </c>
      <c r="C25" s="21">
        <v>40000</v>
      </c>
      <c r="D25" s="21">
        <v>40000</v>
      </c>
      <c r="E25" s="21">
        <v>40000</v>
      </c>
      <c r="F25" s="21">
        <v>40000</v>
      </c>
      <c r="G25" s="21">
        <v>40000</v>
      </c>
      <c r="H25" s="21">
        <v>40000</v>
      </c>
      <c r="I25" s="21">
        <v>40000</v>
      </c>
      <c r="J25" s="21">
        <v>19268</v>
      </c>
      <c r="K25" s="808">
        <f t="shared" si="3"/>
        <v>0.48170000000000002</v>
      </c>
      <c r="L25" s="1"/>
    </row>
    <row r="26" spans="1:13" x14ac:dyDescent="0.25">
      <c r="A26" s="17">
        <v>223</v>
      </c>
      <c r="B26" s="18" t="s">
        <v>29</v>
      </c>
      <c r="C26" s="21">
        <v>59000</v>
      </c>
      <c r="D26" s="21">
        <v>59000</v>
      </c>
      <c r="E26" s="21">
        <v>59000</v>
      </c>
      <c r="F26" s="21">
        <v>59000</v>
      </c>
      <c r="G26" s="21">
        <v>59000</v>
      </c>
      <c r="H26" s="21">
        <v>59000</v>
      </c>
      <c r="I26" s="21">
        <v>59000</v>
      </c>
      <c r="J26" s="21">
        <v>15630</v>
      </c>
      <c r="K26" s="808">
        <f t="shared" si="3"/>
        <v>0.26491525423728812</v>
      </c>
      <c r="L26" s="1"/>
    </row>
    <row r="27" spans="1:13" x14ac:dyDescent="0.25">
      <c r="A27" s="17">
        <v>223</v>
      </c>
      <c r="B27" s="18" t="s">
        <v>30</v>
      </c>
      <c r="C27" s="21">
        <v>60</v>
      </c>
      <c r="D27" s="21">
        <v>60</v>
      </c>
      <c r="E27" s="21">
        <v>60</v>
      </c>
      <c r="F27" s="21">
        <v>60</v>
      </c>
      <c r="G27" s="21">
        <v>60</v>
      </c>
      <c r="H27" s="21">
        <v>60</v>
      </c>
      <c r="I27" s="21">
        <v>60</v>
      </c>
      <c r="J27" s="21">
        <v>0</v>
      </c>
      <c r="K27" s="808">
        <f t="shared" si="3"/>
        <v>0</v>
      </c>
      <c r="L27" s="27"/>
    </row>
    <row r="28" spans="1:13" x14ac:dyDescent="0.25">
      <c r="A28" s="17">
        <v>223</v>
      </c>
      <c r="B28" s="18" t="s">
        <v>32</v>
      </c>
      <c r="C28" s="21">
        <v>2400</v>
      </c>
      <c r="D28" s="21">
        <v>2400</v>
      </c>
      <c r="E28" s="21">
        <v>2400</v>
      </c>
      <c r="F28" s="21">
        <v>2400</v>
      </c>
      <c r="G28" s="21">
        <v>2400</v>
      </c>
      <c r="H28" s="21">
        <v>2400</v>
      </c>
      <c r="I28" s="21">
        <v>2400</v>
      </c>
      <c r="J28" s="21">
        <v>892</v>
      </c>
      <c r="K28" s="808">
        <f t="shared" si="3"/>
        <v>0.37166666666666665</v>
      </c>
      <c r="L28" s="27"/>
    </row>
    <row r="29" spans="1:13" x14ac:dyDescent="0.25">
      <c r="A29" s="17">
        <v>223</v>
      </c>
      <c r="B29" s="18" t="s">
        <v>263</v>
      </c>
      <c r="C29" s="21">
        <v>2600</v>
      </c>
      <c r="D29" s="21">
        <v>2600</v>
      </c>
      <c r="E29" s="21">
        <v>2600</v>
      </c>
      <c r="F29" s="21">
        <v>2600</v>
      </c>
      <c r="G29" s="21">
        <v>2600</v>
      </c>
      <c r="H29" s="21">
        <v>2600</v>
      </c>
      <c r="I29" s="21">
        <v>2600</v>
      </c>
      <c r="J29" s="21">
        <v>540</v>
      </c>
      <c r="K29" s="808">
        <f t="shared" si="3"/>
        <v>0.2076923076923077</v>
      </c>
      <c r="L29" s="27"/>
    </row>
    <row r="30" spans="1:13" x14ac:dyDescent="0.25">
      <c r="A30" s="43">
        <v>223</v>
      </c>
      <c r="B30" s="44" t="s">
        <v>33</v>
      </c>
      <c r="C30" s="46">
        <v>84000</v>
      </c>
      <c r="D30" s="46">
        <v>84000</v>
      </c>
      <c r="E30" s="46">
        <v>84000</v>
      </c>
      <c r="F30" s="46">
        <v>84000</v>
      </c>
      <c r="G30" s="46">
        <v>84000</v>
      </c>
      <c r="H30" s="46">
        <v>84000</v>
      </c>
      <c r="I30" s="46">
        <v>84000</v>
      </c>
      <c r="J30" s="46">
        <v>23698</v>
      </c>
      <c r="K30" s="808">
        <f t="shared" si="3"/>
        <v>0.2821190476190476</v>
      </c>
      <c r="L30" s="27"/>
    </row>
    <row r="31" spans="1:13" ht="15.75" thickBot="1" x14ac:dyDescent="0.3">
      <c r="A31" s="22">
        <v>223</v>
      </c>
      <c r="B31" s="23" t="s">
        <v>34</v>
      </c>
      <c r="C31" s="48">
        <v>100</v>
      </c>
      <c r="D31" s="48">
        <v>100</v>
      </c>
      <c r="E31" s="48">
        <v>100</v>
      </c>
      <c r="F31" s="48">
        <v>100</v>
      </c>
      <c r="G31" s="48">
        <v>100</v>
      </c>
      <c r="H31" s="48">
        <v>100</v>
      </c>
      <c r="I31" s="48">
        <v>100</v>
      </c>
      <c r="J31" s="48">
        <v>0</v>
      </c>
      <c r="K31" s="808">
        <f t="shared" si="3"/>
        <v>0</v>
      </c>
      <c r="L31" s="27">
        <f>SUM(I19:I31)</f>
        <v>215460</v>
      </c>
      <c r="M31" s="27">
        <f>SUM(J19:J31)</f>
        <v>66460</v>
      </c>
    </row>
    <row r="32" spans="1:13" ht="15.75" thickBot="1" x14ac:dyDescent="0.3">
      <c r="A32" s="813" t="s">
        <v>35</v>
      </c>
      <c r="B32" s="814"/>
      <c r="C32" s="2">
        <f t="shared" ref="C32:J32" si="10">SUM(C33)</f>
        <v>50</v>
      </c>
      <c r="D32" s="2">
        <f t="shared" si="10"/>
        <v>50</v>
      </c>
      <c r="E32" s="2">
        <f t="shared" si="10"/>
        <v>50</v>
      </c>
      <c r="F32" s="2">
        <f t="shared" si="10"/>
        <v>50</v>
      </c>
      <c r="G32" s="2">
        <f t="shared" si="10"/>
        <v>50</v>
      </c>
      <c r="H32" s="2">
        <f t="shared" si="10"/>
        <v>50</v>
      </c>
      <c r="I32" s="2">
        <f t="shared" si="10"/>
        <v>50</v>
      </c>
      <c r="J32" s="2">
        <f t="shared" si="10"/>
        <v>5</v>
      </c>
      <c r="K32" s="808">
        <f t="shared" si="3"/>
        <v>0.1</v>
      </c>
      <c r="L32" s="1"/>
    </row>
    <row r="33" spans="1:13" ht="15.75" thickBot="1" x14ac:dyDescent="0.3">
      <c r="A33" s="51">
        <v>240</v>
      </c>
      <c r="B33" s="47" t="s">
        <v>36</v>
      </c>
      <c r="C33" s="38">
        <v>50</v>
      </c>
      <c r="D33" s="38">
        <v>50</v>
      </c>
      <c r="E33" s="38">
        <v>50</v>
      </c>
      <c r="F33" s="38">
        <v>50</v>
      </c>
      <c r="G33" s="38">
        <v>50</v>
      </c>
      <c r="H33" s="38">
        <v>50</v>
      </c>
      <c r="I33" s="38">
        <v>50</v>
      </c>
      <c r="J33" s="38">
        <v>5</v>
      </c>
      <c r="K33" s="808">
        <f t="shared" si="3"/>
        <v>0.1</v>
      </c>
      <c r="L33" s="1"/>
    </row>
    <row r="34" spans="1:13" ht="15.75" thickBot="1" x14ac:dyDescent="0.3">
      <c r="A34" s="813" t="s">
        <v>37</v>
      </c>
      <c r="B34" s="814"/>
      <c r="C34" s="354">
        <f t="shared" ref="C34:J34" si="11">SUM(C35:C41)</f>
        <v>71875</v>
      </c>
      <c r="D34" s="354">
        <f t="shared" si="11"/>
        <v>71875</v>
      </c>
      <c r="E34" s="354">
        <f t="shared" si="11"/>
        <v>71875</v>
      </c>
      <c r="F34" s="354">
        <f t="shared" si="11"/>
        <v>71875</v>
      </c>
      <c r="G34" s="354">
        <f t="shared" si="11"/>
        <v>72705</v>
      </c>
      <c r="H34" s="354">
        <f t="shared" si="11"/>
        <v>73505</v>
      </c>
      <c r="I34" s="354">
        <f t="shared" ref="I34" si="12">SUM(I35:I41)</f>
        <v>73505</v>
      </c>
      <c r="J34" s="354">
        <f t="shared" si="11"/>
        <v>14582</v>
      </c>
      <c r="K34" s="808">
        <f t="shared" si="3"/>
        <v>0.19838106251275422</v>
      </c>
      <c r="L34" s="1"/>
    </row>
    <row r="35" spans="1:13" x14ac:dyDescent="0.25">
      <c r="A35" s="52">
        <v>292</v>
      </c>
      <c r="B35" s="53" t="s">
        <v>38</v>
      </c>
      <c r="C35" s="55">
        <v>0</v>
      </c>
      <c r="D35" s="55">
        <v>0</v>
      </c>
      <c r="E35" s="55">
        <v>0</v>
      </c>
      <c r="F35" s="55">
        <v>0</v>
      </c>
      <c r="G35" s="743">
        <v>830</v>
      </c>
      <c r="H35" s="55">
        <v>830</v>
      </c>
      <c r="I35" s="55">
        <v>830</v>
      </c>
      <c r="J35" s="55">
        <v>821</v>
      </c>
      <c r="K35" s="808">
        <f t="shared" si="3"/>
        <v>0.98915662650602409</v>
      </c>
      <c r="L35" s="1"/>
    </row>
    <row r="36" spans="1:13" x14ac:dyDescent="0.25">
      <c r="A36" s="52">
        <v>292</v>
      </c>
      <c r="B36" s="53" t="s">
        <v>39</v>
      </c>
      <c r="C36" s="55">
        <v>200</v>
      </c>
      <c r="D36" s="55">
        <v>200</v>
      </c>
      <c r="E36" s="55">
        <v>200</v>
      </c>
      <c r="F36" s="55">
        <v>200</v>
      </c>
      <c r="G36" s="55">
        <v>200</v>
      </c>
      <c r="H36" s="55">
        <v>200</v>
      </c>
      <c r="I36" s="55">
        <v>200</v>
      </c>
      <c r="J36" s="55">
        <v>0</v>
      </c>
      <c r="K36" s="808">
        <f t="shared" si="3"/>
        <v>0</v>
      </c>
      <c r="L36" s="1"/>
    </row>
    <row r="37" spans="1:13" x14ac:dyDescent="0.25">
      <c r="A37" s="57">
        <v>292</v>
      </c>
      <c r="B37" s="58" t="s">
        <v>40</v>
      </c>
      <c r="C37" s="61">
        <v>1000</v>
      </c>
      <c r="D37" s="61">
        <v>1000</v>
      </c>
      <c r="E37" s="61">
        <v>1000</v>
      </c>
      <c r="F37" s="61">
        <v>1000</v>
      </c>
      <c r="G37" s="61">
        <v>1000</v>
      </c>
      <c r="H37" s="61">
        <v>1000</v>
      </c>
      <c r="I37" s="61">
        <v>1000</v>
      </c>
      <c r="J37" s="61">
        <v>743</v>
      </c>
      <c r="K37" s="808">
        <f t="shared" si="3"/>
        <v>0.74299999999999999</v>
      </c>
      <c r="L37" s="1"/>
    </row>
    <row r="38" spans="1:13" x14ac:dyDescent="0.25">
      <c r="A38" s="57">
        <v>292</v>
      </c>
      <c r="B38" s="58" t="s">
        <v>41</v>
      </c>
      <c r="C38" s="60">
        <v>500</v>
      </c>
      <c r="D38" s="60">
        <v>500</v>
      </c>
      <c r="E38" s="60">
        <v>500</v>
      </c>
      <c r="F38" s="60">
        <v>500</v>
      </c>
      <c r="G38" s="60">
        <v>500</v>
      </c>
      <c r="H38" s="60">
        <v>500</v>
      </c>
      <c r="I38" s="60">
        <v>500</v>
      </c>
      <c r="J38" s="60">
        <v>0</v>
      </c>
      <c r="K38" s="808">
        <f t="shared" si="3"/>
        <v>0</v>
      </c>
      <c r="L38" s="1"/>
    </row>
    <row r="39" spans="1:13" x14ac:dyDescent="0.25">
      <c r="A39" s="57">
        <v>292</v>
      </c>
      <c r="B39" s="18" t="s">
        <v>42</v>
      </c>
      <c r="C39" s="64">
        <v>340</v>
      </c>
      <c r="D39" s="64">
        <v>340</v>
      </c>
      <c r="E39" s="64">
        <v>340</v>
      </c>
      <c r="F39" s="64">
        <v>340</v>
      </c>
      <c r="G39" s="64">
        <v>340</v>
      </c>
      <c r="H39" s="64">
        <v>340</v>
      </c>
      <c r="I39" s="64">
        <v>340</v>
      </c>
      <c r="J39" s="64">
        <v>0</v>
      </c>
      <c r="K39" s="808">
        <f t="shared" si="3"/>
        <v>0</v>
      </c>
      <c r="L39" s="1"/>
    </row>
    <row r="40" spans="1:13" x14ac:dyDescent="0.25">
      <c r="A40" s="57">
        <v>292</v>
      </c>
      <c r="B40" s="58" t="s">
        <v>220</v>
      </c>
      <c r="C40" s="60">
        <v>69785</v>
      </c>
      <c r="D40" s="60">
        <v>69785</v>
      </c>
      <c r="E40" s="60">
        <v>69785</v>
      </c>
      <c r="F40" s="60">
        <f>69785</f>
        <v>69785</v>
      </c>
      <c r="G40" s="60">
        <f t="shared" ref="G40" si="13">69785</f>
        <v>69785</v>
      </c>
      <c r="H40" s="745">
        <f>69785+800</f>
        <v>70585</v>
      </c>
      <c r="I40" s="60">
        <f>69785+800</f>
        <v>70585</v>
      </c>
      <c r="J40" s="60">
        <v>13018</v>
      </c>
      <c r="K40" s="808">
        <f t="shared" si="3"/>
        <v>0.18443011971382023</v>
      </c>
      <c r="L40" s="27">
        <f>SUM(C39:C40)</f>
        <v>70125</v>
      </c>
      <c r="M40" s="27">
        <f t="shared" ref="M40" si="14">SUM(D39:D40)</f>
        <v>70125</v>
      </c>
    </row>
    <row r="41" spans="1:13" ht="15.75" thickBot="1" x14ac:dyDescent="0.3">
      <c r="A41" s="57">
        <v>292</v>
      </c>
      <c r="B41" s="58" t="s">
        <v>345</v>
      </c>
      <c r="C41" s="60">
        <v>50</v>
      </c>
      <c r="D41" s="60">
        <v>50</v>
      </c>
      <c r="E41" s="60">
        <v>50</v>
      </c>
      <c r="F41" s="60">
        <v>50</v>
      </c>
      <c r="G41" s="60">
        <v>50</v>
      </c>
      <c r="H41" s="60">
        <v>50</v>
      </c>
      <c r="I41" s="60">
        <v>50</v>
      </c>
      <c r="J41" s="60">
        <v>0</v>
      </c>
      <c r="K41" s="808">
        <f t="shared" si="3"/>
        <v>0</v>
      </c>
      <c r="L41" s="1"/>
    </row>
    <row r="42" spans="1:13" ht="15.75" thickBot="1" x14ac:dyDescent="0.3">
      <c r="A42" s="65" t="s">
        <v>43</v>
      </c>
      <c r="B42" s="358"/>
      <c r="C42" s="354">
        <f t="shared" ref="C42:J42" si="15">SUM(C43:C68)</f>
        <v>761910</v>
      </c>
      <c r="D42" s="354">
        <f t="shared" si="15"/>
        <v>761990</v>
      </c>
      <c r="E42" s="354">
        <f t="shared" si="15"/>
        <v>870240</v>
      </c>
      <c r="F42" s="354">
        <f t="shared" si="15"/>
        <v>870240</v>
      </c>
      <c r="G42" s="354">
        <f t="shared" si="15"/>
        <v>930995</v>
      </c>
      <c r="H42" s="354">
        <f t="shared" si="15"/>
        <v>960195</v>
      </c>
      <c r="I42" s="354">
        <f t="shared" si="15"/>
        <v>962735</v>
      </c>
      <c r="J42" s="354">
        <f t="shared" si="15"/>
        <v>322980</v>
      </c>
      <c r="K42" s="808">
        <f t="shared" si="3"/>
        <v>0.33548172653949426</v>
      </c>
      <c r="L42" s="1"/>
    </row>
    <row r="43" spans="1:13" x14ac:dyDescent="0.25">
      <c r="A43" s="67">
        <v>311</v>
      </c>
      <c r="B43" s="359" t="s">
        <v>44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808">
        <v>0</v>
      </c>
      <c r="L43" s="1"/>
    </row>
    <row r="44" spans="1:13" x14ac:dyDescent="0.25">
      <c r="A44" s="67">
        <v>312</v>
      </c>
      <c r="B44" s="359" t="s">
        <v>571</v>
      </c>
      <c r="C44" s="68">
        <v>0</v>
      </c>
      <c r="D44" s="68">
        <v>0</v>
      </c>
      <c r="E44" s="68">
        <f>2000-2000</f>
        <v>0</v>
      </c>
      <c r="F44" s="68">
        <v>0</v>
      </c>
      <c r="G44" s="708">
        <v>60000</v>
      </c>
      <c r="H44" s="68">
        <v>60000</v>
      </c>
      <c r="I44" s="68">
        <v>60000</v>
      </c>
      <c r="J44" s="68">
        <v>11770</v>
      </c>
      <c r="K44" s="808">
        <f t="shared" si="3"/>
        <v>0.19616666666666666</v>
      </c>
      <c r="L44" s="1"/>
    </row>
    <row r="45" spans="1:13" x14ac:dyDescent="0.25">
      <c r="A45" s="798">
        <v>312</v>
      </c>
      <c r="B45" s="799" t="s">
        <v>618</v>
      </c>
      <c r="C45" s="800">
        <v>0</v>
      </c>
      <c r="D45" s="800">
        <v>0</v>
      </c>
      <c r="E45" s="800">
        <v>0</v>
      </c>
      <c r="F45" s="800">
        <v>0</v>
      </c>
      <c r="G45" s="800">
        <v>0</v>
      </c>
      <c r="H45" s="801">
        <v>18200</v>
      </c>
      <c r="I45" s="800">
        <v>18200</v>
      </c>
      <c r="J45" s="800">
        <v>0</v>
      </c>
      <c r="K45" s="808">
        <f t="shared" si="3"/>
        <v>0</v>
      </c>
      <c r="L45" s="27"/>
    </row>
    <row r="46" spans="1:13" x14ac:dyDescent="0.25">
      <c r="A46" s="71">
        <v>312</v>
      </c>
      <c r="B46" s="352" t="s">
        <v>228</v>
      </c>
      <c r="C46" s="16">
        <f>7600+500</f>
        <v>8100</v>
      </c>
      <c r="D46" s="16">
        <f>7600+500</f>
        <v>8100</v>
      </c>
      <c r="E46" s="709">
        <f>7600+500+170</f>
        <v>8270</v>
      </c>
      <c r="F46" s="16">
        <f>7600+500+170</f>
        <v>8270</v>
      </c>
      <c r="G46" s="16">
        <f t="shared" ref="G46:I46" si="16">7600+500+170</f>
        <v>8270</v>
      </c>
      <c r="H46" s="16">
        <f t="shared" si="16"/>
        <v>8270</v>
      </c>
      <c r="I46" s="16">
        <f t="shared" si="16"/>
        <v>8270</v>
      </c>
      <c r="J46" s="16">
        <v>4449</v>
      </c>
      <c r="K46" s="808">
        <f t="shared" si="3"/>
        <v>0.53796856106408708</v>
      </c>
      <c r="L46" s="1"/>
    </row>
    <row r="47" spans="1:13" x14ac:dyDescent="0.25">
      <c r="A47" s="71">
        <v>312</v>
      </c>
      <c r="B47" s="352" t="s">
        <v>229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709">
        <v>360</v>
      </c>
      <c r="J47" s="16">
        <v>0</v>
      </c>
      <c r="K47" s="808">
        <f t="shared" si="3"/>
        <v>0</v>
      </c>
      <c r="L47" s="1"/>
    </row>
    <row r="48" spans="1:13" x14ac:dyDescent="0.25">
      <c r="A48" s="71">
        <v>312</v>
      </c>
      <c r="B48" s="118" t="s">
        <v>50</v>
      </c>
      <c r="C48" s="73">
        <v>2040</v>
      </c>
      <c r="D48" s="73">
        <v>2040</v>
      </c>
      <c r="E48" s="73">
        <v>2040</v>
      </c>
      <c r="F48" s="73">
        <v>2040</v>
      </c>
      <c r="G48" s="73">
        <v>2040</v>
      </c>
      <c r="H48" s="73">
        <v>2040</v>
      </c>
      <c r="I48" s="73">
        <f>2040</f>
        <v>2040</v>
      </c>
      <c r="J48" s="73">
        <v>0</v>
      </c>
      <c r="K48" s="808">
        <f t="shared" si="3"/>
        <v>0</v>
      </c>
      <c r="L48" s="1"/>
    </row>
    <row r="49" spans="1:13" x14ac:dyDescent="0.25">
      <c r="A49" s="71">
        <v>312</v>
      </c>
      <c r="B49" s="351" t="s">
        <v>463</v>
      </c>
      <c r="C49" s="73">
        <v>14170</v>
      </c>
      <c r="D49" s="73">
        <v>14170</v>
      </c>
      <c r="E49" s="73">
        <v>14170</v>
      </c>
      <c r="F49" s="73">
        <v>14170</v>
      </c>
      <c r="G49" s="73">
        <v>14170</v>
      </c>
      <c r="H49" s="73">
        <v>14170</v>
      </c>
      <c r="I49" s="73">
        <v>14170</v>
      </c>
      <c r="J49" s="73">
        <v>2096</v>
      </c>
      <c r="K49" s="808">
        <f t="shared" si="3"/>
        <v>0.14791813690896261</v>
      </c>
      <c r="L49" s="27"/>
    </row>
    <row r="50" spans="1:13" x14ac:dyDescent="0.25">
      <c r="A50" s="84">
        <v>312</v>
      </c>
      <c r="B50" s="352" t="s">
        <v>607</v>
      </c>
      <c r="C50" s="800">
        <v>0</v>
      </c>
      <c r="D50" s="800">
        <v>0</v>
      </c>
      <c r="E50" s="800">
        <v>0</v>
      </c>
      <c r="F50" s="800">
        <v>0</v>
      </c>
      <c r="G50" s="800">
        <v>0</v>
      </c>
      <c r="H50" s="801">
        <v>11000</v>
      </c>
      <c r="I50" s="800">
        <v>11000</v>
      </c>
      <c r="J50" s="800">
        <v>0</v>
      </c>
      <c r="K50" s="808">
        <f t="shared" si="3"/>
        <v>0</v>
      </c>
      <c r="L50" s="27"/>
    </row>
    <row r="51" spans="1:13" ht="15.75" thickBot="1" x14ac:dyDescent="0.3">
      <c r="A51" s="74">
        <v>312</v>
      </c>
      <c r="B51" s="82" t="s">
        <v>53</v>
      </c>
      <c r="C51" s="75">
        <v>40</v>
      </c>
      <c r="D51" s="75">
        <f>40</f>
        <v>40</v>
      </c>
      <c r="E51" s="759">
        <f>40+1</f>
        <v>41</v>
      </c>
      <c r="F51" s="75">
        <f>40+1</f>
        <v>41</v>
      </c>
      <c r="G51" s="75">
        <f t="shared" ref="G51:I51" si="17">40+1</f>
        <v>41</v>
      </c>
      <c r="H51" s="75">
        <f t="shared" si="17"/>
        <v>41</v>
      </c>
      <c r="I51" s="75">
        <f t="shared" si="17"/>
        <v>41</v>
      </c>
      <c r="J51" s="75">
        <v>40</v>
      </c>
      <c r="K51" s="808">
        <f t="shared" si="3"/>
        <v>0.97560975609756095</v>
      </c>
      <c r="L51" s="27"/>
    </row>
    <row r="52" spans="1:13" ht="15.75" thickBot="1" x14ac:dyDescent="0.3">
      <c r="A52" s="348">
        <v>312</v>
      </c>
      <c r="B52" s="360" t="s">
        <v>464</v>
      </c>
      <c r="C52" s="349">
        <v>3000</v>
      </c>
      <c r="D52" s="349">
        <v>3000</v>
      </c>
      <c r="E52" s="349">
        <v>3000</v>
      </c>
      <c r="F52" s="349">
        <v>3000</v>
      </c>
      <c r="G52" s="349">
        <v>3000</v>
      </c>
      <c r="H52" s="349">
        <v>3000</v>
      </c>
      <c r="I52" s="349">
        <v>3000</v>
      </c>
      <c r="J52" s="349">
        <v>0</v>
      </c>
      <c r="K52" s="808">
        <f t="shared" si="3"/>
        <v>0</v>
      </c>
      <c r="L52" s="27"/>
    </row>
    <row r="53" spans="1:13" x14ac:dyDescent="0.25">
      <c r="A53" s="71">
        <v>312</v>
      </c>
      <c r="B53" s="85" t="s">
        <v>54</v>
      </c>
      <c r="C53" s="16">
        <v>20100</v>
      </c>
      <c r="D53" s="16">
        <v>20100</v>
      </c>
      <c r="E53" s="16">
        <v>20100</v>
      </c>
      <c r="F53" s="16">
        <v>20100</v>
      </c>
      <c r="G53" s="16">
        <v>20100</v>
      </c>
      <c r="H53" s="16">
        <v>20100</v>
      </c>
      <c r="I53" s="16">
        <v>20100</v>
      </c>
      <c r="J53" s="16">
        <v>3483</v>
      </c>
      <c r="K53" s="808">
        <f t="shared" si="3"/>
        <v>0.17328358208955225</v>
      </c>
      <c r="L53" s="1"/>
    </row>
    <row r="54" spans="1:13" x14ac:dyDescent="0.25">
      <c r="A54" s="71">
        <v>312</v>
      </c>
      <c r="B54" s="118" t="s">
        <v>55</v>
      </c>
      <c r="C54" s="16">
        <v>12500</v>
      </c>
      <c r="D54" s="16">
        <v>12500</v>
      </c>
      <c r="E54" s="16">
        <v>12500</v>
      </c>
      <c r="F54" s="16">
        <v>12500</v>
      </c>
      <c r="G54" s="709">
        <f>12500+500</f>
        <v>13000</v>
      </c>
      <c r="H54" s="16">
        <f>12500+500</f>
        <v>13000</v>
      </c>
      <c r="I54" s="16">
        <f>12500+500</f>
        <v>13000</v>
      </c>
      <c r="J54" s="16">
        <v>3250</v>
      </c>
      <c r="K54" s="808">
        <f t="shared" si="3"/>
        <v>0.25</v>
      </c>
      <c r="L54" s="1"/>
    </row>
    <row r="55" spans="1:13" ht="15.75" thickBot="1" x14ac:dyDescent="0.3">
      <c r="A55" s="77">
        <v>312</v>
      </c>
      <c r="B55" s="165" t="s">
        <v>56</v>
      </c>
      <c r="C55" s="79">
        <f>3000+5600</f>
        <v>8600</v>
      </c>
      <c r="D55" s="79">
        <f>3000+5600</f>
        <v>8600</v>
      </c>
      <c r="E55" s="787">
        <f>3200+5600</f>
        <v>8800</v>
      </c>
      <c r="F55" s="79">
        <f>3200+5600</f>
        <v>8800</v>
      </c>
      <c r="G55" s="79">
        <f t="shared" ref="G55:I55" si="18">3200+5600</f>
        <v>8800</v>
      </c>
      <c r="H55" s="79">
        <f t="shared" si="18"/>
        <v>8800</v>
      </c>
      <c r="I55" s="79">
        <f t="shared" si="18"/>
        <v>8800</v>
      </c>
      <c r="J55" s="79">
        <v>1400</v>
      </c>
      <c r="K55" s="808">
        <f t="shared" si="3"/>
        <v>0.15909090909090909</v>
      </c>
      <c r="L55" s="27"/>
      <c r="M55" s="458"/>
    </row>
    <row r="56" spans="1:13" ht="15" customHeight="1" x14ac:dyDescent="0.25">
      <c r="A56" s="71">
        <v>312</v>
      </c>
      <c r="B56" s="85" t="s">
        <v>233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808">
        <v>0</v>
      </c>
      <c r="L56" s="1"/>
    </row>
    <row r="57" spans="1:13" ht="15.75" thickBot="1" x14ac:dyDescent="0.3">
      <c r="A57" s="74">
        <v>312</v>
      </c>
      <c r="B57" s="82" t="s">
        <v>59</v>
      </c>
      <c r="C57" s="75">
        <v>3000</v>
      </c>
      <c r="D57" s="75">
        <v>3000</v>
      </c>
      <c r="E57" s="75">
        <v>3000</v>
      </c>
      <c r="F57" s="75">
        <v>3000</v>
      </c>
      <c r="G57" s="75">
        <v>3000</v>
      </c>
      <c r="H57" s="75">
        <v>3000</v>
      </c>
      <c r="I57" s="75">
        <v>3000</v>
      </c>
      <c r="J57" s="75">
        <v>3000</v>
      </c>
      <c r="K57" s="808">
        <f t="shared" si="3"/>
        <v>1</v>
      </c>
      <c r="L57" s="27"/>
    </row>
    <row r="58" spans="1:13" x14ac:dyDescent="0.25">
      <c r="A58" s="71">
        <v>312</v>
      </c>
      <c r="B58" s="351" t="s">
        <v>60</v>
      </c>
      <c r="C58" s="83">
        <v>5120</v>
      </c>
      <c r="D58" s="781">
        <f>5120+80</f>
        <v>5200</v>
      </c>
      <c r="E58" s="83">
        <f>5120+80</f>
        <v>5200</v>
      </c>
      <c r="F58" s="83">
        <f>5120+80</f>
        <v>5200</v>
      </c>
      <c r="G58" s="83">
        <f t="shared" ref="G58:I58" si="19">5120+80</f>
        <v>5200</v>
      </c>
      <c r="H58" s="83">
        <f t="shared" si="19"/>
        <v>5200</v>
      </c>
      <c r="I58" s="83">
        <f t="shared" si="19"/>
        <v>5200</v>
      </c>
      <c r="J58" s="83">
        <v>5167</v>
      </c>
      <c r="K58" s="808">
        <f t="shared" si="3"/>
        <v>0.99365384615384611</v>
      </c>
      <c r="L58" s="1"/>
    </row>
    <row r="59" spans="1:13" x14ac:dyDescent="0.25">
      <c r="A59" s="84">
        <v>312</v>
      </c>
      <c r="B59" s="361" t="s">
        <v>61</v>
      </c>
      <c r="C59" s="21">
        <v>3700</v>
      </c>
      <c r="D59" s="21">
        <v>3700</v>
      </c>
      <c r="E59" s="786">
        <f>3700+400</f>
        <v>4100</v>
      </c>
      <c r="F59" s="21">
        <f>3700+400</f>
        <v>4100</v>
      </c>
      <c r="G59" s="21">
        <f t="shared" ref="G59:I59" si="20">3700+400</f>
        <v>4100</v>
      </c>
      <c r="H59" s="21">
        <f t="shared" si="20"/>
        <v>4100</v>
      </c>
      <c r="I59" s="21">
        <f t="shared" si="20"/>
        <v>4100</v>
      </c>
      <c r="J59" s="21">
        <v>171</v>
      </c>
      <c r="K59" s="808">
        <f t="shared" si="3"/>
        <v>4.1707317073170734E-2</v>
      </c>
      <c r="L59" s="1"/>
    </row>
    <row r="60" spans="1:13" x14ac:dyDescent="0.25">
      <c r="A60" s="84">
        <v>312</v>
      </c>
      <c r="B60" s="362" t="s">
        <v>572</v>
      </c>
      <c r="C60" s="33">
        <v>5000</v>
      </c>
      <c r="D60" s="33">
        <f>5000</f>
        <v>5000</v>
      </c>
      <c r="E60" s="715">
        <f>5000+7200</f>
        <v>12200</v>
      </c>
      <c r="F60" s="33">
        <f>5000+7200</f>
        <v>12200</v>
      </c>
      <c r="G60" s="715">
        <f>5000+7200+155</f>
        <v>12355</v>
      </c>
      <c r="H60" s="33">
        <f>5000+7200+155</f>
        <v>12355</v>
      </c>
      <c r="I60" s="33">
        <f>5000+7200+155</f>
        <v>12355</v>
      </c>
      <c r="J60" s="33">
        <v>6248</v>
      </c>
      <c r="K60" s="808">
        <f t="shared" si="3"/>
        <v>0.50570619182517196</v>
      </c>
      <c r="L60" s="1"/>
    </row>
    <row r="61" spans="1:13" x14ac:dyDescent="0.25">
      <c r="A61" s="71">
        <v>312</v>
      </c>
      <c r="B61" s="118" t="s">
        <v>573</v>
      </c>
      <c r="C61" s="16">
        <v>52550</v>
      </c>
      <c r="D61" s="16">
        <f>52550</f>
        <v>52550</v>
      </c>
      <c r="E61" s="709">
        <f>52550+17050</f>
        <v>69600</v>
      </c>
      <c r="F61" s="16">
        <f>52550+17050</f>
        <v>69600</v>
      </c>
      <c r="G61" s="16">
        <f t="shared" ref="G61:I61" si="21">52550+17050</f>
        <v>69600</v>
      </c>
      <c r="H61" s="16">
        <f t="shared" si="21"/>
        <v>69600</v>
      </c>
      <c r="I61" s="16">
        <f t="shared" si="21"/>
        <v>69600</v>
      </c>
      <c r="J61" s="16">
        <v>29000</v>
      </c>
      <c r="K61" s="808">
        <f t="shared" si="3"/>
        <v>0.41666666666666669</v>
      </c>
      <c r="L61" s="1"/>
    </row>
    <row r="62" spans="1:13" x14ac:dyDescent="0.25">
      <c r="A62" s="84">
        <v>312</v>
      </c>
      <c r="B62" s="118" t="s">
        <v>62</v>
      </c>
      <c r="C62" s="21">
        <v>47340</v>
      </c>
      <c r="D62" s="21">
        <v>47340</v>
      </c>
      <c r="E62" s="21">
        <v>47340</v>
      </c>
      <c r="F62" s="21">
        <v>47340</v>
      </c>
      <c r="G62" s="21">
        <v>47340</v>
      </c>
      <c r="H62" s="21">
        <v>47340</v>
      </c>
      <c r="I62" s="21">
        <v>47340</v>
      </c>
      <c r="J62" s="21">
        <v>11276</v>
      </c>
      <c r="K62" s="808">
        <f t="shared" si="3"/>
        <v>0.23819180397127165</v>
      </c>
      <c r="L62" s="27"/>
      <c r="M62" s="27"/>
    </row>
    <row r="63" spans="1:13" x14ac:dyDescent="0.25">
      <c r="A63" s="71">
        <v>312</v>
      </c>
      <c r="B63" s="444" t="s">
        <v>335</v>
      </c>
      <c r="C63" s="16">
        <v>2000</v>
      </c>
      <c r="D63" s="709">
        <f>2000</f>
        <v>2000</v>
      </c>
      <c r="E63" s="709">
        <f>2000-970</f>
        <v>1030</v>
      </c>
      <c r="F63" s="16">
        <f>2000-970</f>
        <v>1030</v>
      </c>
      <c r="G63" s="16">
        <f t="shared" ref="G63:I63" si="22">2000-970</f>
        <v>1030</v>
      </c>
      <c r="H63" s="16">
        <f t="shared" si="22"/>
        <v>1030</v>
      </c>
      <c r="I63" s="16">
        <f t="shared" si="22"/>
        <v>1030</v>
      </c>
      <c r="J63" s="16">
        <v>725</v>
      </c>
      <c r="K63" s="808">
        <f t="shared" si="3"/>
        <v>0.70388349514563109</v>
      </c>
      <c r="L63" s="1"/>
    </row>
    <row r="64" spans="1:13" ht="15.75" thickBot="1" x14ac:dyDescent="0.3">
      <c r="A64" s="77">
        <v>312</v>
      </c>
      <c r="B64" s="78" t="s">
        <v>548</v>
      </c>
      <c r="C64" s="789">
        <v>0</v>
      </c>
      <c r="D64" s="789">
        <v>0</v>
      </c>
      <c r="E64" s="790">
        <v>26200</v>
      </c>
      <c r="F64" s="789">
        <v>26200</v>
      </c>
      <c r="G64" s="789">
        <v>26200</v>
      </c>
      <c r="H64" s="789">
        <v>26200</v>
      </c>
      <c r="I64" s="789">
        <v>26200</v>
      </c>
      <c r="J64" s="789">
        <v>26154</v>
      </c>
      <c r="K64" s="808">
        <f t="shared" si="3"/>
        <v>0.99824427480916034</v>
      </c>
      <c r="L64" s="27">
        <f>SUM(I44:I64)+I68</f>
        <v>959435</v>
      </c>
      <c r="M64" s="27">
        <f>SUM(J44:J64)+J68</f>
        <v>322880</v>
      </c>
    </row>
    <row r="65" spans="1:17" x14ac:dyDescent="0.25">
      <c r="A65" s="71">
        <v>315</v>
      </c>
      <c r="B65" s="76" t="s">
        <v>58</v>
      </c>
      <c r="C65" s="16">
        <v>3000</v>
      </c>
      <c r="D65" s="16">
        <v>3000</v>
      </c>
      <c r="E65" s="16">
        <v>3000</v>
      </c>
      <c r="F65" s="16">
        <v>3000</v>
      </c>
      <c r="G65" s="16">
        <v>3000</v>
      </c>
      <c r="H65" s="16">
        <v>3000</v>
      </c>
      <c r="I65" s="16">
        <v>3000</v>
      </c>
      <c r="J65" s="16">
        <v>0</v>
      </c>
      <c r="K65" s="808">
        <f t="shared" si="3"/>
        <v>0</v>
      </c>
      <c r="L65" s="27"/>
      <c r="M65" s="27"/>
    </row>
    <row r="66" spans="1:17" ht="15.75" thickBot="1" x14ac:dyDescent="0.3">
      <c r="A66" s="77">
        <v>315</v>
      </c>
      <c r="B66" s="78" t="s">
        <v>294</v>
      </c>
      <c r="C66" s="79">
        <v>200</v>
      </c>
      <c r="D66" s="79">
        <v>200</v>
      </c>
      <c r="E66" s="79">
        <v>200</v>
      </c>
      <c r="F66" s="79">
        <v>200</v>
      </c>
      <c r="G66" s="787">
        <f>200+100</f>
        <v>300</v>
      </c>
      <c r="H66" s="79">
        <f>200+100</f>
        <v>300</v>
      </c>
      <c r="I66" s="79">
        <f>200+100</f>
        <v>300</v>
      </c>
      <c r="J66" s="79">
        <v>100</v>
      </c>
      <c r="K66" s="808">
        <f t="shared" si="3"/>
        <v>0.33333333333333331</v>
      </c>
      <c r="L66" s="27">
        <f>SUM(I65:I66)</f>
        <v>3300</v>
      </c>
      <c r="M66" s="27">
        <f>SUM(J65:J66)</f>
        <v>100</v>
      </c>
    </row>
    <row r="67" spans="1:17" ht="15.75" x14ac:dyDescent="0.25">
      <c r="A67" s="536">
        <v>312</v>
      </c>
      <c r="B67" s="537" t="s">
        <v>246</v>
      </c>
      <c r="C67" s="541">
        <v>0</v>
      </c>
      <c r="D67" s="541">
        <v>0</v>
      </c>
      <c r="E67" s="541">
        <v>0</v>
      </c>
      <c r="F67" s="541">
        <v>0</v>
      </c>
      <c r="G67" s="541">
        <v>0</v>
      </c>
      <c r="H67" s="541">
        <v>0</v>
      </c>
      <c r="I67" s="541">
        <v>0</v>
      </c>
      <c r="J67" s="541">
        <v>0</v>
      </c>
      <c r="K67" s="808">
        <v>0</v>
      </c>
      <c r="L67" s="27"/>
      <c r="M67" s="27"/>
    </row>
    <row r="68" spans="1:17" ht="16.5" thickBot="1" x14ac:dyDescent="0.3">
      <c r="A68" s="86">
        <v>312</v>
      </c>
      <c r="B68" s="87" t="s">
        <v>63</v>
      </c>
      <c r="C68" s="88">
        <v>571450</v>
      </c>
      <c r="D68" s="88">
        <v>571450</v>
      </c>
      <c r="E68" s="716">
        <f>571450+57999</f>
        <v>629449</v>
      </c>
      <c r="F68" s="88">
        <f>571450+57999</f>
        <v>629449</v>
      </c>
      <c r="G68" s="88">
        <f t="shared" ref="G68:H68" si="23">571450+57999</f>
        <v>629449</v>
      </c>
      <c r="H68" s="88">
        <f t="shared" si="23"/>
        <v>629449</v>
      </c>
      <c r="I68" s="716">
        <f>571450+57999+2180</f>
        <v>631629</v>
      </c>
      <c r="J68" s="88">
        <v>214651</v>
      </c>
      <c r="K68" s="808">
        <f t="shared" ref="K68:K131" si="24">J68/I68</f>
        <v>0.33983715123909763</v>
      </c>
      <c r="L68" s="27"/>
      <c r="M68" s="27"/>
    </row>
    <row r="69" spans="1:17" ht="16.5" thickBot="1" x14ac:dyDescent="0.3">
      <c r="A69" s="89" t="s">
        <v>64</v>
      </c>
      <c r="B69" s="363"/>
      <c r="C69" s="90">
        <f t="shared" ref="C69:J69" si="25">SUM(C3+C11+C32+C34+C42)</f>
        <v>2532250</v>
      </c>
      <c r="D69" s="90">
        <f t="shared" si="25"/>
        <v>2532330</v>
      </c>
      <c r="E69" s="90">
        <f t="shared" si="25"/>
        <v>2640580</v>
      </c>
      <c r="F69" s="90">
        <f t="shared" si="25"/>
        <v>2641080</v>
      </c>
      <c r="G69" s="90">
        <f t="shared" si="25"/>
        <v>2702665</v>
      </c>
      <c r="H69" s="90">
        <f t="shared" si="25"/>
        <v>2740475</v>
      </c>
      <c r="I69" s="90">
        <f t="shared" si="25"/>
        <v>2743045</v>
      </c>
      <c r="J69" s="90">
        <f t="shared" si="25"/>
        <v>1026794</v>
      </c>
      <c r="K69" s="808">
        <f t="shared" si="24"/>
        <v>0.37432634171149215</v>
      </c>
      <c r="L69" s="27">
        <f t="shared" ref="L69:Q76" si="26">D69-C69</f>
        <v>80</v>
      </c>
      <c r="M69" s="27">
        <f t="shared" si="26"/>
        <v>108250</v>
      </c>
      <c r="N69" s="27">
        <f t="shared" si="26"/>
        <v>500</v>
      </c>
      <c r="O69" s="27">
        <f t="shared" si="26"/>
        <v>61585</v>
      </c>
      <c r="P69" s="27">
        <f t="shared" si="26"/>
        <v>37810</v>
      </c>
      <c r="Q69" s="27">
        <f t="shared" si="26"/>
        <v>2570</v>
      </c>
    </row>
    <row r="70" spans="1:17" x14ac:dyDescent="0.25">
      <c r="A70" s="91" t="s">
        <v>65</v>
      </c>
      <c r="B70" s="92" t="s">
        <v>66</v>
      </c>
      <c r="C70" s="93">
        <v>2450</v>
      </c>
      <c r="D70" s="93">
        <v>2450</v>
      </c>
      <c r="E70" s="93">
        <v>2450</v>
      </c>
      <c r="F70" s="93">
        <v>2450</v>
      </c>
      <c r="G70" s="93">
        <v>2450</v>
      </c>
      <c r="H70" s="93">
        <v>2450</v>
      </c>
      <c r="I70" s="93">
        <v>2450</v>
      </c>
      <c r="J70" s="93">
        <v>41</v>
      </c>
      <c r="K70" s="808">
        <f t="shared" si="24"/>
        <v>1.673469387755102E-2</v>
      </c>
      <c r="L70" s="27">
        <f t="shared" si="26"/>
        <v>0</v>
      </c>
      <c r="M70" s="27">
        <f t="shared" si="26"/>
        <v>0</v>
      </c>
      <c r="N70" s="27">
        <f t="shared" si="26"/>
        <v>0</v>
      </c>
      <c r="O70" s="27">
        <f t="shared" si="26"/>
        <v>0</v>
      </c>
      <c r="P70" s="27">
        <f t="shared" si="26"/>
        <v>0</v>
      </c>
      <c r="Q70" s="27">
        <f t="shared" si="26"/>
        <v>0</v>
      </c>
    </row>
    <row r="71" spans="1:17" ht="15.75" thickBot="1" x14ac:dyDescent="0.3">
      <c r="A71" s="94" t="s">
        <v>65</v>
      </c>
      <c r="B71" s="92" t="s">
        <v>67</v>
      </c>
      <c r="C71" s="95">
        <v>2600</v>
      </c>
      <c r="D71" s="95">
        <v>2600</v>
      </c>
      <c r="E71" s="95">
        <v>2600</v>
      </c>
      <c r="F71" s="95">
        <v>2600</v>
      </c>
      <c r="G71" s="95">
        <v>2600</v>
      </c>
      <c r="H71" s="95">
        <v>2600</v>
      </c>
      <c r="I71" s="95">
        <v>2600</v>
      </c>
      <c r="J71" s="95">
        <v>450</v>
      </c>
      <c r="K71" s="808">
        <f t="shared" si="24"/>
        <v>0.17307692307692307</v>
      </c>
      <c r="L71" s="27">
        <f t="shared" si="26"/>
        <v>0</v>
      </c>
      <c r="M71" s="27">
        <f t="shared" si="26"/>
        <v>0</v>
      </c>
      <c r="N71" s="27">
        <f t="shared" si="26"/>
        <v>0</v>
      </c>
      <c r="O71" s="27">
        <f t="shared" si="26"/>
        <v>0</v>
      </c>
      <c r="P71" s="27">
        <f t="shared" si="26"/>
        <v>0</v>
      </c>
      <c r="Q71" s="27">
        <f t="shared" si="26"/>
        <v>0</v>
      </c>
    </row>
    <row r="72" spans="1:17" ht="15.75" thickBot="1" x14ac:dyDescent="0.3">
      <c r="A72" s="882" t="s">
        <v>69</v>
      </c>
      <c r="B72" s="883"/>
      <c r="C72" s="99">
        <f t="shared" ref="C72:J72" si="27">SUM(C70:C71)</f>
        <v>5050</v>
      </c>
      <c r="D72" s="99">
        <f t="shared" si="27"/>
        <v>5050</v>
      </c>
      <c r="E72" s="99">
        <f t="shared" si="27"/>
        <v>5050</v>
      </c>
      <c r="F72" s="99">
        <f t="shared" si="27"/>
        <v>5050</v>
      </c>
      <c r="G72" s="99">
        <f t="shared" si="27"/>
        <v>5050</v>
      </c>
      <c r="H72" s="99">
        <f t="shared" si="27"/>
        <v>5050</v>
      </c>
      <c r="I72" s="99">
        <f t="shared" ref="I72" si="28">SUM(I70:I71)</f>
        <v>5050</v>
      </c>
      <c r="J72" s="99">
        <f t="shared" si="27"/>
        <v>491</v>
      </c>
      <c r="K72" s="808">
        <f t="shared" si="24"/>
        <v>9.7227722772277231E-2</v>
      </c>
      <c r="L72" s="27">
        <f t="shared" si="26"/>
        <v>0</v>
      </c>
      <c r="M72" s="27">
        <f t="shared" si="26"/>
        <v>0</v>
      </c>
      <c r="N72" s="27">
        <f t="shared" si="26"/>
        <v>0</v>
      </c>
      <c r="O72" s="27">
        <f t="shared" si="26"/>
        <v>0</v>
      </c>
      <c r="P72" s="27">
        <f t="shared" si="26"/>
        <v>0</v>
      </c>
      <c r="Q72" s="27">
        <f t="shared" si="26"/>
        <v>0</v>
      </c>
    </row>
    <row r="73" spans="1:17" ht="15.75" thickBot="1" x14ac:dyDescent="0.3">
      <c r="A73" s="100" t="s">
        <v>65</v>
      </c>
      <c r="B73" s="101" t="s">
        <v>70</v>
      </c>
      <c r="C73" s="449">
        <v>10980</v>
      </c>
      <c r="D73" s="449">
        <v>10980</v>
      </c>
      <c r="E73" s="449">
        <v>10980</v>
      </c>
      <c r="F73" s="449">
        <v>10980</v>
      </c>
      <c r="G73" s="449">
        <v>10980</v>
      </c>
      <c r="H73" s="449">
        <v>10980</v>
      </c>
      <c r="I73" s="449">
        <v>10980</v>
      </c>
      <c r="J73" s="449">
        <v>6025</v>
      </c>
      <c r="K73" s="808">
        <f t="shared" si="24"/>
        <v>0.54872495446265934</v>
      </c>
      <c r="L73" s="27">
        <f t="shared" si="26"/>
        <v>0</v>
      </c>
      <c r="M73" s="27">
        <f t="shared" si="26"/>
        <v>0</v>
      </c>
      <c r="N73" s="27">
        <f t="shared" si="26"/>
        <v>0</v>
      </c>
      <c r="O73" s="27">
        <f t="shared" si="26"/>
        <v>0</v>
      </c>
      <c r="P73" s="27">
        <f t="shared" si="26"/>
        <v>0</v>
      </c>
      <c r="Q73" s="27">
        <f t="shared" si="26"/>
        <v>0</v>
      </c>
    </row>
    <row r="74" spans="1:17" ht="15.75" thickBot="1" x14ac:dyDescent="0.3">
      <c r="A74" s="882" t="s">
        <v>266</v>
      </c>
      <c r="B74" s="883"/>
      <c r="C74" s="445">
        <f t="shared" ref="C74:J74" si="29">SUM(C73:C73)</f>
        <v>10980</v>
      </c>
      <c r="D74" s="445">
        <f t="shared" si="29"/>
        <v>10980</v>
      </c>
      <c r="E74" s="445">
        <f t="shared" si="29"/>
        <v>10980</v>
      </c>
      <c r="F74" s="445">
        <f t="shared" si="29"/>
        <v>10980</v>
      </c>
      <c r="G74" s="445">
        <f t="shared" si="29"/>
        <v>10980</v>
      </c>
      <c r="H74" s="445">
        <f t="shared" si="29"/>
        <v>10980</v>
      </c>
      <c r="I74" s="445">
        <f t="shared" ref="I74" si="30">SUM(I73:I73)</f>
        <v>10980</v>
      </c>
      <c r="J74" s="445">
        <f t="shared" si="29"/>
        <v>6025</v>
      </c>
      <c r="K74" s="808">
        <f t="shared" si="24"/>
        <v>0.54872495446265934</v>
      </c>
      <c r="L74" s="27">
        <f t="shared" si="26"/>
        <v>0</v>
      </c>
      <c r="M74" s="27">
        <f t="shared" si="26"/>
        <v>0</v>
      </c>
      <c r="N74" s="27">
        <f t="shared" si="26"/>
        <v>0</v>
      </c>
      <c r="O74" s="27">
        <f t="shared" si="26"/>
        <v>0</v>
      </c>
      <c r="P74" s="27">
        <f t="shared" si="26"/>
        <v>0</v>
      </c>
      <c r="Q74" s="27">
        <f t="shared" si="26"/>
        <v>0</v>
      </c>
    </row>
    <row r="75" spans="1:17" ht="16.5" thickBot="1" x14ac:dyDescent="0.3">
      <c r="A75" s="884" t="s">
        <v>71</v>
      </c>
      <c r="B75" s="885"/>
      <c r="C75" s="103">
        <f t="shared" ref="C75:J75" si="31">C72+C74</f>
        <v>16030</v>
      </c>
      <c r="D75" s="103">
        <f t="shared" si="31"/>
        <v>16030</v>
      </c>
      <c r="E75" s="103">
        <f t="shared" si="31"/>
        <v>16030</v>
      </c>
      <c r="F75" s="103">
        <f t="shared" si="31"/>
        <v>16030</v>
      </c>
      <c r="G75" s="103">
        <f t="shared" si="31"/>
        <v>16030</v>
      </c>
      <c r="H75" s="103">
        <f t="shared" si="31"/>
        <v>16030</v>
      </c>
      <c r="I75" s="103">
        <f t="shared" ref="I75" si="32">I72+I74</f>
        <v>16030</v>
      </c>
      <c r="J75" s="103">
        <f t="shared" si="31"/>
        <v>6516</v>
      </c>
      <c r="K75" s="808">
        <f t="shared" si="24"/>
        <v>0.40648783530879601</v>
      </c>
      <c r="L75" s="27">
        <f t="shared" si="26"/>
        <v>0</v>
      </c>
      <c r="M75" s="27">
        <f t="shared" si="26"/>
        <v>0</v>
      </c>
      <c r="N75" s="27">
        <f t="shared" si="26"/>
        <v>0</v>
      </c>
      <c r="O75" s="27">
        <f t="shared" si="26"/>
        <v>0</v>
      </c>
      <c r="P75" s="27">
        <f t="shared" si="26"/>
        <v>0</v>
      </c>
      <c r="Q75" s="27">
        <f t="shared" si="26"/>
        <v>0</v>
      </c>
    </row>
    <row r="76" spans="1:17" ht="16.5" thickBot="1" x14ac:dyDescent="0.3">
      <c r="A76" s="89" t="s">
        <v>72</v>
      </c>
      <c r="B76" s="66"/>
      <c r="C76" s="90">
        <f t="shared" ref="C76:J76" si="33">C69+C75</f>
        <v>2548280</v>
      </c>
      <c r="D76" s="90">
        <f t="shared" si="33"/>
        <v>2548360</v>
      </c>
      <c r="E76" s="90">
        <f t="shared" si="33"/>
        <v>2656610</v>
      </c>
      <c r="F76" s="90">
        <f t="shared" si="33"/>
        <v>2657110</v>
      </c>
      <c r="G76" s="90">
        <f t="shared" si="33"/>
        <v>2718695</v>
      </c>
      <c r="H76" s="90">
        <f t="shared" si="33"/>
        <v>2756505</v>
      </c>
      <c r="I76" s="90">
        <f t="shared" ref="I76" si="34">I69+I75</f>
        <v>2759075</v>
      </c>
      <c r="J76" s="90">
        <f t="shared" si="33"/>
        <v>1033310</v>
      </c>
      <c r="K76" s="808">
        <f t="shared" si="24"/>
        <v>0.37451319735781013</v>
      </c>
      <c r="L76" s="27">
        <f t="shared" si="26"/>
        <v>80</v>
      </c>
      <c r="M76" s="27">
        <f t="shared" si="26"/>
        <v>108250</v>
      </c>
      <c r="N76" s="27">
        <f t="shared" si="26"/>
        <v>500</v>
      </c>
      <c r="O76" s="27">
        <f t="shared" si="26"/>
        <v>61585</v>
      </c>
      <c r="P76" s="27">
        <f t="shared" si="26"/>
        <v>37810</v>
      </c>
      <c r="Q76" s="27">
        <f t="shared" si="26"/>
        <v>2570</v>
      </c>
    </row>
    <row r="77" spans="1:17" ht="38.25" customHeight="1" x14ac:dyDescent="0.25">
      <c r="A77" s="1"/>
      <c r="B77" s="1"/>
      <c r="C77" s="104"/>
      <c r="D77" s="104"/>
      <c r="E77" s="104"/>
      <c r="F77" s="104"/>
      <c r="G77" s="104"/>
      <c r="H77" s="104"/>
      <c r="I77" s="104"/>
      <c r="J77" s="104"/>
      <c r="K77" s="808"/>
      <c r="L77" s="104"/>
    </row>
    <row r="78" spans="1:17" ht="33.75" customHeight="1" x14ac:dyDescent="0.25">
      <c r="A78" s="105"/>
      <c r="B78" s="106"/>
      <c r="C78" s="107"/>
      <c r="D78" s="107"/>
      <c r="E78" s="107"/>
      <c r="F78" s="107"/>
      <c r="G78" s="107"/>
      <c r="H78" s="107"/>
      <c r="I78" s="107"/>
      <c r="J78" s="107"/>
      <c r="K78" s="808"/>
      <c r="L78" s="107"/>
    </row>
    <row r="79" spans="1:17" ht="18.75" thickBot="1" x14ac:dyDescent="0.3">
      <c r="A79" s="886" t="s">
        <v>73</v>
      </c>
      <c r="B79" s="887"/>
      <c r="C79" s="887"/>
      <c r="D79" s="887"/>
      <c r="E79" s="887"/>
      <c r="F79" s="887"/>
      <c r="G79" s="887"/>
      <c r="H79" s="887"/>
      <c r="I79" s="887"/>
      <c r="J79" s="887"/>
      <c r="K79" s="808"/>
      <c r="L79" s="1"/>
    </row>
    <row r="80" spans="1:17" ht="25.5" customHeight="1" thickBot="1" x14ac:dyDescent="0.3">
      <c r="A80" s="864" t="s">
        <v>1</v>
      </c>
      <c r="B80" s="888"/>
      <c r="C80" s="413" t="s">
        <v>454</v>
      </c>
      <c r="D80" s="413" t="s">
        <v>496</v>
      </c>
      <c r="E80" s="413" t="s">
        <v>547</v>
      </c>
      <c r="F80" s="413" t="s">
        <v>497</v>
      </c>
      <c r="G80" s="413" t="s">
        <v>568</v>
      </c>
      <c r="H80" s="413" t="s">
        <v>569</v>
      </c>
      <c r="I80" s="413" t="s">
        <v>641</v>
      </c>
      <c r="J80" s="413" t="s">
        <v>642</v>
      </c>
      <c r="K80" s="808"/>
      <c r="L80" s="1"/>
    </row>
    <row r="81" spans="1:12" ht="15.75" thickBot="1" x14ac:dyDescent="0.3">
      <c r="A81" s="108" t="s">
        <v>74</v>
      </c>
      <c r="B81" s="109"/>
      <c r="C81" s="112">
        <f t="shared" ref="C81:J81" si="35">SUM(C82:C86)</f>
        <v>315730</v>
      </c>
      <c r="D81" s="112">
        <f t="shared" si="35"/>
        <v>315810</v>
      </c>
      <c r="E81" s="112">
        <f t="shared" si="35"/>
        <v>314840</v>
      </c>
      <c r="F81" s="112">
        <f t="shared" si="35"/>
        <v>312240</v>
      </c>
      <c r="G81" s="112">
        <f t="shared" si="35"/>
        <v>313440</v>
      </c>
      <c r="H81" s="112">
        <f t="shared" si="35"/>
        <v>314240</v>
      </c>
      <c r="I81" s="112">
        <f t="shared" ref="I81" si="36">SUM(I82:I86)</f>
        <v>314240</v>
      </c>
      <c r="J81" s="112">
        <f t="shared" si="35"/>
        <v>92476</v>
      </c>
      <c r="K81" s="808">
        <f t="shared" si="24"/>
        <v>0.29428462321792259</v>
      </c>
      <c r="L81" s="1"/>
    </row>
    <row r="82" spans="1:12" x14ac:dyDescent="0.25">
      <c r="A82" s="113" t="s">
        <v>75</v>
      </c>
      <c r="B82" s="85" t="s">
        <v>76</v>
      </c>
      <c r="C82" s="56">
        <v>155900</v>
      </c>
      <c r="D82" s="56">
        <v>155900</v>
      </c>
      <c r="E82" s="56">
        <v>155900</v>
      </c>
      <c r="F82" s="749">
        <f>155900-1600</f>
        <v>154300</v>
      </c>
      <c r="G82" s="749">
        <f>155900-1600+1200</f>
        <v>155500</v>
      </c>
      <c r="H82" s="749">
        <f>155900-1600+1200+800</f>
        <v>156300</v>
      </c>
      <c r="I82" s="56">
        <f>155900-1600+1200+800</f>
        <v>156300</v>
      </c>
      <c r="J82" s="56">
        <v>43765</v>
      </c>
      <c r="K82" s="808">
        <f t="shared" si="24"/>
        <v>0.28000639795265514</v>
      </c>
      <c r="L82" s="1"/>
    </row>
    <row r="83" spans="1:12" x14ac:dyDescent="0.25">
      <c r="A83" s="117" t="s">
        <v>77</v>
      </c>
      <c r="B83" s="118" t="s">
        <v>78</v>
      </c>
      <c r="C83" s="61">
        <f>94000+5700</f>
        <v>99700</v>
      </c>
      <c r="D83" s="61">
        <f>94000+5700</f>
        <v>99700</v>
      </c>
      <c r="E83" s="61">
        <f>94000+5700</f>
        <v>99700</v>
      </c>
      <c r="F83" s="741">
        <f>94000+5700-1000-2000</f>
        <v>96700</v>
      </c>
      <c r="G83" s="61">
        <f t="shared" ref="G83:I83" si="37">94000+5700-1000-2000</f>
        <v>96700</v>
      </c>
      <c r="H83" s="61">
        <f t="shared" si="37"/>
        <v>96700</v>
      </c>
      <c r="I83" s="61">
        <f t="shared" si="37"/>
        <v>96700</v>
      </c>
      <c r="J83" s="61">
        <v>32273</v>
      </c>
      <c r="K83" s="808">
        <f t="shared" si="24"/>
        <v>0.33374353671147883</v>
      </c>
      <c r="L83" s="1"/>
    </row>
    <row r="84" spans="1:12" x14ac:dyDescent="0.25">
      <c r="A84" s="117" t="s">
        <v>79</v>
      </c>
      <c r="B84" s="118" t="s">
        <v>80</v>
      </c>
      <c r="C84" s="61">
        <v>2500</v>
      </c>
      <c r="D84" s="61">
        <v>2500</v>
      </c>
      <c r="E84" s="61">
        <v>2500</v>
      </c>
      <c r="F84" s="741">
        <f>2500+2000</f>
        <v>4500</v>
      </c>
      <c r="G84" s="61">
        <f t="shared" ref="G84:I84" si="38">2500+2000</f>
        <v>4500</v>
      </c>
      <c r="H84" s="61">
        <f t="shared" si="38"/>
        <v>4500</v>
      </c>
      <c r="I84" s="61">
        <f t="shared" si="38"/>
        <v>4500</v>
      </c>
      <c r="J84" s="61">
        <v>568</v>
      </c>
      <c r="K84" s="808">
        <f t="shared" si="24"/>
        <v>0.12622222222222224</v>
      </c>
      <c r="L84" s="1"/>
    </row>
    <row r="85" spans="1:12" x14ac:dyDescent="0.25">
      <c r="A85" s="121" t="s">
        <v>81</v>
      </c>
      <c r="B85" s="118" t="s">
        <v>82</v>
      </c>
      <c r="C85" s="61">
        <v>53600</v>
      </c>
      <c r="D85" s="741">
        <f>53600+80</f>
        <v>53680</v>
      </c>
      <c r="E85" s="61">
        <f>53600+80</f>
        <v>53680</v>
      </c>
      <c r="F85" s="61">
        <f>53600+80</f>
        <v>53680</v>
      </c>
      <c r="G85" s="61">
        <f t="shared" ref="G85:I85" si="39">53600+80</f>
        <v>53680</v>
      </c>
      <c r="H85" s="61">
        <f t="shared" si="39"/>
        <v>53680</v>
      </c>
      <c r="I85" s="61">
        <f t="shared" si="39"/>
        <v>53680</v>
      </c>
      <c r="J85" s="61">
        <v>13121</v>
      </c>
      <c r="K85" s="808">
        <f t="shared" si="24"/>
        <v>0.24442995529061104</v>
      </c>
      <c r="L85" s="1"/>
    </row>
    <row r="86" spans="1:12" ht="15.75" thickBot="1" x14ac:dyDescent="0.3">
      <c r="A86" s="123" t="s">
        <v>83</v>
      </c>
      <c r="B86" s="124" t="s">
        <v>498</v>
      </c>
      <c r="C86" s="128">
        <v>4030</v>
      </c>
      <c r="D86" s="128">
        <f>4030</f>
        <v>4030</v>
      </c>
      <c r="E86" s="742">
        <f>4030-970</f>
        <v>3060</v>
      </c>
      <c r="F86" s="128">
        <f>4030-970</f>
        <v>3060</v>
      </c>
      <c r="G86" s="128">
        <f t="shared" ref="G86:I86" si="40">4030-970</f>
        <v>3060</v>
      </c>
      <c r="H86" s="128">
        <f t="shared" si="40"/>
        <v>3060</v>
      </c>
      <c r="I86" s="128">
        <f t="shared" si="40"/>
        <v>3060</v>
      </c>
      <c r="J86" s="128">
        <v>2749</v>
      </c>
      <c r="K86" s="808">
        <f t="shared" si="24"/>
        <v>0.89836601307189545</v>
      </c>
      <c r="L86" s="1"/>
    </row>
    <row r="87" spans="1:12" ht="15.75" thickBot="1" x14ac:dyDescent="0.3">
      <c r="A87" s="129" t="s">
        <v>84</v>
      </c>
      <c r="B87" s="130"/>
      <c r="C87" s="112">
        <f t="shared" ref="C87:J87" si="41">SUM(C88)</f>
        <v>4900</v>
      </c>
      <c r="D87" s="112">
        <f t="shared" si="41"/>
        <v>4900</v>
      </c>
      <c r="E87" s="112">
        <f t="shared" si="41"/>
        <v>4900</v>
      </c>
      <c r="F87" s="112">
        <f t="shared" si="41"/>
        <v>4900</v>
      </c>
      <c r="G87" s="112">
        <f t="shared" si="41"/>
        <v>4900</v>
      </c>
      <c r="H87" s="112">
        <f t="shared" si="41"/>
        <v>5900</v>
      </c>
      <c r="I87" s="112">
        <f t="shared" si="41"/>
        <v>5900</v>
      </c>
      <c r="J87" s="112">
        <f t="shared" si="41"/>
        <v>70</v>
      </c>
      <c r="K87" s="808">
        <f t="shared" si="24"/>
        <v>1.1864406779661017E-2</v>
      </c>
      <c r="L87" s="1"/>
    </row>
    <row r="88" spans="1:12" ht="15.75" thickBot="1" x14ac:dyDescent="0.3">
      <c r="A88" s="131" t="s">
        <v>85</v>
      </c>
      <c r="B88" s="106" t="s">
        <v>269</v>
      </c>
      <c r="C88" s="134">
        <v>4900</v>
      </c>
      <c r="D88" s="134">
        <v>4900</v>
      </c>
      <c r="E88" s="134">
        <v>4900</v>
      </c>
      <c r="F88" s="134">
        <v>4900</v>
      </c>
      <c r="G88" s="134">
        <v>4900</v>
      </c>
      <c r="H88" s="802">
        <f>4900+1000</f>
        <v>5900</v>
      </c>
      <c r="I88" s="134">
        <f>4900+1000</f>
        <v>5900</v>
      </c>
      <c r="J88" s="134">
        <v>70</v>
      </c>
      <c r="K88" s="808">
        <f t="shared" si="24"/>
        <v>1.1864406779661017E-2</v>
      </c>
      <c r="L88" s="1"/>
    </row>
    <row r="89" spans="1:12" ht="15.75" thickBot="1" x14ac:dyDescent="0.3">
      <c r="A89" s="129" t="s">
        <v>86</v>
      </c>
      <c r="B89" s="130"/>
      <c r="C89" s="112">
        <f t="shared" ref="C89:J89" si="42">SUM(C90:C91)</f>
        <v>26400</v>
      </c>
      <c r="D89" s="112">
        <f t="shared" ref="D89:H89" si="43">SUM(D90:D91)</f>
        <v>26400</v>
      </c>
      <c r="E89" s="112">
        <f t="shared" si="43"/>
        <v>26400</v>
      </c>
      <c r="F89" s="112">
        <f t="shared" si="43"/>
        <v>30100</v>
      </c>
      <c r="G89" s="112">
        <f t="shared" si="43"/>
        <v>41850</v>
      </c>
      <c r="H89" s="112">
        <f t="shared" si="43"/>
        <v>42410</v>
      </c>
      <c r="I89" s="112">
        <f t="shared" ref="I89" si="44">SUM(I90:I91)</f>
        <v>42410</v>
      </c>
      <c r="J89" s="112">
        <f t="shared" si="42"/>
        <v>7250</v>
      </c>
      <c r="K89" s="808">
        <f t="shared" si="24"/>
        <v>0.17095024758311719</v>
      </c>
      <c r="L89" s="1"/>
    </row>
    <row r="90" spans="1:12" x14ac:dyDescent="0.25">
      <c r="A90" s="135" t="s">
        <v>87</v>
      </c>
      <c r="B90" s="136" t="s">
        <v>88</v>
      </c>
      <c r="C90" s="139">
        <v>24600</v>
      </c>
      <c r="D90" s="139">
        <v>24600</v>
      </c>
      <c r="E90" s="139">
        <v>24600</v>
      </c>
      <c r="F90" s="761">
        <f>24600+1700</f>
        <v>26300</v>
      </c>
      <c r="G90" s="761">
        <f>24600+1700+11750</f>
        <v>38050</v>
      </c>
      <c r="H90" s="139">
        <f>24600+1700+11750</f>
        <v>38050</v>
      </c>
      <c r="I90" s="139">
        <f>24600+1700+11750</f>
        <v>38050</v>
      </c>
      <c r="J90" s="139">
        <v>6914</v>
      </c>
      <c r="K90" s="808">
        <f t="shared" si="24"/>
        <v>0.18170827858081473</v>
      </c>
      <c r="L90" s="1"/>
    </row>
    <row r="91" spans="1:12" ht="15.75" thickBot="1" x14ac:dyDescent="0.3">
      <c r="A91" s="140" t="s">
        <v>89</v>
      </c>
      <c r="B91" s="141" t="s">
        <v>90</v>
      </c>
      <c r="C91" s="128">
        <v>1800</v>
      </c>
      <c r="D91" s="128">
        <v>1800</v>
      </c>
      <c r="E91" s="128">
        <v>1800</v>
      </c>
      <c r="F91" s="742">
        <f>1800+2000</f>
        <v>3800</v>
      </c>
      <c r="G91" s="128">
        <f t="shared" ref="G91" si="45">1800+2000</f>
        <v>3800</v>
      </c>
      <c r="H91" s="742">
        <f>1800+2000+560</f>
        <v>4360</v>
      </c>
      <c r="I91" s="128">
        <f>1800+2000+560</f>
        <v>4360</v>
      </c>
      <c r="J91" s="128">
        <v>336</v>
      </c>
      <c r="K91" s="808">
        <f t="shared" si="24"/>
        <v>7.7064220183486243E-2</v>
      </c>
      <c r="L91" s="1"/>
    </row>
    <row r="92" spans="1:12" ht="15.75" thickBot="1" x14ac:dyDescent="0.3">
      <c r="A92" s="108" t="s">
        <v>91</v>
      </c>
      <c r="B92" s="144"/>
      <c r="C92" s="112">
        <f t="shared" ref="C92:J92" si="46">SUM(C93:C95)</f>
        <v>81600</v>
      </c>
      <c r="D92" s="112">
        <f t="shared" si="46"/>
        <v>81600</v>
      </c>
      <c r="E92" s="112">
        <f t="shared" si="46"/>
        <v>82200</v>
      </c>
      <c r="F92" s="112">
        <f t="shared" si="46"/>
        <v>82200</v>
      </c>
      <c r="G92" s="112">
        <f t="shared" si="46"/>
        <v>82200</v>
      </c>
      <c r="H92" s="112">
        <f t="shared" si="46"/>
        <v>83350</v>
      </c>
      <c r="I92" s="112">
        <f t="shared" ref="I92" si="47">SUM(I93:I95)</f>
        <v>83350</v>
      </c>
      <c r="J92" s="112">
        <f t="shared" si="46"/>
        <v>26028</v>
      </c>
      <c r="K92" s="808">
        <f t="shared" si="24"/>
        <v>0.31227354529094181</v>
      </c>
      <c r="L92" s="1"/>
    </row>
    <row r="93" spans="1:12" x14ac:dyDescent="0.25">
      <c r="A93" s="145" t="s">
        <v>92</v>
      </c>
      <c r="B93" s="146" t="s">
        <v>93</v>
      </c>
      <c r="C93" s="55">
        <v>27600</v>
      </c>
      <c r="D93" s="55">
        <v>27600</v>
      </c>
      <c r="E93" s="55">
        <v>27600</v>
      </c>
      <c r="F93" s="55">
        <v>27600</v>
      </c>
      <c r="G93" s="55">
        <v>27600</v>
      </c>
      <c r="H93" s="55">
        <v>27600</v>
      </c>
      <c r="I93" s="55">
        <v>27600</v>
      </c>
      <c r="J93" s="55">
        <v>8153</v>
      </c>
      <c r="K93" s="808">
        <f t="shared" si="24"/>
        <v>0.29539855072463767</v>
      </c>
      <c r="L93" s="1"/>
    </row>
    <row r="94" spans="1:12" x14ac:dyDescent="0.25">
      <c r="A94" s="121" t="s">
        <v>94</v>
      </c>
      <c r="B94" s="118" t="s">
        <v>95</v>
      </c>
      <c r="C94" s="60">
        <v>33900</v>
      </c>
      <c r="D94" s="60">
        <v>33900</v>
      </c>
      <c r="E94" s="745">
        <f>33900+600</f>
        <v>34500</v>
      </c>
      <c r="F94" s="60">
        <f>33900+600</f>
        <v>34500</v>
      </c>
      <c r="G94" s="60">
        <f t="shared" ref="G94" si="48">33900+600</f>
        <v>34500</v>
      </c>
      <c r="H94" s="745">
        <f>33900+600+1150</f>
        <v>35650</v>
      </c>
      <c r="I94" s="60">
        <f>33900+600+1150</f>
        <v>35650</v>
      </c>
      <c r="J94" s="60">
        <v>8254</v>
      </c>
      <c r="K94" s="808">
        <f t="shared" si="24"/>
        <v>0.23152875175315568</v>
      </c>
      <c r="L94" s="1"/>
    </row>
    <row r="95" spans="1:12" ht="15.75" thickBot="1" x14ac:dyDescent="0.3">
      <c r="A95" s="121" t="s">
        <v>96</v>
      </c>
      <c r="B95" s="118" t="s">
        <v>97</v>
      </c>
      <c r="C95" s="60">
        <v>20100</v>
      </c>
      <c r="D95" s="60">
        <v>20100</v>
      </c>
      <c r="E95" s="60">
        <v>20100</v>
      </c>
      <c r="F95" s="60">
        <v>20100</v>
      </c>
      <c r="G95" s="60">
        <v>20100</v>
      </c>
      <c r="H95" s="60">
        <v>20100</v>
      </c>
      <c r="I95" s="60">
        <v>20100</v>
      </c>
      <c r="J95" s="60">
        <v>9621</v>
      </c>
      <c r="K95" s="808">
        <f t="shared" si="24"/>
        <v>0.47865671641791047</v>
      </c>
      <c r="L95" s="1"/>
    </row>
    <row r="96" spans="1:12" ht="15.75" thickBot="1" x14ac:dyDescent="0.3">
      <c r="A96" s="889" t="s">
        <v>98</v>
      </c>
      <c r="B96" s="890"/>
      <c r="C96" s="112">
        <f t="shared" ref="C96:J96" si="49">SUM(C97:C100)</f>
        <v>152200</v>
      </c>
      <c r="D96" s="112">
        <f t="shared" si="49"/>
        <v>152200</v>
      </c>
      <c r="E96" s="112">
        <f t="shared" si="49"/>
        <v>152200</v>
      </c>
      <c r="F96" s="112">
        <f t="shared" si="49"/>
        <v>155100</v>
      </c>
      <c r="G96" s="112">
        <f t="shared" si="49"/>
        <v>168130</v>
      </c>
      <c r="H96" s="112">
        <f t="shared" si="49"/>
        <v>168130</v>
      </c>
      <c r="I96" s="112">
        <f t="shared" ref="I96" si="50">SUM(I97:I100)</f>
        <v>168130</v>
      </c>
      <c r="J96" s="112">
        <f t="shared" si="49"/>
        <v>48818</v>
      </c>
      <c r="K96" s="808">
        <f t="shared" si="24"/>
        <v>0.29035865104383513</v>
      </c>
      <c r="L96" s="1"/>
    </row>
    <row r="97" spans="1:12" x14ac:dyDescent="0.25">
      <c r="A97" s="153" t="s">
        <v>99</v>
      </c>
      <c r="B97" s="154" t="s">
        <v>100</v>
      </c>
      <c r="C97" s="139">
        <v>70400</v>
      </c>
      <c r="D97" s="139">
        <v>70400</v>
      </c>
      <c r="E97" s="139">
        <v>70400</v>
      </c>
      <c r="F97" s="139">
        <v>70400</v>
      </c>
      <c r="G97" s="761">
        <f>70400+930</f>
        <v>71330</v>
      </c>
      <c r="H97" s="139">
        <f>70400+930</f>
        <v>71330</v>
      </c>
      <c r="I97" s="139">
        <f>70400+930</f>
        <v>71330</v>
      </c>
      <c r="J97" s="139">
        <v>20790</v>
      </c>
      <c r="K97" s="808">
        <f t="shared" si="24"/>
        <v>0.29146221786064769</v>
      </c>
      <c r="L97" s="1"/>
    </row>
    <row r="98" spans="1:12" x14ac:dyDescent="0.25">
      <c r="A98" s="121" t="s">
        <v>101</v>
      </c>
      <c r="B98" s="118" t="s">
        <v>102</v>
      </c>
      <c r="C98" s="152">
        <v>70300</v>
      </c>
      <c r="D98" s="152">
        <v>70300</v>
      </c>
      <c r="E98" s="152">
        <v>70300</v>
      </c>
      <c r="F98" s="762">
        <f>70300+2900</f>
        <v>73200</v>
      </c>
      <c r="G98" s="762">
        <f>70300+2900+12100</f>
        <v>85300</v>
      </c>
      <c r="H98" s="152">
        <f>70300+2900+12100</f>
        <v>85300</v>
      </c>
      <c r="I98" s="152">
        <f>70300+2900+12100</f>
        <v>85300</v>
      </c>
      <c r="J98" s="152">
        <v>27583</v>
      </c>
      <c r="K98" s="808">
        <f t="shared" si="24"/>
        <v>0.3233645955451348</v>
      </c>
      <c r="L98" s="1"/>
    </row>
    <row r="99" spans="1:12" x14ac:dyDescent="0.25">
      <c r="A99" s="131" t="s">
        <v>103</v>
      </c>
      <c r="B99" s="159" t="s">
        <v>104</v>
      </c>
      <c r="C99" s="163">
        <v>1700</v>
      </c>
      <c r="D99" s="163">
        <v>1700</v>
      </c>
      <c r="E99" s="163">
        <v>1700</v>
      </c>
      <c r="F99" s="163">
        <v>1700</v>
      </c>
      <c r="G99" s="163">
        <v>1700</v>
      </c>
      <c r="H99" s="163">
        <v>1700</v>
      </c>
      <c r="I99" s="163">
        <v>1700</v>
      </c>
      <c r="J99" s="163">
        <v>0</v>
      </c>
      <c r="K99" s="808">
        <f t="shared" si="24"/>
        <v>0</v>
      </c>
      <c r="L99" s="1"/>
    </row>
    <row r="100" spans="1:12" ht="15.75" thickBot="1" x14ac:dyDescent="0.3">
      <c r="A100" s="164" t="s">
        <v>105</v>
      </c>
      <c r="B100" s="165" t="s">
        <v>106</v>
      </c>
      <c r="C100" s="168">
        <v>9800</v>
      </c>
      <c r="D100" s="168">
        <v>9800</v>
      </c>
      <c r="E100" s="168">
        <v>9800</v>
      </c>
      <c r="F100" s="168">
        <v>9800</v>
      </c>
      <c r="G100" s="168">
        <v>9800</v>
      </c>
      <c r="H100" s="168">
        <v>9800</v>
      </c>
      <c r="I100" s="168">
        <v>9800</v>
      </c>
      <c r="J100" s="168">
        <v>445</v>
      </c>
      <c r="K100" s="808">
        <f t="shared" si="24"/>
        <v>4.5408163265306126E-2</v>
      </c>
      <c r="L100" s="1"/>
    </row>
    <row r="101" spans="1:12" ht="15.75" thickBot="1" x14ac:dyDescent="0.3">
      <c r="A101" s="108" t="s">
        <v>107</v>
      </c>
      <c r="B101" s="144"/>
      <c r="C101" s="110">
        <f t="shared" ref="C101:J101" si="51">SUM(C102:C104)</f>
        <v>259100</v>
      </c>
      <c r="D101" s="110">
        <f t="shared" ref="D101:H101" si="52">SUM(D102:D104)</f>
        <v>259100</v>
      </c>
      <c r="E101" s="110">
        <f t="shared" si="52"/>
        <v>259100</v>
      </c>
      <c r="F101" s="110">
        <f t="shared" si="52"/>
        <v>261000</v>
      </c>
      <c r="G101" s="110">
        <f t="shared" si="52"/>
        <v>280970</v>
      </c>
      <c r="H101" s="110">
        <f t="shared" si="52"/>
        <v>280970</v>
      </c>
      <c r="I101" s="110">
        <f t="shared" ref="I101" si="53">SUM(I102:I104)</f>
        <v>280970</v>
      </c>
      <c r="J101" s="110">
        <f t="shared" si="51"/>
        <v>71621</v>
      </c>
      <c r="K101" s="808">
        <f t="shared" si="24"/>
        <v>0.2549062177456668</v>
      </c>
      <c r="L101" s="1"/>
    </row>
    <row r="102" spans="1:12" x14ac:dyDescent="0.25">
      <c r="A102" s="145" t="s">
        <v>108</v>
      </c>
      <c r="B102" s="85" t="s">
        <v>109</v>
      </c>
      <c r="C102" s="116">
        <v>181000</v>
      </c>
      <c r="D102" s="116">
        <v>181000</v>
      </c>
      <c r="E102" s="116">
        <v>181000</v>
      </c>
      <c r="F102" s="763">
        <f>181000-18200</f>
        <v>162800</v>
      </c>
      <c r="G102" s="763">
        <f>181000-18200+3780</f>
        <v>166580</v>
      </c>
      <c r="H102" s="116">
        <f>181000-18200+3780</f>
        <v>166580</v>
      </c>
      <c r="I102" s="116">
        <f>181000-18200+3780</f>
        <v>166580</v>
      </c>
      <c r="J102" s="116">
        <v>38651</v>
      </c>
      <c r="K102" s="808">
        <f t="shared" si="24"/>
        <v>0.2320266538600072</v>
      </c>
      <c r="L102" s="1"/>
    </row>
    <row r="103" spans="1:12" x14ac:dyDescent="0.25">
      <c r="A103" s="170" t="s">
        <v>110</v>
      </c>
      <c r="B103" s="118" t="s">
        <v>111</v>
      </c>
      <c r="C103" s="152">
        <v>58200</v>
      </c>
      <c r="D103" s="152">
        <v>58200</v>
      </c>
      <c r="E103" s="152">
        <v>58200</v>
      </c>
      <c r="F103" s="762">
        <f>58200+15600</f>
        <v>73800</v>
      </c>
      <c r="G103" s="762">
        <f>58200+15600+12400</f>
        <v>86200</v>
      </c>
      <c r="H103" s="152">
        <f>58200+15600+12400</f>
        <v>86200</v>
      </c>
      <c r="I103" s="152">
        <f>58200+15600+12400</f>
        <v>86200</v>
      </c>
      <c r="J103" s="152">
        <v>26828</v>
      </c>
      <c r="K103" s="808">
        <f t="shared" si="24"/>
        <v>0.31122969837587006</v>
      </c>
      <c r="L103" s="1"/>
    </row>
    <row r="104" spans="1:12" ht="15.75" thickBot="1" x14ac:dyDescent="0.3">
      <c r="A104" s="171" t="s">
        <v>112</v>
      </c>
      <c r="B104" s="165" t="s">
        <v>113</v>
      </c>
      <c r="C104" s="174">
        <v>19900</v>
      </c>
      <c r="D104" s="174">
        <v>19900</v>
      </c>
      <c r="E104" s="174">
        <v>19900</v>
      </c>
      <c r="F104" s="764">
        <f>19900+7500-3000</f>
        <v>24400</v>
      </c>
      <c r="G104" s="764">
        <f>19900+7500-3000+3790</f>
        <v>28190</v>
      </c>
      <c r="H104" s="174">
        <f>19900+7500-3000+3790</f>
        <v>28190</v>
      </c>
      <c r="I104" s="174">
        <f>19900+7500-3000+3790</f>
        <v>28190</v>
      </c>
      <c r="J104" s="174">
        <v>6142</v>
      </c>
      <c r="K104" s="808">
        <f t="shared" si="24"/>
        <v>0.21787868038311459</v>
      </c>
      <c r="L104" s="1"/>
    </row>
    <row r="105" spans="1:12" ht="15.75" thickBot="1" x14ac:dyDescent="0.3">
      <c r="A105" s="175" t="s">
        <v>114</v>
      </c>
      <c r="B105" s="176"/>
      <c r="C105" s="177">
        <f t="shared" ref="C105:J105" si="54">SUM(C106:C109)</f>
        <v>830</v>
      </c>
      <c r="D105" s="177">
        <f t="shared" ref="D105:H105" si="55">SUM(D106:D109)</f>
        <v>830</v>
      </c>
      <c r="E105" s="177">
        <f t="shared" si="55"/>
        <v>830</v>
      </c>
      <c r="F105" s="177">
        <f t="shared" si="55"/>
        <v>830</v>
      </c>
      <c r="G105" s="177">
        <f t="shared" si="55"/>
        <v>830</v>
      </c>
      <c r="H105" s="177">
        <f t="shared" si="55"/>
        <v>830</v>
      </c>
      <c r="I105" s="177">
        <f t="shared" ref="I105" si="56">SUM(I106:I109)</f>
        <v>860</v>
      </c>
      <c r="J105" s="177">
        <f t="shared" si="54"/>
        <v>125</v>
      </c>
      <c r="K105" s="808">
        <f t="shared" si="24"/>
        <v>0.14534883720930233</v>
      </c>
      <c r="L105" s="1"/>
    </row>
    <row r="106" spans="1:12" x14ac:dyDescent="0.25">
      <c r="A106" s="135" t="s">
        <v>115</v>
      </c>
      <c r="B106" s="154" t="s">
        <v>116</v>
      </c>
      <c r="C106" s="181">
        <v>50</v>
      </c>
      <c r="D106" s="181">
        <v>50</v>
      </c>
      <c r="E106" s="181">
        <v>50</v>
      </c>
      <c r="F106" s="181">
        <v>50</v>
      </c>
      <c r="G106" s="181">
        <v>50</v>
      </c>
      <c r="H106" s="181">
        <v>50</v>
      </c>
      <c r="I106" s="181">
        <v>50</v>
      </c>
      <c r="J106" s="181">
        <v>0</v>
      </c>
      <c r="K106" s="808">
        <f t="shared" si="24"/>
        <v>0</v>
      </c>
      <c r="L106" s="1"/>
    </row>
    <row r="107" spans="1:12" x14ac:dyDescent="0.25">
      <c r="A107" s="170" t="s">
        <v>117</v>
      </c>
      <c r="B107" s="118" t="s">
        <v>118</v>
      </c>
      <c r="C107" s="184">
        <v>50</v>
      </c>
      <c r="D107" s="184">
        <v>50</v>
      </c>
      <c r="E107" s="184">
        <v>50</v>
      </c>
      <c r="F107" s="184">
        <v>50</v>
      </c>
      <c r="G107" s="184">
        <v>50</v>
      </c>
      <c r="H107" s="184">
        <v>50</v>
      </c>
      <c r="I107" s="184">
        <v>50</v>
      </c>
      <c r="J107" s="184">
        <v>0</v>
      </c>
      <c r="K107" s="808">
        <f t="shared" si="24"/>
        <v>0</v>
      </c>
      <c r="L107" s="1"/>
    </row>
    <row r="108" spans="1:12" x14ac:dyDescent="0.25">
      <c r="A108" s="170" t="s">
        <v>119</v>
      </c>
      <c r="B108" s="118" t="s">
        <v>120</v>
      </c>
      <c r="C108" s="60">
        <v>730</v>
      </c>
      <c r="D108" s="60">
        <v>730</v>
      </c>
      <c r="E108" s="60">
        <v>730</v>
      </c>
      <c r="F108" s="60">
        <v>730</v>
      </c>
      <c r="G108" s="60">
        <v>730</v>
      </c>
      <c r="H108" s="60">
        <v>730</v>
      </c>
      <c r="I108" s="745">
        <f>730+30</f>
        <v>760</v>
      </c>
      <c r="J108" s="60">
        <v>125</v>
      </c>
      <c r="K108" s="808">
        <f t="shared" si="24"/>
        <v>0.16447368421052633</v>
      </c>
      <c r="L108" s="1"/>
    </row>
    <row r="109" spans="1:12" ht="15.75" thickBot="1" x14ac:dyDescent="0.3">
      <c r="A109" s="187" t="s">
        <v>121</v>
      </c>
      <c r="B109" s="188" t="s">
        <v>550</v>
      </c>
      <c r="C109" s="191">
        <v>0</v>
      </c>
      <c r="D109" s="191">
        <v>0</v>
      </c>
      <c r="E109" s="191">
        <v>0</v>
      </c>
      <c r="F109" s="191">
        <v>0</v>
      </c>
      <c r="G109" s="191">
        <v>0</v>
      </c>
      <c r="H109" s="191">
        <v>0</v>
      </c>
      <c r="I109" s="191">
        <v>0</v>
      </c>
      <c r="J109" s="191">
        <v>0</v>
      </c>
      <c r="K109" s="808">
        <v>0</v>
      </c>
      <c r="L109" s="1"/>
    </row>
    <row r="110" spans="1:12" ht="15.75" thickBot="1" x14ac:dyDescent="0.3">
      <c r="A110" s="192" t="s">
        <v>122</v>
      </c>
      <c r="B110" s="193"/>
      <c r="C110" s="194">
        <f t="shared" ref="C110:J110" si="57">SUM(C111:C115)</f>
        <v>123600</v>
      </c>
      <c r="D110" s="194">
        <f t="shared" si="57"/>
        <v>123600</v>
      </c>
      <c r="E110" s="194">
        <f t="shared" si="57"/>
        <v>123601</v>
      </c>
      <c r="F110" s="194">
        <f t="shared" si="57"/>
        <v>124901</v>
      </c>
      <c r="G110" s="194">
        <f t="shared" si="57"/>
        <v>134341</v>
      </c>
      <c r="H110" s="194">
        <f t="shared" si="57"/>
        <v>147341</v>
      </c>
      <c r="I110" s="194">
        <f t="shared" ref="I110" si="58">SUM(I111:I115)</f>
        <v>147341</v>
      </c>
      <c r="J110" s="194">
        <f t="shared" si="57"/>
        <v>35718</v>
      </c>
      <c r="K110" s="808">
        <f t="shared" si="24"/>
        <v>0.24241724978111998</v>
      </c>
      <c r="L110" s="1"/>
    </row>
    <row r="111" spans="1:12" x14ac:dyDescent="0.25">
      <c r="A111" s="153" t="s">
        <v>123</v>
      </c>
      <c r="B111" s="154" t="s">
        <v>124</v>
      </c>
      <c r="C111" s="139">
        <f>48000-3000</f>
        <v>45000</v>
      </c>
      <c r="D111" s="139">
        <f>48000-3000</f>
        <v>45000</v>
      </c>
      <c r="E111" s="139">
        <f>48000-3000</f>
        <v>45000</v>
      </c>
      <c r="F111" s="761">
        <f>48000-3000+1700</f>
        <v>46700</v>
      </c>
      <c r="G111" s="761">
        <f>48000-3000+1700+8920</f>
        <v>55620</v>
      </c>
      <c r="H111" s="761">
        <f>48000-3000+1700+8920+200</f>
        <v>55820</v>
      </c>
      <c r="I111" s="139">
        <f>48000-3000+1700+8920+200</f>
        <v>55820</v>
      </c>
      <c r="J111" s="139">
        <v>20684</v>
      </c>
      <c r="K111" s="808">
        <f t="shared" si="24"/>
        <v>0.37054819061268363</v>
      </c>
      <c r="L111" s="1"/>
    </row>
    <row r="112" spans="1:12" x14ac:dyDescent="0.25">
      <c r="A112" s="196" t="s">
        <v>125</v>
      </c>
      <c r="B112" s="197" t="s">
        <v>126</v>
      </c>
      <c r="C112" s="55">
        <v>47700</v>
      </c>
      <c r="D112" s="55">
        <v>47700</v>
      </c>
      <c r="E112" s="55">
        <v>47700</v>
      </c>
      <c r="F112" s="743">
        <f>47700-1000+500+1600</f>
        <v>48800</v>
      </c>
      <c r="G112" s="743">
        <f>47700-1000+500+1600+540-340</f>
        <v>49000</v>
      </c>
      <c r="H112" s="743">
        <f>47700-1000+500+1600+540-340+12000+300</f>
        <v>61300</v>
      </c>
      <c r="I112" s="55">
        <f>47700-1000+500+1600+540-340+12000+300</f>
        <v>61300</v>
      </c>
      <c r="J112" s="55">
        <v>10534</v>
      </c>
      <c r="K112" s="808">
        <f t="shared" si="24"/>
        <v>0.17184339314845024</v>
      </c>
      <c r="L112" s="1"/>
    </row>
    <row r="113" spans="1:13" x14ac:dyDescent="0.25">
      <c r="A113" s="196" t="s">
        <v>127</v>
      </c>
      <c r="B113" s="85" t="s">
        <v>128</v>
      </c>
      <c r="C113" s="55">
        <v>5900</v>
      </c>
      <c r="D113" s="55">
        <v>5900</v>
      </c>
      <c r="E113" s="55">
        <v>5900</v>
      </c>
      <c r="F113" s="55">
        <v>5900</v>
      </c>
      <c r="G113" s="55">
        <v>5900</v>
      </c>
      <c r="H113" s="743">
        <f>5900+500</f>
        <v>6400</v>
      </c>
      <c r="I113" s="55">
        <f>5900+500</f>
        <v>6400</v>
      </c>
      <c r="J113" s="55">
        <v>1401</v>
      </c>
      <c r="K113" s="808">
        <f t="shared" si="24"/>
        <v>0.21890625</v>
      </c>
      <c r="L113" s="1"/>
    </row>
    <row r="114" spans="1:13" x14ac:dyDescent="0.25">
      <c r="A114" s="196" t="s">
        <v>129</v>
      </c>
      <c r="B114" s="85" t="s">
        <v>130</v>
      </c>
      <c r="C114" s="55">
        <v>20000</v>
      </c>
      <c r="D114" s="55">
        <f>20000</f>
        <v>20000</v>
      </c>
      <c r="E114" s="743">
        <f>20000+1</f>
        <v>20001</v>
      </c>
      <c r="F114" s="743">
        <f>20000+1-1500</f>
        <v>18501</v>
      </c>
      <c r="G114" s="743">
        <f>20000+1-1500+320</f>
        <v>18821</v>
      </c>
      <c r="H114" s="55">
        <f>20000+1-1500+320</f>
        <v>18821</v>
      </c>
      <c r="I114" s="55">
        <f>20000+1-1500+320</f>
        <v>18821</v>
      </c>
      <c r="J114" s="55">
        <v>3099</v>
      </c>
      <c r="K114" s="808">
        <f t="shared" si="24"/>
        <v>0.16465650071728388</v>
      </c>
      <c r="L114" s="1"/>
    </row>
    <row r="115" spans="1:13" ht="15.75" thickBot="1" x14ac:dyDescent="0.3">
      <c r="A115" s="164" t="s">
        <v>131</v>
      </c>
      <c r="B115" s="165" t="s">
        <v>132</v>
      </c>
      <c r="C115" s="186">
        <v>5000</v>
      </c>
      <c r="D115" s="186">
        <v>5000</v>
      </c>
      <c r="E115" s="186">
        <v>5000</v>
      </c>
      <c r="F115" s="186">
        <v>5000</v>
      </c>
      <c r="G115" s="186">
        <v>5000</v>
      </c>
      <c r="H115" s="186">
        <v>5000</v>
      </c>
      <c r="I115" s="186">
        <v>5000</v>
      </c>
      <c r="J115" s="186">
        <v>0</v>
      </c>
      <c r="K115" s="808">
        <f t="shared" si="24"/>
        <v>0</v>
      </c>
      <c r="L115" s="1"/>
    </row>
    <row r="116" spans="1:13" ht="15.75" thickBot="1" x14ac:dyDescent="0.3">
      <c r="A116" s="129" t="s">
        <v>133</v>
      </c>
      <c r="B116" s="130"/>
      <c r="C116" s="110">
        <f>SUM(C117:C123)</f>
        <v>421600</v>
      </c>
      <c r="D116" s="110">
        <f>SUM(D117:D123)</f>
        <v>421600</v>
      </c>
      <c r="E116" s="110">
        <f>SUM(E117:E123)</f>
        <v>429490</v>
      </c>
      <c r="F116" s="110">
        <f>SUM(F117:F123)</f>
        <v>422590</v>
      </c>
      <c r="G116" s="110">
        <f t="shared" ref="G116:H116" si="59">SUM(G117:G123)</f>
        <v>428225</v>
      </c>
      <c r="H116" s="110">
        <f t="shared" si="59"/>
        <v>433525</v>
      </c>
      <c r="I116" s="110">
        <f t="shared" ref="I116" si="60">SUM(I117:I123)</f>
        <v>433525</v>
      </c>
      <c r="J116" s="110">
        <f>SUM(J117:J123)</f>
        <v>117186</v>
      </c>
      <c r="K116" s="808">
        <f t="shared" si="24"/>
        <v>0.27030967072256501</v>
      </c>
      <c r="L116" s="1"/>
    </row>
    <row r="117" spans="1:13" x14ac:dyDescent="0.25">
      <c r="A117" s="200" t="s">
        <v>134</v>
      </c>
      <c r="B117" s="201" t="s">
        <v>135</v>
      </c>
      <c r="C117" s="205">
        <v>188100</v>
      </c>
      <c r="D117" s="205">
        <f>188100</f>
        <v>188100</v>
      </c>
      <c r="E117" s="744">
        <f>188100+7200</f>
        <v>195300</v>
      </c>
      <c r="F117" s="744">
        <f>188100+7200-6900</f>
        <v>188400</v>
      </c>
      <c r="G117" s="744">
        <f>188100+7200-6900+1055</f>
        <v>189455</v>
      </c>
      <c r="H117" s="205">
        <f>188100+7200-6900+1055</f>
        <v>189455</v>
      </c>
      <c r="I117" s="205">
        <f>188100+7200-6900+1055</f>
        <v>189455</v>
      </c>
      <c r="J117" s="205">
        <v>54911</v>
      </c>
      <c r="K117" s="808">
        <f t="shared" si="24"/>
        <v>0.28983663666833814</v>
      </c>
      <c r="L117" s="1"/>
    </row>
    <row r="118" spans="1:13" x14ac:dyDescent="0.25">
      <c r="A118" s="209" t="s">
        <v>140</v>
      </c>
      <c r="B118" s="210" t="s">
        <v>141</v>
      </c>
      <c r="C118" s="61">
        <v>3600</v>
      </c>
      <c r="D118" s="61">
        <v>3600</v>
      </c>
      <c r="E118" s="61">
        <v>3600</v>
      </c>
      <c r="F118" s="61">
        <v>3600</v>
      </c>
      <c r="G118" s="61">
        <v>3600</v>
      </c>
      <c r="H118" s="61">
        <v>3600</v>
      </c>
      <c r="I118" s="61">
        <v>3600</v>
      </c>
      <c r="J118" s="61">
        <v>1070</v>
      </c>
      <c r="K118" s="808">
        <f t="shared" si="24"/>
        <v>0.29722222222222222</v>
      </c>
      <c r="L118" s="1"/>
    </row>
    <row r="119" spans="1:13" x14ac:dyDescent="0.25">
      <c r="A119" s="209" t="s">
        <v>142</v>
      </c>
      <c r="B119" s="210" t="s">
        <v>143</v>
      </c>
      <c r="C119" s="61">
        <v>29400</v>
      </c>
      <c r="D119" s="61">
        <v>29400</v>
      </c>
      <c r="E119" s="61">
        <v>29400</v>
      </c>
      <c r="F119" s="61">
        <v>29400</v>
      </c>
      <c r="G119" s="61">
        <v>29400</v>
      </c>
      <c r="H119" s="61">
        <f>29400+2650</f>
        <v>32050</v>
      </c>
      <c r="I119" s="61">
        <f>29400+2650</f>
        <v>32050</v>
      </c>
      <c r="J119" s="61">
        <v>7910</v>
      </c>
      <c r="K119" s="808">
        <f t="shared" si="24"/>
        <v>0.24680187207488299</v>
      </c>
      <c r="L119" s="1"/>
    </row>
    <row r="120" spans="1:13" x14ac:dyDescent="0.25">
      <c r="A120" s="209" t="s">
        <v>144</v>
      </c>
      <c r="B120" s="210" t="s">
        <v>145</v>
      </c>
      <c r="C120" s="60">
        <v>32800</v>
      </c>
      <c r="D120" s="60">
        <v>32800</v>
      </c>
      <c r="E120" s="60">
        <v>32800</v>
      </c>
      <c r="F120" s="60">
        <v>32800</v>
      </c>
      <c r="G120" s="60">
        <v>32800</v>
      </c>
      <c r="H120" s="60">
        <f>32800+2650</f>
        <v>35450</v>
      </c>
      <c r="I120" s="60">
        <f>32800+2650</f>
        <v>35450</v>
      </c>
      <c r="J120" s="60">
        <v>7926</v>
      </c>
      <c r="K120" s="808">
        <f t="shared" si="24"/>
        <v>0.22358251057827927</v>
      </c>
      <c r="L120" s="1"/>
    </row>
    <row r="121" spans="1:13" x14ac:dyDescent="0.25">
      <c r="A121" s="209" t="s">
        <v>146</v>
      </c>
      <c r="B121" s="210" t="s">
        <v>230</v>
      </c>
      <c r="C121" s="60">
        <f>147700</f>
        <v>147700</v>
      </c>
      <c r="D121" s="60">
        <f>147700</f>
        <v>147700</v>
      </c>
      <c r="E121" s="745">
        <f>147700+690</f>
        <v>148390</v>
      </c>
      <c r="F121" s="60">
        <f>147700+690</f>
        <v>148390</v>
      </c>
      <c r="G121" s="745">
        <f>147700+690+4080</f>
        <v>152470</v>
      </c>
      <c r="H121" s="60">
        <f>147700+690+4080</f>
        <v>152470</v>
      </c>
      <c r="I121" s="60">
        <f>147700+690+4080</f>
        <v>152470</v>
      </c>
      <c r="J121" s="60">
        <v>41577</v>
      </c>
      <c r="K121" s="808">
        <f t="shared" si="24"/>
        <v>0.27268970945103954</v>
      </c>
      <c r="L121" s="27">
        <f>SUM(C119:C121)</f>
        <v>209900</v>
      </c>
      <c r="M121" s="27"/>
    </row>
    <row r="122" spans="1:13" x14ac:dyDescent="0.25">
      <c r="A122" s="211" t="s">
        <v>147</v>
      </c>
      <c r="B122" s="210" t="s">
        <v>231</v>
      </c>
      <c r="C122" s="215">
        <v>13000</v>
      </c>
      <c r="D122" s="215">
        <v>13000</v>
      </c>
      <c r="E122" s="215">
        <v>13000</v>
      </c>
      <c r="F122" s="215">
        <v>13000</v>
      </c>
      <c r="G122" s="791">
        <f>13000+500</f>
        <v>13500</v>
      </c>
      <c r="H122" s="215">
        <f>13000+500</f>
        <v>13500</v>
      </c>
      <c r="I122" s="215">
        <f>13000+500</f>
        <v>13500</v>
      </c>
      <c r="J122" s="215">
        <v>3652</v>
      </c>
      <c r="K122" s="808">
        <f t="shared" si="24"/>
        <v>0.27051851851851849</v>
      </c>
      <c r="L122" s="1"/>
    </row>
    <row r="123" spans="1:13" ht="15.75" thickBot="1" x14ac:dyDescent="0.3">
      <c r="A123" s="209" t="s">
        <v>148</v>
      </c>
      <c r="B123" s="210" t="s">
        <v>253</v>
      </c>
      <c r="C123" s="215">
        <v>7000</v>
      </c>
      <c r="D123" s="215">
        <v>7000</v>
      </c>
      <c r="E123" s="215">
        <v>7000</v>
      </c>
      <c r="F123" s="215">
        <v>7000</v>
      </c>
      <c r="G123" s="215">
        <v>7000</v>
      </c>
      <c r="H123" s="215">
        <v>7000</v>
      </c>
      <c r="I123" s="215">
        <v>7000</v>
      </c>
      <c r="J123" s="215">
        <v>140</v>
      </c>
      <c r="K123" s="808">
        <f t="shared" si="24"/>
        <v>0.02</v>
      </c>
      <c r="L123" s="1"/>
    </row>
    <row r="124" spans="1:13" ht="15.75" thickBot="1" x14ac:dyDescent="0.3">
      <c r="A124" s="108" t="s">
        <v>149</v>
      </c>
      <c r="B124" s="109"/>
      <c r="C124" s="112">
        <f t="shared" ref="C124:J124" si="61">SUM(C125:C129)</f>
        <v>380400</v>
      </c>
      <c r="D124" s="112">
        <f t="shared" si="61"/>
        <v>380400</v>
      </c>
      <c r="E124" s="112">
        <f t="shared" si="61"/>
        <v>406100</v>
      </c>
      <c r="F124" s="112">
        <f t="shared" si="61"/>
        <v>406300</v>
      </c>
      <c r="G124" s="112">
        <f t="shared" si="61"/>
        <v>406860</v>
      </c>
      <c r="H124" s="112">
        <f t="shared" si="61"/>
        <v>422860</v>
      </c>
      <c r="I124" s="112">
        <f t="shared" ref="I124" si="62">SUM(I125:I129)</f>
        <v>423220</v>
      </c>
      <c r="J124" s="112">
        <f t="shared" si="61"/>
        <v>111609</v>
      </c>
      <c r="K124" s="808">
        <f t="shared" si="24"/>
        <v>0.26371390766031849</v>
      </c>
      <c r="L124" s="1"/>
    </row>
    <row r="125" spans="1:13" x14ac:dyDescent="0.25">
      <c r="A125" s="196" t="s">
        <v>150</v>
      </c>
      <c r="B125" s="85" t="s">
        <v>499</v>
      </c>
      <c r="C125" s="55">
        <v>322000</v>
      </c>
      <c r="D125" s="55">
        <v>322000</v>
      </c>
      <c r="E125" s="743">
        <f>322000+26200-670</f>
        <v>347530</v>
      </c>
      <c r="F125" s="743">
        <f>322000+26200-670+1800-1600</f>
        <v>347730</v>
      </c>
      <c r="G125" s="743">
        <f>322000+26200-670+1800-1600+400+160</f>
        <v>348290</v>
      </c>
      <c r="H125" s="55">
        <f>322000+26200-670+1800-1600+400+160</f>
        <v>348290</v>
      </c>
      <c r="I125" s="55">
        <f>322000+26200-670+1800-1600+400+160</f>
        <v>348290</v>
      </c>
      <c r="J125" s="55">
        <v>96735</v>
      </c>
      <c r="K125" s="808">
        <f t="shared" si="24"/>
        <v>0.27774268569295701</v>
      </c>
      <c r="L125" s="1"/>
      <c r="M125" s="404"/>
    </row>
    <row r="126" spans="1:13" x14ac:dyDescent="0.25">
      <c r="A126" s="196" t="s">
        <v>151</v>
      </c>
      <c r="B126" s="85" t="s">
        <v>152</v>
      </c>
      <c r="C126" s="55">
        <v>500</v>
      </c>
      <c r="D126" s="55">
        <v>500</v>
      </c>
      <c r="E126" s="743">
        <f>500+170</f>
        <v>670</v>
      </c>
      <c r="F126" s="55">
        <f>500+170</f>
        <v>670</v>
      </c>
      <c r="G126" s="55">
        <f t="shared" ref="G126" si="63">500+170</f>
        <v>670</v>
      </c>
      <c r="H126" s="55">
        <f>500+170</f>
        <v>670</v>
      </c>
      <c r="I126" s="743">
        <f>500+170+360</f>
        <v>1030</v>
      </c>
      <c r="J126" s="55">
        <v>249</v>
      </c>
      <c r="K126" s="808">
        <f t="shared" si="24"/>
        <v>0.24174757281553397</v>
      </c>
      <c r="L126" s="1"/>
      <c r="M126" s="404"/>
    </row>
    <row r="127" spans="1:13" x14ac:dyDescent="0.25">
      <c r="A127" s="121" t="s">
        <v>153</v>
      </c>
      <c r="B127" s="118" t="s">
        <v>154</v>
      </c>
      <c r="C127" s="60">
        <v>56900</v>
      </c>
      <c r="D127" s="60">
        <v>56900</v>
      </c>
      <c r="E127" s="60">
        <v>56900</v>
      </c>
      <c r="F127" s="60">
        <v>56900</v>
      </c>
      <c r="G127" s="60">
        <v>56900</v>
      </c>
      <c r="H127" s="745">
        <f>56900+16000</f>
        <v>72900</v>
      </c>
      <c r="I127" s="60">
        <f>56900+16000</f>
        <v>72900</v>
      </c>
      <c r="J127" s="60">
        <v>14625</v>
      </c>
      <c r="K127" s="808">
        <f t="shared" si="24"/>
        <v>0.20061728395061729</v>
      </c>
      <c r="L127" s="1"/>
    </row>
    <row r="128" spans="1:13" x14ac:dyDescent="0.25">
      <c r="A128" s="121" t="s">
        <v>155</v>
      </c>
      <c r="B128" s="118" t="s">
        <v>156</v>
      </c>
      <c r="C128" s="60">
        <v>500</v>
      </c>
      <c r="D128" s="60">
        <v>500</v>
      </c>
      <c r="E128" s="60">
        <v>500</v>
      </c>
      <c r="F128" s="60">
        <v>500</v>
      </c>
      <c r="G128" s="60">
        <v>500</v>
      </c>
      <c r="H128" s="60">
        <v>500</v>
      </c>
      <c r="I128" s="60">
        <v>500</v>
      </c>
      <c r="J128" s="60">
        <v>0</v>
      </c>
      <c r="K128" s="808">
        <f t="shared" si="24"/>
        <v>0</v>
      </c>
      <c r="L128" s="1"/>
    </row>
    <row r="129" spans="1:17" ht="15.75" thickBot="1" x14ac:dyDescent="0.3">
      <c r="A129" s="164" t="s">
        <v>157</v>
      </c>
      <c r="B129" s="165" t="s">
        <v>158</v>
      </c>
      <c r="C129" s="186">
        <v>500</v>
      </c>
      <c r="D129" s="186">
        <v>500</v>
      </c>
      <c r="E129" s="186">
        <v>500</v>
      </c>
      <c r="F129" s="186">
        <v>500</v>
      </c>
      <c r="G129" s="186">
        <v>500</v>
      </c>
      <c r="H129" s="186">
        <v>500</v>
      </c>
      <c r="I129" s="186">
        <v>500</v>
      </c>
      <c r="J129" s="186">
        <v>0</v>
      </c>
      <c r="K129" s="808">
        <f t="shared" si="24"/>
        <v>0</v>
      </c>
      <c r="L129" s="1"/>
    </row>
    <row r="130" spans="1:17" ht="16.5" thickBot="1" x14ac:dyDescent="0.3">
      <c r="A130" s="216" t="s">
        <v>159</v>
      </c>
      <c r="B130" s="176"/>
      <c r="C130" s="219">
        <f>SUM(C81+C87+C89+C92+C96+C101+C105+C110+C116+C124)</f>
        <v>1766360</v>
      </c>
      <c r="D130" s="219">
        <f>SUM(D81+D87+D89+D92+D96+D101+D105+D110+D116+D124)</f>
        <v>1766440</v>
      </c>
      <c r="E130" s="219">
        <f>SUM(E81+E87+E89+E92+E96+E101+E105+E110+E116+E124)</f>
        <v>1799661</v>
      </c>
      <c r="F130" s="219">
        <f>SUM(F81+F87+F89+F92+F96+F101+F105+F110+F116+F124)</f>
        <v>1800161</v>
      </c>
      <c r="G130" s="219">
        <f t="shared" ref="G130:H130" si="64">SUM(G81+G87+G89+G92+G96+G101+G105+G110+G116+G124)</f>
        <v>1861746</v>
      </c>
      <c r="H130" s="219">
        <f t="shared" si="64"/>
        <v>1899556</v>
      </c>
      <c r="I130" s="219">
        <f t="shared" ref="I130" si="65">SUM(I81+I87+I89+I92+I96+I101+I105+I110+I116+I124)</f>
        <v>1899946</v>
      </c>
      <c r="J130" s="219">
        <f>SUM(J81+J87+J89+J92+J96+J101+J105+J110+J116+J124)</f>
        <v>510901</v>
      </c>
      <c r="K130" s="808">
        <f t="shared" si="24"/>
        <v>0.2689029056615293</v>
      </c>
      <c r="L130" s="27">
        <f t="shared" ref="L130:L141" si="66">D130-C130</f>
        <v>80</v>
      </c>
      <c r="M130" s="27">
        <f t="shared" ref="M130:M141" si="67">E130-D130</f>
        <v>33221</v>
      </c>
      <c r="N130" s="27">
        <f t="shared" ref="N130:N141" si="68">F130-E130</f>
        <v>500</v>
      </c>
      <c r="O130" s="27">
        <f t="shared" ref="O130:O141" si="69">G130-F130</f>
        <v>61585</v>
      </c>
      <c r="P130" s="27">
        <f t="shared" ref="P130:P141" si="70">H130-G130</f>
        <v>37810</v>
      </c>
      <c r="Q130" s="27">
        <f t="shared" ref="Q130:Q141" si="71">I130-H130</f>
        <v>390</v>
      </c>
    </row>
    <row r="131" spans="1:17" x14ac:dyDescent="0.25">
      <c r="A131" s="220" t="s">
        <v>160</v>
      </c>
      <c r="B131" s="221" t="s">
        <v>161</v>
      </c>
      <c r="C131" s="224">
        <f t="shared" ref="C131:J131" si="72">C68</f>
        <v>571450</v>
      </c>
      <c r="D131" s="224">
        <f t="shared" si="72"/>
        <v>571450</v>
      </c>
      <c r="E131" s="224">
        <f t="shared" si="72"/>
        <v>629449</v>
      </c>
      <c r="F131" s="224">
        <f t="shared" si="72"/>
        <v>629449</v>
      </c>
      <c r="G131" s="224">
        <f t="shared" si="72"/>
        <v>629449</v>
      </c>
      <c r="H131" s="224">
        <f t="shared" si="72"/>
        <v>629449</v>
      </c>
      <c r="I131" s="224">
        <f t="shared" ref="I131" si="73">I68</f>
        <v>631629</v>
      </c>
      <c r="J131" s="224">
        <f t="shared" si="72"/>
        <v>214651</v>
      </c>
      <c r="K131" s="808">
        <f t="shared" si="24"/>
        <v>0.33983715123909763</v>
      </c>
      <c r="L131" s="27">
        <f t="shared" si="66"/>
        <v>0</v>
      </c>
      <c r="M131" s="27">
        <f t="shared" si="67"/>
        <v>57999</v>
      </c>
      <c r="N131" s="27">
        <f t="shared" si="68"/>
        <v>0</v>
      </c>
      <c r="O131" s="27">
        <f t="shared" si="69"/>
        <v>0</v>
      </c>
      <c r="P131" s="27">
        <f t="shared" si="70"/>
        <v>0</v>
      </c>
      <c r="Q131" s="27">
        <f t="shared" si="71"/>
        <v>2180</v>
      </c>
    </row>
    <row r="132" spans="1:17" x14ac:dyDescent="0.25">
      <c r="A132" s="225" t="s">
        <v>160</v>
      </c>
      <c r="B132" s="226" t="s">
        <v>162</v>
      </c>
      <c r="C132" s="229">
        <f t="shared" ref="C132:J132" si="74">C70</f>
        <v>2450</v>
      </c>
      <c r="D132" s="229">
        <f t="shared" si="74"/>
        <v>2450</v>
      </c>
      <c r="E132" s="229">
        <f t="shared" si="74"/>
        <v>2450</v>
      </c>
      <c r="F132" s="229">
        <f t="shared" si="74"/>
        <v>2450</v>
      </c>
      <c r="G132" s="229">
        <f t="shared" si="74"/>
        <v>2450</v>
      </c>
      <c r="H132" s="229">
        <f t="shared" si="74"/>
        <v>2450</v>
      </c>
      <c r="I132" s="229">
        <f t="shared" ref="I132" si="75">I70</f>
        <v>2450</v>
      </c>
      <c r="J132" s="229">
        <f t="shared" si="74"/>
        <v>41</v>
      </c>
      <c r="K132" s="808">
        <f t="shared" ref="K132:K191" si="76">J132/I132</f>
        <v>1.673469387755102E-2</v>
      </c>
      <c r="L132" s="27">
        <f t="shared" si="66"/>
        <v>0</v>
      </c>
      <c r="M132" s="27">
        <f t="shared" si="67"/>
        <v>0</v>
      </c>
      <c r="N132" s="27">
        <f t="shared" si="68"/>
        <v>0</v>
      </c>
      <c r="O132" s="27">
        <f t="shared" si="69"/>
        <v>0</v>
      </c>
      <c r="P132" s="27">
        <f t="shared" si="70"/>
        <v>0</v>
      </c>
      <c r="Q132" s="27">
        <f t="shared" si="71"/>
        <v>0</v>
      </c>
    </row>
    <row r="133" spans="1:17" x14ac:dyDescent="0.25">
      <c r="A133" s="235" t="s">
        <v>140</v>
      </c>
      <c r="B133" s="236" t="s">
        <v>165</v>
      </c>
      <c r="C133" s="239">
        <v>35400</v>
      </c>
      <c r="D133" s="239">
        <v>35400</v>
      </c>
      <c r="E133" s="239">
        <v>35400</v>
      </c>
      <c r="F133" s="239">
        <v>35400</v>
      </c>
      <c r="G133" s="239">
        <v>35400</v>
      </c>
      <c r="H133" s="239">
        <v>35400</v>
      </c>
      <c r="I133" s="239">
        <v>35400</v>
      </c>
      <c r="J133" s="239">
        <v>12100</v>
      </c>
      <c r="K133" s="808">
        <f t="shared" si="76"/>
        <v>0.34180790960451979</v>
      </c>
      <c r="L133" s="27">
        <f t="shared" si="66"/>
        <v>0</v>
      </c>
      <c r="M133" s="27">
        <f t="shared" si="67"/>
        <v>0</v>
      </c>
      <c r="N133" s="27">
        <f t="shared" si="68"/>
        <v>0</v>
      </c>
      <c r="O133" s="27">
        <f t="shared" si="69"/>
        <v>0</v>
      </c>
      <c r="P133" s="27">
        <f t="shared" si="70"/>
        <v>0</v>
      </c>
      <c r="Q133" s="27">
        <f t="shared" si="71"/>
        <v>0</v>
      </c>
    </row>
    <row r="134" spans="1:17" ht="15.75" thickBot="1" x14ac:dyDescent="0.3">
      <c r="A134" s="225" t="s">
        <v>140</v>
      </c>
      <c r="B134" s="226" t="s">
        <v>166</v>
      </c>
      <c r="C134" s="229">
        <f t="shared" ref="C134:J134" si="77">C71</f>
        <v>2600</v>
      </c>
      <c r="D134" s="229">
        <f t="shared" si="77"/>
        <v>2600</v>
      </c>
      <c r="E134" s="229">
        <f t="shared" si="77"/>
        <v>2600</v>
      </c>
      <c r="F134" s="229">
        <f t="shared" si="77"/>
        <v>2600</v>
      </c>
      <c r="G134" s="229">
        <f t="shared" si="77"/>
        <v>2600</v>
      </c>
      <c r="H134" s="229">
        <f t="shared" si="77"/>
        <v>2600</v>
      </c>
      <c r="I134" s="229">
        <f t="shared" ref="I134" si="78">I71</f>
        <v>2600</v>
      </c>
      <c r="J134" s="229">
        <f t="shared" si="77"/>
        <v>450</v>
      </c>
      <c r="K134" s="808">
        <f t="shared" si="76"/>
        <v>0.17307692307692307</v>
      </c>
      <c r="L134" s="27">
        <f t="shared" si="66"/>
        <v>0</v>
      </c>
      <c r="M134" s="27">
        <f t="shared" si="67"/>
        <v>0</v>
      </c>
      <c r="N134" s="27">
        <f t="shared" si="68"/>
        <v>0</v>
      </c>
      <c r="O134" s="27">
        <f t="shared" si="69"/>
        <v>0</v>
      </c>
      <c r="P134" s="27">
        <f t="shared" si="70"/>
        <v>0</v>
      </c>
      <c r="Q134" s="27">
        <f t="shared" si="71"/>
        <v>0</v>
      </c>
    </row>
    <row r="135" spans="1:17" ht="15.75" thickBot="1" x14ac:dyDescent="0.3">
      <c r="A135" s="891" t="s">
        <v>167</v>
      </c>
      <c r="B135" s="892"/>
      <c r="C135" s="242">
        <f t="shared" ref="C135:J135" si="79">SUM(C131:C134)</f>
        <v>611900</v>
      </c>
      <c r="D135" s="242">
        <f t="shared" si="79"/>
        <v>611900</v>
      </c>
      <c r="E135" s="242">
        <f t="shared" si="79"/>
        <v>669899</v>
      </c>
      <c r="F135" s="242">
        <f t="shared" si="79"/>
        <v>669899</v>
      </c>
      <c r="G135" s="242">
        <f t="shared" si="79"/>
        <v>669899</v>
      </c>
      <c r="H135" s="242">
        <f t="shared" si="79"/>
        <v>669899</v>
      </c>
      <c r="I135" s="242">
        <f t="shared" ref="I135" si="80">SUM(I131:I134)</f>
        <v>672079</v>
      </c>
      <c r="J135" s="242">
        <f t="shared" si="79"/>
        <v>227242</v>
      </c>
      <c r="K135" s="808">
        <f t="shared" si="76"/>
        <v>0.33811798910544744</v>
      </c>
      <c r="L135" s="27">
        <f t="shared" si="66"/>
        <v>0</v>
      </c>
      <c r="M135" s="27">
        <f t="shared" si="67"/>
        <v>57999</v>
      </c>
      <c r="N135" s="27">
        <f t="shared" si="68"/>
        <v>0</v>
      </c>
      <c r="O135" s="27">
        <f t="shared" si="69"/>
        <v>0</v>
      </c>
      <c r="P135" s="27">
        <f t="shared" si="70"/>
        <v>0</v>
      </c>
      <c r="Q135" s="27">
        <f t="shared" si="71"/>
        <v>2180</v>
      </c>
    </row>
    <row r="136" spans="1:17" x14ac:dyDescent="0.25">
      <c r="A136" s="243" t="s">
        <v>140</v>
      </c>
      <c r="B136" s="244" t="s">
        <v>168</v>
      </c>
      <c r="C136" s="247">
        <f>278720+13000</f>
        <v>291720</v>
      </c>
      <c r="D136" s="247">
        <f>278720+13000</f>
        <v>291720</v>
      </c>
      <c r="E136" s="247">
        <f>278720+13000</f>
        <v>291720</v>
      </c>
      <c r="F136" s="247">
        <f>278720+13000</f>
        <v>291720</v>
      </c>
      <c r="G136" s="247">
        <f t="shared" ref="G136:I136" si="81">278720+13000</f>
        <v>291720</v>
      </c>
      <c r="H136" s="247">
        <f t="shared" si="81"/>
        <v>291720</v>
      </c>
      <c r="I136" s="247">
        <f t="shared" si="81"/>
        <v>291720</v>
      </c>
      <c r="J136" s="247">
        <v>72930</v>
      </c>
      <c r="K136" s="808">
        <f t="shared" si="76"/>
        <v>0.25</v>
      </c>
      <c r="L136" s="27">
        <f t="shared" si="66"/>
        <v>0</v>
      </c>
      <c r="M136" s="27">
        <f t="shared" si="67"/>
        <v>0</v>
      </c>
      <c r="N136" s="27">
        <f t="shared" si="68"/>
        <v>0</v>
      </c>
      <c r="O136" s="27">
        <f t="shared" si="69"/>
        <v>0</v>
      </c>
      <c r="P136" s="27">
        <f t="shared" si="70"/>
        <v>0</v>
      </c>
      <c r="Q136" s="27">
        <f t="shared" si="71"/>
        <v>0</v>
      </c>
    </row>
    <row r="137" spans="1:17" x14ac:dyDescent="0.25">
      <c r="A137" s="248" t="s">
        <v>140</v>
      </c>
      <c r="B137" s="249" t="s">
        <v>551</v>
      </c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93">
        <v>0</v>
      </c>
      <c r="K137" s="808">
        <v>0</v>
      </c>
      <c r="L137" s="27">
        <f t="shared" si="66"/>
        <v>0</v>
      </c>
      <c r="M137" s="27">
        <f t="shared" si="67"/>
        <v>0</v>
      </c>
      <c r="N137" s="27">
        <f t="shared" si="68"/>
        <v>0</v>
      </c>
      <c r="O137" s="27">
        <f t="shared" si="69"/>
        <v>0</v>
      </c>
      <c r="P137" s="27">
        <f t="shared" si="70"/>
        <v>0</v>
      </c>
      <c r="Q137" s="27">
        <f t="shared" si="71"/>
        <v>0</v>
      </c>
    </row>
    <row r="138" spans="1:17" ht="15.75" thickBot="1" x14ac:dyDescent="0.3">
      <c r="A138" s="248" t="s">
        <v>140</v>
      </c>
      <c r="B138" s="249" t="s">
        <v>169</v>
      </c>
      <c r="C138" s="93">
        <f t="shared" ref="C138:J138" si="82">C73</f>
        <v>10980</v>
      </c>
      <c r="D138" s="93">
        <f t="shared" si="82"/>
        <v>10980</v>
      </c>
      <c r="E138" s="93">
        <f t="shared" si="82"/>
        <v>10980</v>
      </c>
      <c r="F138" s="93">
        <f t="shared" si="82"/>
        <v>10980</v>
      </c>
      <c r="G138" s="93">
        <f t="shared" si="82"/>
        <v>10980</v>
      </c>
      <c r="H138" s="93">
        <f t="shared" si="82"/>
        <v>10980</v>
      </c>
      <c r="I138" s="93">
        <f t="shared" ref="I138" si="83">I73</f>
        <v>10980</v>
      </c>
      <c r="J138" s="93">
        <f t="shared" si="82"/>
        <v>6025</v>
      </c>
      <c r="K138" s="808">
        <f t="shared" si="76"/>
        <v>0.54872495446265934</v>
      </c>
      <c r="L138" s="27">
        <f t="shared" si="66"/>
        <v>0</v>
      </c>
      <c r="M138" s="27">
        <f t="shared" si="67"/>
        <v>0</v>
      </c>
      <c r="N138" s="27">
        <f t="shared" si="68"/>
        <v>0</v>
      </c>
      <c r="O138" s="27">
        <f t="shared" si="69"/>
        <v>0</v>
      </c>
      <c r="P138" s="27">
        <f t="shared" si="70"/>
        <v>0</v>
      </c>
      <c r="Q138" s="27">
        <f t="shared" si="71"/>
        <v>0</v>
      </c>
    </row>
    <row r="139" spans="1:17" ht="15.75" thickBot="1" x14ac:dyDescent="0.3">
      <c r="A139" s="874" t="s">
        <v>170</v>
      </c>
      <c r="B139" s="875"/>
      <c r="C139" s="254">
        <f t="shared" ref="C139:J139" si="84">SUM(C136:C138)</f>
        <v>302700</v>
      </c>
      <c r="D139" s="254">
        <f t="shared" si="84"/>
        <v>302700</v>
      </c>
      <c r="E139" s="254">
        <f t="shared" si="84"/>
        <v>302700</v>
      </c>
      <c r="F139" s="254">
        <f t="shared" si="84"/>
        <v>302700</v>
      </c>
      <c r="G139" s="254">
        <f t="shared" si="84"/>
        <v>302700</v>
      </c>
      <c r="H139" s="254">
        <f t="shared" si="84"/>
        <v>302700</v>
      </c>
      <c r="I139" s="254">
        <f t="shared" ref="I139" si="85">SUM(I136:I138)</f>
        <v>302700</v>
      </c>
      <c r="J139" s="254">
        <f t="shared" si="84"/>
        <v>78955</v>
      </c>
      <c r="K139" s="808">
        <f t="shared" si="76"/>
        <v>0.26083581103402709</v>
      </c>
      <c r="L139" s="27">
        <f t="shared" si="66"/>
        <v>0</v>
      </c>
      <c r="M139" s="27">
        <f t="shared" si="67"/>
        <v>0</v>
      </c>
      <c r="N139" s="27">
        <f t="shared" si="68"/>
        <v>0</v>
      </c>
      <c r="O139" s="27">
        <f t="shared" si="69"/>
        <v>0</v>
      </c>
      <c r="P139" s="27">
        <f t="shared" si="70"/>
        <v>0</v>
      </c>
      <c r="Q139" s="27">
        <f t="shared" si="71"/>
        <v>0</v>
      </c>
    </row>
    <row r="140" spans="1:17" ht="15.75" thickBot="1" x14ac:dyDescent="0.3">
      <c r="A140" s="860" t="s">
        <v>171</v>
      </c>
      <c r="B140" s="861"/>
      <c r="C140" s="257">
        <f t="shared" ref="C140:J140" si="86">C135+C139</f>
        <v>914600</v>
      </c>
      <c r="D140" s="257">
        <f t="shared" si="86"/>
        <v>914600</v>
      </c>
      <c r="E140" s="257">
        <f t="shared" si="86"/>
        <v>972599</v>
      </c>
      <c r="F140" s="257">
        <f t="shared" si="86"/>
        <v>972599</v>
      </c>
      <c r="G140" s="257">
        <f t="shared" si="86"/>
        <v>972599</v>
      </c>
      <c r="H140" s="257">
        <f t="shared" si="86"/>
        <v>972599</v>
      </c>
      <c r="I140" s="257">
        <f t="shared" ref="I140" si="87">I135+I139</f>
        <v>974779</v>
      </c>
      <c r="J140" s="257">
        <f t="shared" si="86"/>
        <v>306197</v>
      </c>
      <c r="K140" s="808">
        <f t="shared" si="76"/>
        <v>0.31411940552679118</v>
      </c>
      <c r="L140" s="27">
        <f t="shared" si="66"/>
        <v>0</v>
      </c>
      <c r="M140" s="27">
        <f t="shared" si="67"/>
        <v>57999</v>
      </c>
      <c r="N140" s="27">
        <f t="shared" si="68"/>
        <v>0</v>
      </c>
      <c r="O140" s="27">
        <f t="shared" si="69"/>
        <v>0</v>
      </c>
      <c r="P140" s="27">
        <f t="shared" si="70"/>
        <v>0</v>
      </c>
      <c r="Q140" s="27">
        <f t="shared" si="71"/>
        <v>2180</v>
      </c>
    </row>
    <row r="141" spans="1:17" ht="16.5" thickBot="1" x14ac:dyDescent="0.3">
      <c r="A141" s="258" t="s">
        <v>172</v>
      </c>
      <c r="B141" s="144"/>
      <c r="C141" s="261">
        <f t="shared" ref="C141:J141" si="88">C130+C140</f>
        <v>2680960</v>
      </c>
      <c r="D141" s="261">
        <f t="shared" si="88"/>
        <v>2681040</v>
      </c>
      <c r="E141" s="261">
        <f t="shared" si="88"/>
        <v>2772260</v>
      </c>
      <c r="F141" s="261">
        <f t="shared" si="88"/>
        <v>2772760</v>
      </c>
      <c r="G141" s="261">
        <f t="shared" si="88"/>
        <v>2834345</v>
      </c>
      <c r="H141" s="261">
        <f t="shared" si="88"/>
        <v>2872155</v>
      </c>
      <c r="I141" s="261">
        <f t="shared" ref="I141" si="89">I130+I140</f>
        <v>2874725</v>
      </c>
      <c r="J141" s="261">
        <f t="shared" si="88"/>
        <v>817098</v>
      </c>
      <c r="K141" s="808">
        <f t="shared" si="76"/>
        <v>0.2842351877136074</v>
      </c>
      <c r="L141" s="27">
        <f t="shared" si="66"/>
        <v>80</v>
      </c>
      <c r="M141" s="27">
        <f t="shared" si="67"/>
        <v>91220</v>
      </c>
      <c r="N141" s="27">
        <f t="shared" si="68"/>
        <v>500</v>
      </c>
      <c r="O141" s="27">
        <f t="shared" si="69"/>
        <v>61585</v>
      </c>
      <c r="P141" s="27">
        <f t="shared" si="70"/>
        <v>37810</v>
      </c>
      <c r="Q141" s="27">
        <f t="shared" si="71"/>
        <v>2570</v>
      </c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808"/>
      <c r="L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808"/>
      <c r="L143" s="1"/>
    </row>
    <row r="144" spans="1:17" ht="18.75" thickBot="1" x14ac:dyDescent="0.3">
      <c r="A144" s="862" t="s">
        <v>173</v>
      </c>
      <c r="B144" s="863"/>
      <c r="C144" s="863"/>
      <c r="D144" s="863"/>
      <c r="E144" s="863"/>
      <c r="F144" s="863"/>
      <c r="G144" s="863"/>
      <c r="H144" s="863"/>
      <c r="I144" s="863"/>
      <c r="J144" s="863"/>
      <c r="K144" s="808"/>
      <c r="L144" s="1"/>
    </row>
    <row r="145" spans="1:17" ht="27" customHeight="1" thickBot="1" x14ac:dyDescent="0.3">
      <c r="A145" s="864" t="s">
        <v>1</v>
      </c>
      <c r="B145" s="865"/>
      <c r="C145" s="413" t="s">
        <v>454</v>
      </c>
      <c r="D145" s="413" t="s">
        <v>496</v>
      </c>
      <c r="E145" s="413" t="s">
        <v>547</v>
      </c>
      <c r="F145" s="413" t="s">
        <v>497</v>
      </c>
      <c r="G145" s="413" t="s">
        <v>568</v>
      </c>
      <c r="H145" s="413" t="s">
        <v>569</v>
      </c>
      <c r="I145" s="413" t="s">
        <v>641</v>
      </c>
      <c r="J145" s="413" t="s">
        <v>642</v>
      </c>
      <c r="K145" s="808"/>
      <c r="L145" s="1"/>
    </row>
    <row r="146" spans="1:17" ht="16.5" thickBot="1" x14ac:dyDescent="0.3">
      <c r="A146" s="866" t="s">
        <v>174</v>
      </c>
      <c r="B146" s="867"/>
      <c r="C146" s="262">
        <f>SUM(C147:C153)</f>
        <v>869220</v>
      </c>
      <c r="D146" s="262">
        <f t="shared" ref="D146:J146" si="90">SUM(D147:D153)</f>
        <v>869220</v>
      </c>
      <c r="E146" s="262">
        <f t="shared" si="90"/>
        <v>869220</v>
      </c>
      <c r="F146" s="262">
        <f t="shared" si="90"/>
        <v>1047220</v>
      </c>
      <c r="G146" s="262">
        <f t="shared" si="90"/>
        <v>1047220</v>
      </c>
      <c r="H146" s="262">
        <f t="shared" si="90"/>
        <v>1047220</v>
      </c>
      <c r="I146" s="262">
        <f t="shared" ref="I146" si="91">SUM(I147:I153)</f>
        <v>1047220</v>
      </c>
      <c r="J146" s="262">
        <f t="shared" si="90"/>
        <v>0</v>
      </c>
      <c r="K146" s="808">
        <f t="shared" si="76"/>
        <v>0</v>
      </c>
      <c r="L146" s="27">
        <f t="shared" ref="L146:Q146" si="92">D146-C146</f>
        <v>0</v>
      </c>
      <c r="M146" s="27">
        <f t="shared" si="92"/>
        <v>0</v>
      </c>
      <c r="N146" s="27">
        <f t="shared" si="92"/>
        <v>178000</v>
      </c>
      <c r="O146" s="27">
        <f t="shared" si="92"/>
        <v>0</v>
      </c>
      <c r="P146" s="27">
        <f t="shared" si="92"/>
        <v>0</v>
      </c>
      <c r="Q146" s="27">
        <f t="shared" si="92"/>
        <v>0</v>
      </c>
    </row>
    <row r="147" spans="1:17" x14ac:dyDescent="0.25">
      <c r="A147" s="711">
        <v>231</v>
      </c>
      <c r="B147" s="526" t="s">
        <v>306</v>
      </c>
      <c r="C147" s="712">
        <v>0</v>
      </c>
      <c r="D147" s="712">
        <v>0</v>
      </c>
      <c r="E147" s="712">
        <v>0</v>
      </c>
      <c r="F147" s="712">
        <v>0</v>
      </c>
      <c r="G147" s="712">
        <v>0</v>
      </c>
      <c r="H147" s="712">
        <v>0</v>
      </c>
      <c r="I147" s="712">
        <v>0</v>
      </c>
      <c r="J147" s="712">
        <v>0</v>
      </c>
      <c r="K147" s="808">
        <v>0</v>
      </c>
      <c r="L147" s="1"/>
      <c r="M147" s="1"/>
      <c r="N147" s="1"/>
      <c r="O147" s="1"/>
      <c r="P147" s="1"/>
      <c r="Q147" s="1"/>
    </row>
    <row r="148" spans="1:17" ht="15.75" thickBot="1" x14ac:dyDescent="0.3">
      <c r="A148" s="3">
        <v>233</v>
      </c>
      <c r="B148" s="328" t="s">
        <v>175</v>
      </c>
      <c r="C148" s="710">
        <v>5000</v>
      </c>
      <c r="D148" s="710">
        <v>5000</v>
      </c>
      <c r="E148" s="710">
        <v>5000</v>
      </c>
      <c r="F148" s="710">
        <v>5000</v>
      </c>
      <c r="G148" s="710">
        <v>5000</v>
      </c>
      <c r="H148" s="710">
        <v>5000</v>
      </c>
      <c r="I148" s="710">
        <v>5000</v>
      </c>
      <c r="J148" s="710">
        <v>0</v>
      </c>
      <c r="K148" s="808">
        <f t="shared" si="76"/>
        <v>0</v>
      </c>
      <c r="L148" s="27">
        <f t="shared" ref="L148:Q148" si="93">SUM(C147:C148)</f>
        <v>5000</v>
      </c>
      <c r="M148" s="27">
        <f t="shared" si="93"/>
        <v>5000</v>
      </c>
      <c r="N148" s="27">
        <f t="shared" si="93"/>
        <v>5000</v>
      </c>
      <c r="O148" s="27">
        <f t="shared" si="93"/>
        <v>5000</v>
      </c>
      <c r="P148" s="27">
        <f t="shared" si="93"/>
        <v>5000</v>
      </c>
      <c r="Q148" s="27">
        <f t="shared" si="93"/>
        <v>5000</v>
      </c>
    </row>
    <row r="149" spans="1:17" x14ac:dyDescent="0.25">
      <c r="A149" s="271">
        <v>322</v>
      </c>
      <c r="B149" s="76" t="s">
        <v>237</v>
      </c>
      <c r="C149" s="273">
        <v>355220</v>
      </c>
      <c r="D149" s="273">
        <v>355220</v>
      </c>
      <c r="E149" s="273">
        <v>355220</v>
      </c>
      <c r="F149" s="273">
        <v>355220</v>
      </c>
      <c r="G149" s="273">
        <v>355220</v>
      </c>
      <c r="H149" s="273">
        <v>355220</v>
      </c>
      <c r="I149" s="273">
        <v>355220</v>
      </c>
      <c r="J149" s="267">
        <v>0</v>
      </c>
      <c r="K149" s="808">
        <f t="shared" si="76"/>
        <v>0</v>
      </c>
      <c r="L149" s="1"/>
      <c r="M149" s="1"/>
      <c r="N149" s="1"/>
      <c r="O149" s="1"/>
      <c r="P149" s="1"/>
      <c r="Q149" s="1"/>
    </row>
    <row r="150" spans="1:17" x14ac:dyDescent="0.25">
      <c r="A150" s="271">
        <v>322</v>
      </c>
      <c r="B150" s="274" t="s">
        <v>243</v>
      </c>
      <c r="C150" s="270">
        <v>19000</v>
      </c>
      <c r="D150" s="270">
        <v>19000</v>
      </c>
      <c r="E150" s="270">
        <v>19000</v>
      </c>
      <c r="F150" s="270">
        <v>19000</v>
      </c>
      <c r="G150" s="270">
        <v>19000</v>
      </c>
      <c r="H150" s="270">
        <v>19000</v>
      </c>
      <c r="I150" s="270">
        <v>19000</v>
      </c>
      <c r="J150" s="267">
        <v>0</v>
      </c>
      <c r="K150" s="808">
        <f t="shared" si="76"/>
        <v>0</v>
      </c>
      <c r="L150" s="1"/>
      <c r="M150" s="1"/>
      <c r="N150" s="1"/>
      <c r="O150" s="1"/>
      <c r="P150" s="1"/>
      <c r="Q150" s="1"/>
    </row>
    <row r="151" spans="1:17" x14ac:dyDescent="0.25">
      <c r="A151" s="271">
        <v>322</v>
      </c>
      <c r="B151" s="85" t="s">
        <v>303</v>
      </c>
      <c r="C151" s="273">
        <v>190000</v>
      </c>
      <c r="D151" s="273">
        <v>190000</v>
      </c>
      <c r="E151" s="273">
        <v>190000</v>
      </c>
      <c r="F151" s="273">
        <v>190000</v>
      </c>
      <c r="G151" s="273">
        <v>190000</v>
      </c>
      <c r="H151" s="273">
        <v>190000</v>
      </c>
      <c r="I151" s="273">
        <v>190000</v>
      </c>
      <c r="J151" s="267">
        <v>0</v>
      </c>
      <c r="K151" s="808">
        <f t="shared" si="76"/>
        <v>0</v>
      </c>
      <c r="L151" s="1"/>
      <c r="M151" s="1"/>
      <c r="N151" s="1"/>
      <c r="O151" s="1"/>
      <c r="P151" s="1"/>
      <c r="Q151" s="1"/>
    </row>
    <row r="152" spans="1:17" x14ac:dyDescent="0.25">
      <c r="A152" s="268">
        <v>322</v>
      </c>
      <c r="B152" s="72" t="s">
        <v>179</v>
      </c>
      <c r="C152" s="270">
        <v>300000</v>
      </c>
      <c r="D152" s="270">
        <v>300000</v>
      </c>
      <c r="E152" s="270">
        <v>300000</v>
      </c>
      <c r="F152" s="270">
        <v>300000</v>
      </c>
      <c r="G152" s="270">
        <v>300000</v>
      </c>
      <c r="H152" s="270">
        <v>300000</v>
      </c>
      <c r="I152" s="270">
        <v>300000</v>
      </c>
      <c r="J152" s="270">
        <v>0</v>
      </c>
      <c r="K152" s="808">
        <f t="shared" si="76"/>
        <v>0</v>
      </c>
    </row>
    <row r="153" spans="1:17" ht="15.75" thickBot="1" x14ac:dyDescent="0.3">
      <c r="A153" s="765">
        <v>322</v>
      </c>
      <c r="B153" s="766" t="s">
        <v>539</v>
      </c>
      <c r="C153" s="409">
        <v>0</v>
      </c>
      <c r="D153" s="409">
        <v>0</v>
      </c>
      <c r="E153" s="409">
        <v>0</v>
      </c>
      <c r="F153" s="767">
        <v>178000</v>
      </c>
      <c r="G153" s="409">
        <v>178000</v>
      </c>
      <c r="H153" s="409">
        <v>178000</v>
      </c>
      <c r="I153" s="409">
        <v>178000</v>
      </c>
      <c r="J153" s="409">
        <v>0</v>
      </c>
      <c r="K153" s="808">
        <f t="shared" si="76"/>
        <v>0</v>
      </c>
      <c r="L153" s="27">
        <f t="shared" ref="L153:Q153" si="94">SUM(C149:C153)</f>
        <v>864220</v>
      </c>
      <c r="M153" s="27">
        <f t="shared" si="94"/>
        <v>864220</v>
      </c>
      <c r="N153" s="27">
        <f t="shared" si="94"/>
        <v>864220</v>
      </c>
      <c r="O153" s="27">
        <f t="shared" si="94"/>
        <v>1042220</v>
      </c>
      <c r="P153" s="27">
        <f t="shared" si="94"/>
        <v>1042220</v>
      </c>
      <c r="Q153" s="27">
        <f t="shared" si="94"/>
        <v>1042220</v>
      </c>
    </row>
    <row r="154" spans="1:17" ht="16.5" thickBot="1" x14ac:dyDescent="0.3">
      <c r="A154" s="866" t="s">
        <v>180</v>
      </c>
      <c r="B154" s="867"/>
      <c r="C154" s="262">
        <f>SUM(C155:C168)</f>
        <v>1445946</v>
      </c>
      <c r="D154" s="262">
        <f>SUM(D155:D168)</f>
        <v>1445946</v>
      </c>
      <c r="E154" s="262">
        <f>SUM(E155:E168)</f>
        <v>1445946</v>
      </c>
      <c r="F154" s="262">
        <f>SUM(F155:F168)</f>
        <v>1623946</v>
      </c>
      <c r="G154" s="262">
        <f t="shared" ref="G154:H154" si="95">SUM(G155:G168)</f>
        <v>1623946</v>
      </c>
      <c r="H154" s="262">
        <f t="shared" si="95"/>
        <v>1623946</v>
      </c>
      <c r="I154" s="262">
        <f t="shared" ref="I154" si="96">SUM(I155:I168)</f>
        <v>1623946</v>
      </c>
      <c r="J154" s="262">
        <f>SUM(J155:J168)</f>
        <v>8937</v>
      </c>
      <c r="K154" s="808">
        <f t="shared" si="76"/>
        <v>5.5032618079665207E-3</v>
      </c>
      <c r="L154" s="27">
        <f t="shared" ref="L154:Q154" si="97">D154-C154</f>
        <v>0</v>
      </c>
      <c r="M154" s="27">
        <f t="shared" si="97"/>
        <v>0</v>
      </c>
      <c r="N154" s="27">
        <f t="shared" si="97"/>
        <v>178000</v>
      </c>
      <c r="O154" s="27">
        <f t="shared" si="97"/>
        <v>0</v>
      </c>
      <c r="P154" s="27">
        <f t="shared" si="97"/>
        <v>0</v>
      </c>
      <c r="Q154" s="27">
        <f t="shared" si="97"/>
        <v>0</v>
      </c>
    </row>
    <row r="155" spans="1:17" x14ac:dyDescent="0.25">
      <c r="A155" s="286" t="s">
        <v>94</v>
      </c>
      <c r="B155" s="275" t="s">
        <v>184</v>
      </c>
      <c r="C155" s="287">
        <v>1500</v>
      </c>
      <c r="D155" s="287">
        <v>1500</v>
      </c>
      <c r="E155" s="287">
        <v>1500</v>
      </c>
      <c r="F155" s="287">
        <v>1500</v>
      </c>
      <c r="G155" s="287">
        <v>1500</v>
      </c>
      <c r="H155" s="287">
        <v>1500</v>
      </c>
      <c r="I155" s="287">
        <v>1500</v>
      </c>
      <c r="J155" s="287">
        <v>0</v>
      </c>
      <c r="K155" s="808">
        <f t="shared" si="76"/>
        <v>0</v>
      </c>
      <c r="L155" s="1"/>
    </row>
    <row r="156" spans="1:17" x14ac:dyDescent="0.25">
      <c r="A156" s="288" t="s">
        <v>96</v>
      </c>
      <c r="B156" s="561" t="s">
        <v>347</v>
      </c>
      <c r="C156" s="290">
        <v>5000</v>
      </c>
      <c r="D156" s="290">
        <v>5000</v>
      </c>
      <c r="E156" s="290">
        <v>5000</v>
      </c>
      <c r="F156" s="737">
        <f>5000-2000</f>
        <v>3000</v>
      </c>
      <c r="G156" s="290">
        <f t="shared" ref="G156:I156" si="98">5000-2000</f>
        <v>3000</v>
      </c>
      <c r="H156" s="290">
        <f t="shared" si="98"/>
        <v>3000</v>
      </c>
      <c r="I156" s="290">
        <f t="shared" si="98"/>
        <v>3000</v>
      </c>
      <c r="J156" s="290">
        <v>2943</v>
      </c>
      <c r="K156" s="808">
        <f t="shared" si="76"/>
        <v>0.98099999999999998</v>
      </c>
      <c r="L156" s="1"/>
    </row>
    <row r="157" spans="1:17" x14ac:dyDescent="0.25">
      <c r="A157" s="279" t="s">
        <v>101</v>
      </c>
      <c r="B157" s="294" t="s">
        <v>236</v>
      </c>
      <c r="C157" s="281">
        <v>390000</v>
      </c>
      <c r="D157" s="281">
        <v>390000</v>
      </c>
      <c r="E157" s="281">
        <v>390000</v>
      </c>
      <c r="F157" s="731">
        <f>390000-50000</f>
        <v>340000</v>
      </c>
      <c r="G157" s="281">
        <f t="shared" ref="G157:I157" si="99">390000-50000</f>
        <v>340000</v>
      </c>
      <c r="H157" s="281">
        <f t="shared" si="99"/>
        <v>340000</v>
      </c>
      <c r="I157" s="281">
        <f t="shared" si="99"/>
        <v>340000</v>
      </c>
      <c r="J157" s="281">
        <v>0</v>
      </c>
      <c r="K157" s="808">
        <f t="shared" si="76"/>
        <v>0</v>
      </c>
      <c r="L157" s="1"/>
    </row>
    <row r="158" spans="1:17" x14ac:dyDescent="0.25">
      <c r="A158" s="288" t="s">
        <v>188</v>
      </c>
      <c r="B158" s="289" t="s">
        <v>189</v>
      </c>
      <c r="C158" s="290">
        <v>25000</v>
      </c>
      <c r="D158" s="290">
        <v>25000</v>
      </c>
      <c r="E158" s="290">
        <v>25000</v>
      </c>
      <c r="F158" s="290">
        <v>25000</v>
      </c>
      <c r="G158" s="290">
        <v>25000</v>
      </c>
      <c r="H158" s="290">
        <v>25000</v>
      </c>
      <c r="I158" s="290">
        <v>25000</v>
      </c>
      <c r="J158" s="290">
        <v>0</v>
      </c>
      <c r="K158" s="808">
        <f t="shared" si="76"/>
        <v>0</v>
      </c>
      <c r="L158" s="1"/>
    </row>
    <row r="159" spans="1:17" x14ac:dyDescent="0.25">
      <c r="A159" s="297" t="s">
        <v>188</v>
      </c>
      <c r="B159" s="294" t="s">
        <v>242</v>
      </c>
      <c r="C159" s="281">
        <v>30000</v>
      </c>
      <c r="D159" s="281">
        <v>30000</v>
      </c>
      <c r="E159" s="281">
        <v>30000</v>
      </c>
      <c r="F159" s="731">
        <f>30000+37000</f>
        <v>67000</v>
      </c>
      <c r="G159" s="281">
        <f t="shared" ref="G159:I159" si="100">30000+37000</f>
        <v>67000</v>
      </c>
      <c r="H159" s="281">
        <f t="shared" si="100"/>
        <v>67000</v>
      </c>
      <c r="I159" s="281">
        <f t="shared" si="100"/>
        <v>67000</v>
      </c>
      <c r="J159" s="281">
        <v>4980</v>
      </c>
      <c r="K159" s="808">
        <f t="shared" si="76"/>
        <v>7.4328358208955225E-2</v>
      </c>
      <c r="L159" s="27"/>
    </row>
    <row r="160" spans="1:17" x14ac:dyDescent="0.25">
      <c r="A160" s="300" t="s">
        <v>108</v>
      </c>
      <c r="B160" s="298" t="s">
        <v>549</v>
      </c>
      <c r="C160" s="281">
        <v>10000</v>
      </c>
      <c r="D160" s="281">
        <v>10000</v>
      </c>
      <c r="E160" s="281">
        <v>10000</v>
      </c>
      <c r="F160" s="281">
        <v>10000</v>
      </c>
      <c r="G160" s="281">
        <v>10000</v>
      </c>
      <c r="H160" s="281">
        <v>10000</v>
      </c>
      <c r="I160" s="281">
        <v>10000</v>
      </c>
      <c r="J160" s="281">
        <v>0</v>
      </c>
      <c r="K160" s="808">
        <f t="shared" si="76"/>
        <v>0</v>
      </c>
      <c r="L160" s="1"/>
    </row>
    <row r="161" spans="1:17" x14ac:dyDescent="0.25">
      <c r="A161" s="297" t="s">
        <v>108</v>
      </c>
      <c r="B161" s="770" t="s">
        <v>235</v>
      </c>
      <c r="C161" s="281">
        <v>100000</v>
      </c>
      <c r="D161" s="281">
        <v>100000</v>
      </c>
      <c r="E161" s="281">
        <v>100000</v>
      </c>
      <c r="F161" s="731">
        <f>100000-38000</f>
        <v>62000</v>
      </c>
      <c r="G161" s="281">
        <f t="shared" ref="G161:I161" si="101">100000-38000</f>
        <v>62000</v>
      </c>
      <c r="H161" s="281">
        <f t="shared" si="101"/>
        <v>62000</v>
      </c>
      <c r="I161" s="281">
        <f t="shared" si="101"/>
        <v>62000</v>
      </c>
      <c r="J161" s="281">
        <v>1014</v>
      </c>
      <c r="K161" s="808">
        <f t="shared" si="76"/>
        <v>1.6354838709677421E-2</v>
      </c>
      <c r="L161" s="27"/>
    </row>
    <row r="162" spans="1:17" ht="15.75" thickBot="1" x14ac:dyDescent="0.3">
      <c r="A162" s="768" t="s">
        <v>112</v>
      </c>
      <c r="B162" s="769" t="s">
        <v>540</v>
      </c>
      <c r="C162" s="285">
        <v>0</v>
      </c>
      <c r="D162" s="285">
        <v>0</v>
      </c>
      <c r="E162" s="285">
        <v>0</v>
      </c>
      <c r="F162" s="756">
        <v>70000</v>
      </c>
      <c r="G162" s="285">
        <v>70000</v>
      </c>
      <c r="H162" s="285">
        <v>70000</v>
      </c>
      <c r="I162" s="285">
        <v>70000</v>
      </c>
      <c r="J162" s="285">
        <v>0</v>
      </c>
      <c r="K162" s="808">
        <f t="shared" si="76"/>
        <v>0</v>
      </c>
      <c r="L162" s="27"/>
    </row>
    <row r="163" spans="1:17" x14ac:dyDescent="0.25">
      <c r="A163" s="771" t="s">
        <v>123</v>
      </c>
      <c r="B163" s="772" t="s">
        <v>193</v>
      </c>
      <c r="C163" s="773">
        <v>21000</v>
      </c>
      <c r="D163" s="773">
        <v>21000</v>
      </c>
      <c r="E163" s="773">
        <v>21000</v>
      </c>
      <c r="F163" s="773">
        <v>21000</v>
      </c>
      <c r="G163" s="773">
        <v>21000</v>
      </c>
      <c r="H163" s="773">
        <v>21000</v>
      </c>
      <c r="I163" s="773">
        <v>21000</v>
      </c>
      <c r="J163" s="773">
        <v>0</v>
      </c>
      <c r="K163" s="808">
        <f t="shared" si="76"/>
        <v>0</v>
      </c>
      <c r="L163" s="27"/>
    </row>
    <row r="164" spans="1:17" x14ac:dyDescent="0.25">
      <c r="A164" s="303" t="s">
        <v>123</v>
      </c>
      <c r="B164" s="304" t="s">
        <v>541</v>
      </c>
      <c r="C164" s="293">
        <v>8000</v>
      </c>
      <c r="D164" s="293">
        <v>8000</v>
      </c>
      <c r="E164" s="293">
        <v>8000</v>
      </c>
      <c r="F164" s="730">
        <f>8000+246000</f>
        <v>254000</v>
      </c>
      <c r="G164" s="293">
        <f t="shared" ref="G164:I164" si="102">8000+246000</f>
        <v>254000</v>
      </c>
      <c r="H164" s="293">
        <f t="shared" si="102"/>
        <v>254000</v>
      </c>
      <c r="I164" s="293">
        <f t="shared" si="102"/>
        <v>254000</v>
      </c>
      <c r="J164" s="293">
        <v>0</v>
      </c>
      <c r="K164" s="808">
        <f t="shared" si="76"/>
        <v>0</v>
      </c>
      <c r="L164" s="1"/>
    </row>
    <row r="165" spans="1:17" x14ac:dyDescent="0.25">
      <c r="A165" s="303" t="s">
        <v>125</v>
      </c>
      <c r="B165" s="304" t="s">
        <v>522</v>
      </c>
      <c r="C165" s="293">
        <v>0</v>
      </c>
      <c r="D165" s="293">
        <v>0</v>
      </c>
      <c r="E165" s="293">
        <v>0</v>
      </c>
      <c r="F165" s="730">
        <v>15000</v>
      </c>
      <c r="G165" s="293">
        <v>15000</v>
      </c>
      <c r="H165" s="293">
        <v>15000</v>
      </c>
      <c r="I165" s="293">
        <v>15000</v>
      </c>
      <c r="J165" s="293">
        <v>0</v>
      </c>
      <c r="K165" s="808">
        <f t="shared" si="76"/>
        <v>0</v>
      </c>
      <c r="L165" s="1"/>
    </row>
    <row r="166" spans="1:17" x14ac:dyDescent="0.25">
      <c r="A166" s="303" t="s">
        <v>125</v>
      </c>
      <c r="B166" s="294" t="s">
        <v>259</v>
      </c>
      <c r="C166" s="293">
        <v>200000</v>
      </c>
      <c r="D166" s="293">
        <v>200000</v>
      </c>
      <c r="E166" s="293">
        <v>200000</v>
      </c>
      <c r="F166" s="293">
        <v>200000</v>
      </c>
      <c r="G166" s="293">
        <v>200000</v>
      </c>
      <c r="H166" s="293">
        <v>200000</v>
      </c>
      <c r="I166" s="293">
        <v>200000</v>
      </c>
      <c r="J166" s="293">
        <v>0</v>
      </c>
      <c r="K166" s="808">
        <f t="shared" si="76"/>
        <v>0</v>
      </c>
      <c r="L166" s="1"/>
    </row>
    <row r="167" spans="1:17" ht="15.75" thickBot="1" x14ac:dyDescent="0.3">
      <c r="A167" s="299" t="s">
        <v>125</v>
      </c>
      <c r="B167" s="774" t="s">
        <v>523</v>
      </c>
      <c r="C167" s="284">
        <v>160886</v>
      </c>
      <c r="D167" s="284">
        <v>160886</v>
      </c>
      <c r="E167" s="284">
        <v>160886</v>
      </c>
      <c r="F167" s="753">
        <f>160886-100000</f>
        <v>60886</v>
      </c>
      <c r="G167" s="284">
        <f t="shared" ref="G167" si="103">160886-100000</f>
        <v>60886</v>
      </c>
      <c r="H167" s="284">
        <f>160886-100000</f>
        <v>60886</v>
      </c>
      <c r="I167" s="284">
        <f>160886-100000</f>
        <v>60886</v>
      </c>
      <c r="J167" s="284">
        <v>0</v>
      </c>
      <c r="K167" s="808">
        <f t="shared" si="76"/>
        <v>0</v>
      </c>
      <c r="L167" s="1"/>
    </row>
    <row r="168" spans="1:17" ht="15.75" thickBot="1" x14ac:dyDescent="0.3">
      <c r="A168" s="775" t="s">
        <v>134</v>
      </c>
      <c r="B168" s="407" t="s">
        <v>261</v>
      </c>
      <c r="C168" s="408">
        <v>494560</v>
      </c>
      <c r="D168" s="408">
        <v>494560</v>
      </c>
      <c r="E168" s="408">
        <v>494560</v>
      </c>
      <c r="F168" s="408">
        <v>494560</v>
      </c>
      <c r="G168" s="408">
        <v>494560</v>
      </c>
      <c r="H168" s="408">
        <f>494560</f>
        <v>494560</v>
      </c>
      <c r="I168" s="408">
        <f>494560</f>
        <v>494560</v>
      </c>
      <c r="J168" s="408">
        <v>0</v>
      </c>
      <c r="K168" s="808">
        <f t="shared" si="76"/>
        <v>0</v>
      </c>
      <c r="L168" s="1"/>
    </row>
    <row r="169" spans="1:17" x14ac:dyDescent="0.25">
      <c r="A169" s="311"/>
      <c r="B169" s="312"/>
      <c r="C169" s="313"/>
      <c r="D169" s="313"/>
      <c r="E169" s="313"/>
      <c r="F169" s="313"/>
      <c r="G169" s="313"/>
      <c r="H169" s="313"/>
      <c r="I169" s="313"/>
      <c r="J169" s="313"/>
      <c r="K169" s="808"/>
      <c r="L169" s="313"/>
    </row>
    <row r="170" spans="1:17" x14ac:dyDescent="0.25">
      <c r="A170" s="314"/>
      <c r="B170" s="315"/>
      <c r="C170" s="316"/>
      <c r="D170" s="316"/>
      <c r="E170" s="316"/>
      <c r="F170" s="316"/>
      <c r="G170" s="316"/>
      <c r="H170" s="316"/>
      <c r="I170" s="316"/>
      <c r="J170" s="316"/>
      <c r="K170" s="808"/>
      <c r="L170" s="316"/>
    </row>
    <row r="171" spans="1:17" ht="18.75" thickBot="1" x14ac:dyDescent="0.3">
      <c r="A171" s="868" t="s">
        <v>195</v>
      </c>
      <c r="B171" s="869"/>
      <c r="C171" s="869"/>
      <c r="D171" s="869"/>
      <c r="E171" s="869"/>
      <c r="F171" s="869"/>
      <c r="G171" s="869"/>
      <c r="H171" s="869"/>
      <c r="I171" s="869"/>
      <c r="J171" s="869"/>
      <c r="K171" s="808"/>
      <c r="L171" s="1"/>
    </row>
    <row r="172" spans="1:17" ht="27" customHeight="1" thickBot="1" x14ac:dyDescent="0.3">
      <c r="A172" s="864" t="s">
        <v>1</v>
      </c>
      <c r="B172" s="865"/>
      <c r="C172" s="413" t="s">
        <v>454</v>
      </c>
      <c r="D172" s="413" t="s">
        <v>496</v>
      </c>
      <c r="E172" s="413" t="s">
        <v>547</v>
      </c>
      <c r="F172" s="413" t="s">
        <v>497</v>
      </c>
      <c r="G172" s="413" t="s">
        <v>568</v>
      </c>
      <c r="H172" s="413" t="s">
        <v>569</v>
      </c>
      <c r="I172" s="413" t="s">
        <v>641</v>
      </c>
      <c r="J172" s="413" t="s">
        <v>642</v>
      </c>
      <c r="K172" s="808"/>
      <c r="L172" s="1"/>
    </row>
    <row r="173" spans="1:17" ht="16.5" thickBot="1" x14ac:dyDescent="0.3">
      <c r="A173" s="441" t="s">
        <v>196</v>
      </c>
      <c r="B173" s="442"/>
      <c r="C173" s="443">
        <f>SUM(C174:C185)</f>
        <v>728546</v>
      </c>
      <c r="D173" s="443">
        <f>SUM(D174:D185)</f>
        <v>728546</v>
      </c>
      <c r="E173" s="443">
        <f>SUM(E174:E185)</f>
        <v>711516</v>
      </c>
      <c r="F173" s="443">
        <f>SUM(F174:F185)</f>
        <v>714937</v>
      </c>
      <c r="G173" s="443">
        <f t="shared" ref="G173:H173" si="104">SUM(G174:G185)</f>
        <v>714937</v>
      </c>
      <c r="H173" s="443">
        <f t="shared" si="104"/>
        <v>714937</v>
      </c>
      <c r="I173" s="443">
        <f t="shared" ref="I173" si="105">SUM(I174:I185)</f>
        <v>714937</v>
      </c>
      <c r="J173" s="443">
        <f>SUM(J174:J185)</f>
        <v>77136</v>
      </c>
      <c r="K173" s="808">
        <f t="shared" si="76"/>
        <v>0.10789202405246896</v>
      </c>
      <c r="L173" s="27">
        <f t="shared" ref="L173:Q173" si="106">D173-C173</f>
        <v>0</v>
      </c>
      <c r="M173" s="27">
        <f t="shared" si="106"/>
        <v>-17030</v>
      </c>
      <c r="N173" s="27">
        <f t="shared" si="106"/>
        <v>3421</v>
      </c>
      <c r="O173" s="27">
        <f t="shared" si="106"/>
        <v>0</v>
      </c>
      <c r="P173" s="27">
        <f t="shared" si="106"/>
        <v>0</v>
      </c>
      <c r="Q173" s="27">
        <f t="shared" si="106"/>
        <v>0</v>
      </c>
    </row>
    <row r="174" spans="1:17" x14ac:dyDescent="0.25">
      <c r="A174" s="432">
        <v>453</v>
      </c>
      <c r="B174" s="433" t="s">
        <v>466</v>
      </c>
      <c r="C174" s="64">
        <f>3000+1900</f>
        <v>4900</v>
      </c>
      <c r="D174" s="64">
        <f>3000+1900</f>
        <v>4900</v>
      </c>
      <c r="E174" s="717">
        <f>3780+1810</f>
        <v>5590</v>
      </c>
      <c r="F174" s="64">
        <f>3780+1810</f>
        <v>5590</v>
      </c>
      <c r="G174" s="64">
        <f t="shared" ref="G174:I174" si="107">3780+1810</f>
        <v>5590</v>
      </c>
      <c r="H174" s="64">
        <f t="shared" si="107"/>
        <v>5590</v>
      </c>
      <c r="I174" s="64">
        <f t="shared" si="107"/>
        <v>5590</v>
      </c>
      <c r="J174" s="64">
        <v>1970</v>
      </c>
      <c r="K174" s="808">
        <f t="shared" si="76"/>
        <v>0.35241502683363146</v>
      </c>
      <c r="L174" s="27"/>
    </row>
    <row r="175" spans="1:17" x14ac:dyDescent="0.25">
      <c r="A175" s="317">
        <v>453</v>
      </c>
      <c r="B175" s="318" t="s">
        <v>465</v>
      </c>
      <c r="C175" s="319">
        <v>1500</v>
      </c>
      <c r="D175" s="319">
        <v>1500</v>
      </c>
      <c r="E175" s="319">
        <v>1500</v>
      </c>
      <c r="F175" s="319">
        <v>1500</v>
      </c>
      <c r="G175" s="319">
        <v>1500</v>
      </c>
      <c r="H175" s="319">
        <v>1500</v>
      </c>
      <c r="I175" s="319">
        <v>1500</v>
      </c>
      <c r="J175" s="319">
        <v>0</v>
      </c>
      <c r="K175" s="808">
        <f t="shared" si="76"/>
        <v>0</v>
      </c>
      <c r="L175" s="1"/>
    </row>
    <row r="176" spans="1:17" x14ac:dyDescent="0.25">
      <c r="A176" s="317">
        <v>453</v>
      </c>
      <c r="B176" s="433" t="s">
        <v>338</v>
      </c>
      <c r="C176" s="319">
        <v>29750</v>
      </c>
      <c r="D176" s="319">
        <v>29750</v>
      </c>
      <c r="E176" s="760">
        <f>29750-17050</f>
        <v>12700</v>
      </c>
      <c r="F176" s="319">
        <f>29750-17050</f>
        <v>12700</v>
      </c>
      <c r="G176" s="319">
        <f t="shared" ref="G176:I176" si="108">29750-17050</f>
        <v>12700</v>
      </c>
      <c r="H176" s="319">
        <f t="shared" si="108"/>
        <v>12700</v>
      </c>
      <c r="I176" s="319">
        <f t="shared" si="108"/>
        <v>12700</v>
      </c>
      <c r="J176" s="319">
        <v>12679</v>
      </c>
      <c r="K176" s="808">
        <f t="shared" si="76"/>
        <v>0.99834645669291333</v>
      </c>
      <c r="L176" s="27"/>
    </row>
    <row r="177" spans="1:17" x14ac:dyDescent="0.25">
      <c r="A177" s="317">
        <v>453</v>
      </c>
      <c r="B177" s="318" t="s">
        <v>307</v>
      </c>
      <c r="C177" s="319">
        <v>886</v>
      </c>
      <c r="D177" s="319">
        <v>886</v>
      </c>
      <c r="E177" s="319">
        <v>886</v>
      </c>
      <c r="F177" s="319">
        <v>886</v>
      </c>
      <c r="G177" s="319">
        <v>886</v>
      </c>
      <c r="H177" s="319">
        <v>886</v>
      </c>
      <c r="I177" s="319">
        <v>886</v>
      </c>
      <c r="J177" s="319">
        <v>0</v>
      </c>
      <c r="K177" s="808">
        <f t="shared" si="76"/>
        <v>0</v>
      </c>
      <c r="L177" s="1"/>
    </row>
    <row r="178" spans="1:17" x14ac:dyDescent="0.25">
      <c r="A178" s="317">
        <v>453</v>
      </c>
      <c r="B178" s="433" t="s">
        <v>339</v>
      </c>
      <c r="C178" s="319">
        <v>2030</v>
      </c>
      <c r="D178" s="319">
        <v>2030</v>
      </c>
      <c r="E178" s="319">
        <f>2030</f>
        <v>2030</v>
      </c>
      <c r="F178" s="319">
        <v>2030</v>
      </c>
      <c r="G178" s="319">
        <v>2030</v>
      </c>
      <c r="H178" s="319">
        <v>2030</v>
      </c>
      <c r="I178" s="319">
        <v>2030</v>
      </c>
      <c r="J178" s="319">
        <v>2024</v>
      </c>
      <c r="K178" s="808">
        <f t="shared" si="76"/>
        <v>0.99704433497536948</v>
      </c>
      <c r="L178" s="27"/>
    </row>
    <row r="179" spans="1:17" ht="15.75" thickBot="1" x14ac:dyDescent="0.3">
      <c r="A179" s="320">
        <v>453</v>
      </c>
      <c r="B179" s="321" t="s">
        <v>502</v>
      </c>
      <c r="C179" s="322">
        <v>2000</v>
      </c>
      <c r="D179" s="322">
        <v>2000</v>
      </c>
      <c r="E179" s="718">
        <f>2000-670</f>
        <v>1330</v>
      </c>
      <c r="F179" s="322">
        <f>2000-670</f>
        <v>1330</v>
      </c>
      <c r="G179" s="322">
        <f t="shared" ref="G179:I179" si="109">2000-670</f>
        <v>1330</v>
      </c>
      <c r="H179" s="322">
        <f t="shared" si="109"/>
        <v>1330</v>
      </c>
      <c r="I179" s="322">
        <f t="shared" si="109"/>
        <v>1330</v>
      </c>
      <c r="J179" s="322">
        <v>1329</v>
      </c>
      <c r="K179" s="808">
        <f t="shared" si="76"/>
        <v>0.99924812030075183</v>
      </c>
      <c r="L179" s="27">
        <f>SUM(H174:H179)</f>
        <v>24036</v>
      </c>
      <c r="M179" s="27">
        <f>SUM(J174:J179)</f>
        <v>18002</v>
      </c>
    </row>
    <row r="180" spans="1:17" x14ac:dyDescent="0.25">
      <c r="A180" s="713">
        <v>454</v>
      </c>
      <c r="B180" s="400" t="s">
        <v>342</v>
      </c>
      <c r="C180" s="714">
        <f>160000-63500-3000</f>
        <v>93500</v>
      </c>
      <c r="D180" s="714">
        <f>160000-63500-3000</f>
        <v>93500</v>
      </c>
      <c r="E180" s="714">
        <f>160000-63500-3000</f>
        <v>93500</v>
      </c>
      <c r="F180" s="714">
        <f>160000-63500-3000</f>
        <v>93500</v>
      </c>
      <c r="G180" s="714">
        <f t="shared" ref="G180:I180" si="110">160000-63500-3000</f>
        <v>93500</v>
      </c>
      <c r="H180" s="714">
        <f t="shared" si="110"/>
        <v>93500</v>
      </c>
      <c r="I180" s="714">
        <f t="shared" si="110"/>
        <v>93500</v>
      </c>
      <c r="J180" s="714">
        <v>28776</v>
      </c>
      <c r="K180" s="808">
        <f t="shared" si="76"/>
        <v>0.30776470588235294</v>
      </c>
      <c r="L180" s="1"/>
    </row>
    <row r="181" spans="1:17" x14ac:dyDescent="0.25">
      <c r="A181" s="713">
        <v>454</v>
      </c>
      <c r="B181" s="400" t="s">
        <v>341</v>
      </c>
      <c r="C181" s="714">
        <f>575840</f>
        <v>575840</v>
      </c>
      <c r="D181" s="714">
        <f>575840</f>
        <v>575840</v>
      </c>
      <c r="E181" s="714">
        <f>575840</f>
        <v>575840</v>
      </c>
      <c r="F181" s="714">
        <f>575840</f>
        <v>575840</v>
      </c>
      <c r="G181" s="714">
        <f t="shared" ref="G181:I181" si="111">575840</f>
        <v>575840</v>
      </c>
      <c r="H181" s="714">
        <f t="shared" si="111"/>
        <v>575840</v>
      </c>
      <c r="I181" s="714">
        <f t="shared" si="111"/>
        <v>575840</v>
      </c>
      <c r="J181" s="714">
        <v>8937</v>
      </c>
      <c r="K181" s="808">
        <f t="shared" si="76"/>
        <v>1.5519936093359266E-2</v>
      </c>
      <c r="L181" s="1"/>
    </row>
    <row r="182" spans="1:17" ht="15.75" thickBot="1" x14ac:dyDescent="0.3">
      <c r="A182" s="558">
        <v>454</v>
      </c>
      <c r="B182" s="559" t="s">
        <v>343</v>
      </c>
      <c r="C182" s="560">
        <v>0</v>
      </c>
      <c r="D182" s="560">
        <v>0</v>
      </c>
      <c r="E182" s="560">
        <v>0</v>
      </c>
      <c r="F182" s="560">
        <v>0</v>
      </c>
      <c r="G182" s="560">
        <v>0</v>
      </c>
      <c r="H182" s="560">
        <v>0</v>
      </c>
      <c r="I182" s="560">
        <v>0</v>
      </c>
      <c r="J182" s="560">
        <v>0</v>
      </c>
      <c r="K182" s="808">
        <v>0</v>
      </c>
      <c r="L182" s="27">
        <f>SUM(H180:H182)</f>
        <v>669340</v>
      </c>
      <c r="M182" s="27">
        <f>SUM(J180:J182)</f>
        <v>37713</v>
      </c>
    </row>
    <row r="183" spans="1:17" x14ac:dyDescent="0.25">
      <c r="A183" s="556">
        <v>456</v>
      </c>
      <c r="B183" s="400" t="s">
        <v>308</v>
      </c>
      <c r="C183" s="557">
        <v>18000</v>
      </c>
      <c r="D183" s="557">
        <v>18000</v>
      </c>
      <c r="E183" s="557">
        <v>18000</v>
      </c>
      <c r="F183" s="748">
        <f>18000+3421</f>
        <v>21421</v>
      </c>
      <c r="G183" s="557">
        <f t="shared" ref="G183:I183" si="112">18000+3421</f>
        <v>21421</v>
      </c>
      <c r="H183" s="557">
        <f t="shared" si="112"/>
        <v>21421</v>
      </c>
      <c r="I183" s="557">
        <f t="shared" si="112"/>
        <v>21421</v>
      </c>
      <c r="J183" s="557">
        <v>21421</v>
      </c>
      <c r="K183" s="808">
        <f t="shared" si="76"/>
        <v>1</v>
      </c>
      <c r="L183" s="1"/>
    </row>
    <row r="184" spans="1:17" x14ac:dyDescent="0.25">
      <c r="A184" s="432">
        <v>456</v>
      </c>
      <c r="B184" s="433" t="s">
        <v>309</v>
      </c>
      <c r="C184" s="64">
        <v>40</v>
      </c>
      <c r="D184" s="64">
        <v>40</v>
      </c>
      <c r="E184" s="64">
        <v>40</v>
      </c>
      <c r="F184" s="64">
        <v>40</v>
      </c>
      <c r="G184" s="64">
        <v>40</v>
      </c>
      <c r="H184" s="64">
        <v>40</v>
      </c>
      <c r="I184" s="64">
        <v>40</v>
      </c>
      <c r="J184" s="64">
        <v>0</v>
      </c>
      <c r="K184" s="808">
        <f t="shared" si="76"/>
        <v>0</v>
      </c>
      <c r="L184" s="27"/>
      <c r="M184" s="458"/>
    </row>
    <row r="185" spans="1:17" ht="15.75" thickBot="1" x14ac:dyDescent="0.3">
      <c r="A185" s="713">
        <v>456</v>
      </c>
      <c r="B185" s="400" t="s">
        <v>344</v>
      </c>
      <c r="C185" s="714">
        <v>100</v>
      </c>
      <c r="D185" s="714">
        <v>100</v>
      </c>
      <c r="E185" s="714">
        <v>100</v>
      </c>
      <c r="F185" s="714">
        <v>100</v>
      </c>
      <c r="G185" s="714">
        <v>100</v>
      </c>
      <c r="H185" s="714">
        <v>100</v>
      </c>
      <c r="I185" s="714">
        <v>100</v>
      </c>
      <c r="J185" s="714">
        <v>0</v>
      </c>
      <c r="K185" s="808">
        <f t="shared" si="76"/>
        <v>0</v>
      </c>
      <c r="L185" s="27">
        <f>SUM(H183:H185)</f>
        <v>21561</v>
      </c>
      <c r="M185" s="27">
        <f>SUM(J183:J185)</f>
        <v>21421</v>
      </c>
    </row>
    <row r="186" spans="1:17" ht="16.5" thickBot="1" x14ac:dyDescent="0.3">
      <c r="A186" s="441" t="s">
        <v>198</v>
      </c>
      <c r="B186" s="442"/>
      <c r="C186" s="443">
        <f t="shared" ref="C186:J186" si="113">SUM(C187:C191)</f>
        <v>19140</v>
      </c>
      <c r="D186" s="443">
        <f t="shared" si="113"/>
        <v>19140</v>
      </c>
      <c r="E186" s="443">
        <f t="shared" si="113"/>
        <v>19140</v>
      </c>
      <c r="F186" s="443">
        <f t="shared" si="113"/>
        <v>22561</v>
      </c>
      <c r="G186" s="443">
        <f t="shared" si="113"/>
        <v>22561</v>
      </c>
      <c r="H186" s="443">
        <f t="shared" si="113"/>
        <v>22561</v>
      </c>
      <c r="I186" s="443">
        <f t="shared" ref="I186" si="114">SUM(I187:I191)</f>
        <v>22561</v>
      </c>
      <c r="J186" s="443">
        <f t="shared" si="113"/>
        <v>18327</v>
      </c>
      <c r="K186" s="808">
        <f t="shared" si="76"/>
        <v>0.81233101369620142</v>
      </c>
      <c r="L186" s="27">
        <f t="shared" ref="L186:Q186" si="115">D186-C186</f>
        <v>0</v>
      </c>
      <c r="M186" s="27">
        <f t="shared" si="115"/>
        <v>0</v>
      </c>
      <c r="N186" s="27">
        <f t="shared" si="115"/>
        <v>3421</v>
      </c>
      <c r="O186" s="27">
        <f t="shared" si="115"/>
        <v>0</v>
      </c>
      <c r="P186" s="27">
        <f t="shared" si="115"/>
        <v>0</v>
      </c>
      <c r="Q186" s="27">
        <f t="shared" si="115"/>
        <v>0</v>
      </c>
    </row>
    <row r="187" spans="1:17" x14ac:dyDescent="0.25">
      <c r="A187" s="323">
        <v>819</v>
      </c>
      <c r="B187" s="324" t="s">
        <v>199</v>
      </c>
      <c r="C187" s="205">
        <v>100</v>
      </c>
      <c r="D187" s="205">
        <v>100</v>
      </c>
      <c r="E187" s="205">
        <v>100</v>
      </c>
      <c r="F187" s="205">
        <v>100</v>
      </c>
      <c r="G187" s="205">
        <v>100</v>
      </c>
      <c r="H187" s="205">
        <v>100</v>
      </c>
      <c r="I187" s="205">
        <v>100</v>
      </c>
      <c r="J187" s="205">
        <v>0</v>
      </c>
      <c r="K187" s="808">
        <f t="shared" si="76"/>
        <v>0</v>
      </c>
      <c r="L187" s="1"/>
    </row>
    <row r="188" spans="1:17" x14ac:dyDescent="0.25">
      <c r="A188" s="325">
        <v>819</v>
      </c>
      <c r="B188" s="326" t="s">
        <v>310</v>
      </c>
      <c r="C188" s="56">
        <v>40</v>
      </c>
      <c r="D188" s="56">
        <v>40</v>
      </c>
      <c r="E188" s="56">
        <v>40</v>
      </c>
      <c r="F188" s="56">
        <v>40</v>
      </c>
      <c r="G188" s="56">
        <v>40</v>
      </c>
      <c r="H188" s="56">
        <v>40</v>
      </c>
      <c r="I188" s="56">
        <v>40</v>
      </c>
      <c r="J188" s="56">
        <v>0</v>
      </c>
      <c r="K188" s="808">
        <f t="shared" si="76"/>
        <v>0</v>
      </c>
      <c r="L188" s="1"/>
    </row>
    <row r="189" spans="1:17" ht="15.75" thickBot="1" x14ac:dyDescent="0.3">
      <c r="A189" s="776">
        <v>819</v>
      </c>
      <c r="B189" s="777" t="s">
        <v>311</v>
      </c>
      <c r="C189" s="778">
        <v>18000</v>
      </c>
      <c r="D189" s="778">
        <v>18000</v>
      </c>
      <c r="E189" s="778">
        <v>18000</v>
      </c>
      <c r="F189" s="779">
        <f>18000+3421</f>
        <v>21421</v>
      </c>
      <c r="G189" s="778">
        <f t="shared" ref="G189:I189" si="116">18000+3421</f>
        <v>21421</v>
      </c>
      <c r="H189" s="778">
        <f t="shared" si="116"/>
        <v>21421</v>
      </c>
      <c r="I189" s="778">
        <f t="shared" si="116"/>
        <v>21421</v>
      </c>
      <c r="J189" s="778">
        <v>18000</v>
      </c>
      <c r="K189" s="808">
        <f t="shared" si="76"/>
        <v>0.8402969049064003</v>
      </c>
      <c r="L189" s="27">
        <f>SUM(C187:C189)</f>
        <v>18140</v>
      </c>
      <c r="M189" s="27">
        <f>SUM(D187:D189)</f>
        <v>18140</v>
      </c>
      <c r="N189" s="27">
        <f t="shared" ref="N189" si="117">SUM(F187:F189)</f>
        <v>21561</v>
      </c>
    </row>
    <row r="190" spans="1:17" x14ac:dyDescent="0.25">
      <c r="A190" s="325">
        <v>821</v>
      </c>
      <c r="B190" s="326" t="s">
        <v>268</v>
      </c>
      <c r="C190" s="56">
        <v>0</v>
      </c>
      <c r="D190" s="56">
        <v>0</v>
      </c>
      <c r="E190" s="56">
        <v>0</v>
      </c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808">
        <v>0</v>
      </c>
      <c r="L190" s="1"/>
    </row>
    <row r="191" spans="1:17" ht="15.75" thickBot="1" x14ac:dyDescent="0.3">
      <c r="A191" s="327">
        <v>821</v>
      </c>
      <c r="B191" s="328" t="s">
        <v>200</v>
      </c>
      <c r="C191" s="128">
        <v>1000</v>
      </c>
      <c r="D191" s="128">
        <v>1000</v>
      </c>
      <c r="E191" s="128">
        <v>1000</v>
      </c>
      <c r="F191" s="128">
        <v>1000</v>
      </c>
      <c r="G191" s="128">
        <v>1000</v>
      </c>
      <c r="H191" s="128">
        <v>1000</v>
      </c>
      <c r="I191" s="128">
        <v>1000</v>
      </c>
      <c r="J191" s="128">
        <v>327</v>
      </c>
      <c r="K191" s="808">
        <f t="shared" si="76"/>
        <v>0.32700000000000001</v>
      </c>
      <c r="L191" s="1"/>
    </row>
    <row r="192" spans="1:17" x14ac:dyDescent="0.25">
      <c r="A192" s="314"/>
      <c r="B192" s="329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</row>
    <row r="193" spans="1:19" ht="15.75" x14ac:dyDescent="0.25">
      <c r="A193" s="105"/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  <c r="L193" s="312"/>
    </row>
    <row r="194" spans="1:19" ht="18.75" thickBot="1" x14ac:dyDescent="0.3">
      <c r="A194" s="870" t="s">
        <v>201</v>
      </c>
      <c r="B194" s="871"/>
      <c r="C194" s="871"/>
      <c r="D194" s="871"/>
      <c r="E194" s="871"/>
      <c r="F194" s="871"/>
      <c r="G194" s="871"/>
      <c r="H194" s="871"/>
      <c r="I194" s="871"/>
      <c r="J194" s="871"/>
      <c r="K194" s="809"/>
      <c r="L194" s="1"/>
    </row>
    <row r="195" spans="1:19" ht="27.75" customHeight="1" thickBot="1" x14ac:dyDescent="0.3">
      <c r="A195" s="864" t="s">
        <v>1</v>
      </c>
      <c r="B195" s="865"/>
      <c r="C195" s="413" t="s">
        <v>454</v>
      </c>
      <c r="D195" s="413" t="s">
        <v>496</v>
      </c>
      <c r="E195" s="413" t="s">
        <v>547</v>
      </c>
      <c r="F195" s="413" t="s">
        <v>497</v>
      </c>
      <c r="G195" s="413" t="s">
        <v>568</v>
      </c>
      <c r="H195" s="413" t="s">
        <v>569</v>
      </c>
      <c r="I195" s="413" t="s">
        <v>641</v>
      </c>
      <c r="J195" s="413" t="s">
        <v>642</v>
      </c>
      <c r="K195" s="810"/>
      <c r="L195" s="1"/>
    </row>
    <row r="196" spans="1:19" ht="15.75" x14ac:dyDescent="0.25">
      <c r="A196" s="330" t="s">
        <v>202</v>
      </c>
      <c r="B196" s="29"/>
      <c r="C196" s="331">
        <f t="shared" ref="C196:J196" si="118">C76</f>
        <v>2548280</v>
      </c>
      <c r="D196" s="331">
        <f t="shared" si="118"/>
        <v>2548360</v>
      </c>
      <c r="E196" s="331">
        <f t="shared" si="118"/>
        <v>2656610</v>
      </c>
      <c r="F196" s="331">
        <f t="shared" si="118"/>
        <v>2657110</v>
      </c>
      <c r="G196" s="331">
        <f t="shared" si="118"/>
        <v>2718695</v>
      </c>
      <c r="H196" s="331">
        <f t="shared" si="118"/>
        <v>2756505</v>
      </c>
      <c r="I196" s="331">
        <f t="shared" ref="I196" si="119">I76</f>
        <v>2759075</v>
      </c>
      <c r="J196" s="331">
        <f t="shared" si="118"/>
        <v>1033310</v>
      </c>
      <c r="K196" s="806"/>
      <c r="L196" s="1"/>
    </row>
    <row r="197" spans="1:19" ht="15.75" x14ac:dyDescent="0.25">
      <c r="A197" s="332" t="s">
        <v>203</v>
      </c>
      <c r="B197" s="333"/>
      <c r="C197" s="334">
        <f>C141</f>
        <v>2680960</v>
      </c>
      <c r="D197" s="334">
        <f>D141</f>
        <v>2681040</v>
      </c>
      <c r="E197" s="334">
        <f>E141</f>
        <v>2772260</v>
      </c>
      <c r="F197" s="334">
        <f>F141</f>
        <v>2772760</v>
      </c>
      <c r="G197" s="334">
        <f t="shared" ref="G197:H197" si="120">G141</f>
        <v>2834345</v>
      </c>
      <c r="H197" s="334">
        <f t="shared" si="120"/>
        <v>2872155</v>
      </c>
      <c r="I197" s="334">
        <f t="shared" ref="I197" si="121">I141</f>
        <v>2874725</v>
      </c>
      <c r="J197" s="334">
        <f>J141</f>
        <v>817098</v>
      </c>
      <c r="K197" s="806"/>
      <c r="L197" s="1"/>
    </row>
    <row r="198" spans="1:19" ht="15.75" x14ac:dyDescent="0.25">
      <c r="A198" s="872" t="s">
        <v>204</v>
      </c>
      <c r="B198" s="873"/>
      <c r="C198" s="335">
        <f t="shared" ref="C198:J198" si="122">C196-C197</f>
        <v>-132680</v>
      </c>
      <c r="D198" s="335">
        <f t="shared" si="122"/>
        <v>-132680</v>
      </c>
      <c r="E198" s="335">
        <f t="shared" si="122"/>
        <v>-115650</v>
      </c>
      <c r="F198" s="335">
        <f t="shared" si="122"/>
        <v>-115650</v>
      </c>
      <c r="G198" s="335">
        <f t="shared" si="122"/>
        <v>-115650</v>
      </c>
      <c r="H198" s="335">
        <f t="shared" si="122"/>
        <v>-115650</v>
      </c>
      <c r="I198" s="335">
        <f t="shared" ref="I198" si="123">I196-I197</f>
        <v>-115650</v>
      </c>
      <c r="J198" s="335">
        <f t="shared" si="122"/>
        <v>216212</v>
      </c>
      <c r="K198" s="811"/>
      <c r="L198" s="1"/>
    </row>
    <row r="199" spans="1:19" ht="15.75" x14ac:dyDescent="0.25">
      <c r="A199" s="332" t="s">
        <v>205</v>
      </c>
      <c r="B199" s="18"/>
      <c r="C199" s="334">
        <f>C146</f>
        <v>869220</v>
      </c>
      <c r="D199" s="334">
        <f>D146</f>
        <v>869220</v>
      </c>
      <c r="E199" s="334">
        <f>E146</f>
        <v>869220</v>
      </c>
      <c r="F199" s="334">
        <f>F146</f>
        <v>1047220</v>
      </c>
      <c r="G199" s="334">
        <f t="shared" ref="G199:H199" si="124">G146</f>
        <v>1047220</v>
      </c>
      <c r="H199" s="334">
        <f t="shared" si="124"/>
        <v>1047220</v>
      </c>
      <c r="I199" s="334">
        <f t="shared" ref="I199" si="125">I146</f>
        <v>1047220</v>
      </c>
      <c r="J199" s="334">
        <f>J146</f>
        <v>0</v>
      </c>
      <c r="K199" s="806"/>
      <c r="L199" s="1"/>
    </row>
    <row r="200" spans="1:19" ht="15.75" x14ac:dyDescent="0.25">
      <c r="A200" s="332" t="s">
        <v>206</v>
      </c>
      <c r="B200" s="18"/>
      <c r="C200" s="20">
        <f>C154</f>
        <v>1445946</v>
      </c>
      <c r="D200" s="20">
        <f>D154</f>
        <v>1445946</v>
      </c>
      <c r="E200" s="20">
        <f>E154</f>
        <v>1445946</v>
      </c>
      <c r="F200" s="20">
        <f>F154</f>
        <v>1623946</v>
      </c>
      <c r="G200" s="20">
        <f t="shared" ref="G200:H200" si="126">G154</f>
        <v>1623946</v>
      </c>
      <c r="H200" s="20">
        <f t="shared" si="126"/>
        <v>1623946</v>
      </c>
      <c r="I200" s="20">
        <f t="shared" ref="I200" si="127">I154</f>
        <v>1623946</v>
      </c>
      <c r="J200" s="20">
        <f>J154</f>
        <v>8937</v>
      </c>
      <c r="K200" s="807"/>
      <c r="L200" s="1"/>
    </row>
    <row r="201" spans="1:19" ht="15.75" x14ac:dyDescent="0.25">
      <c r="A201" s="872" t="s">
        <v>207</v>
      </c>
      <c r="B201" s="873"/>
      <c r="C201" s="335">
        <f t="shared" ref="C201:J201" si="128">C199-C200</f>
        <v>-576726</v>
      </c>
      <c r="D201" s="335">
        <f t="shared" si="128"/>
        <v>-576726</v>
      </c>
      <c r="E201" s="335">
        <f t="shared" si="128"/>
        <v>-576726</v>
      </c>
      <c r="F201" s="335">
        <f t="shared" si="128"/>
        <v>-576726</v>
      </c>
      <c r="G201" s="335">
        <f t="shared" si="128"/>
        <v>-576726</v>
      </c>
      <c r="H201" s="335">
        <f t="shared" si="128"/>
        <v>-576726</v>
      </c>
      <c r="I201" s="335">
        <f t="shared" ref="I201" si="129">I199-I200</f>
        <v>-576726</v>
      </c>
      <c r="J201" s="335">
        <f t="shared" si="128"/>
        <v>-8937</v>
      </c>
      <c r="K201" s="811"/>
      <c r="L201" s="1"/>
    </row>
    <row r="202" spans="1:19" ht="15.75" x14ac:dyDescent="0.25">
      <c r="A202" s="336" t="s">
        <v>208</v>
      </c>
      <c r="B202" s="337"/>
      <c r="C202" s="338">
        <f>C173</f>
        <v>728546</v>
      </c>
      <c r="D202" s="338">
        <f>D173</f>
        <v>728546</v>
      </c>
      <c r="E202" s="338">
        <f>E173</f>
        <v>711516</v>
      </c>
      <c r="F202" s="338">
        <f>F173</f>
        <v>714937</v>
      </c>
      <c r="G202" s="338">
        <f t="shared" ref="G202:H202" si="130">G173</f>
        <v>714937</v>
      </c>
      <c r="H202" s="338">
        <f t="shared" si="130"/>
        <v>714937</v>
      </c>
      <c r="I202" s="338">
        <f t="shared" ref="I202" si="131">I173</f>
        <v>714937</v>
      </c>
      <c r="J202" s="338">
        <f>J173</f>
        <v>77136</v>
      </c>
      <c r="K202" s="806"/>
      <c r="L202" s="1"/>
    </row>
    <row r="203" spans="1:19" ht="15.75" x14ac:dyDescent="0.25">
      <c r="A203" s="336" t="s">
        <v>209</v>
      </c>
      <c r="B203" s="337"/>
      <c r="C203" s="338">
        <f t="shared" ref="C203:J203" si="132">C186</f>
        <v>19140</v>
      </c>
      <c r="D203" s="338">
        <f t="shared" si="132"/>
        <v>19140</v>
      </c>
      <c r="E203" s="338">
        <f t="shared" si="132"/>
        <v>19140</v>
      </c>
      <c r="F203" s="338">
        <f t="shared" si="132"/>
        <v>22561</v>
      </c>
      <c r="G203" s="338">
        <f t="shared" si="132"/>
        <v>22561</v>
      </c>
      <c r="H203" s="338">
        <f t="shared" si="132"/>
        <v>22561</v>
      </c>
      <c r="I203" s="338">
        <f t="shared" ref="I203" si="133">I186</f>
        <v>22561</v>
      </c>
      <c r="J203" s="338">
        <f t="shared" si="132"/>
        <v>18327</v>
      </c>
      <c r="K203" s="806"/>
      <c r="L203" s="1"/>
    </row>
    <row r="204" spans="1:19" ht="16.5" thickBot="1" x14ac:dyDescent="0.3">
      <c r="A204" s="858" t="s">
        <v>210</v>
      </c>
      <c r="B204" s="859"/>
      <c r="C204" s="339">
        <f t="shared" ref="C204:J204" si="134">C202-C203</f>
        <v>709406</v>
      </c>
      <c r="D204" s="339">
        <f t="shared" si="134"/>
        <v>709406</v>
      </c>
      <c r="E204" s="339">
        <f t="shared" si="134"/>
        <v>692376</v>
      </c>
      <c r="F204" s="339">
        <f t="shared" si="134"/>
        <v>692376</v>
      </c>
      <c r="G204" s="339">
        <f t="shared" si="134"/>
        <v>692376</v>
      </c>
      <c r="H204" s="339">
        <f t="shared" si="134"/>
        <v>692376</v>
      </c>
      <c r="I204" s="339">
        <f t="shared" ref="I204" si="135">I202-I203</f>
        <v>692376</v>
      </c>
      <c r="J204" s="339">
        <f t="shared" si="134"/>
        <v>58809</v>
      </c>
      <c r="K204" s="811"/>
      <c r="L204" s="1"/>
    </row>
    <row r="205" spans="1:19" ht="16.5" thickBot="1" x14ac:dyDescent="0.3">
      <c r="A205" s="340" t="s">
        <v>211</v>
      </c>
      <c r="B205" s="341"/>
      <c r="C205" s="342">
        <f t="shared" ref="C205:J205" si="136">C198+C201+C204</f>
        <v>0</v>
      </c>
      <c r="D205" s="342">
        <f t="shared" si="136"/>
        <v>0</v>
      </c>
      <c r="E205" s="342">
        <f t="shared" si="136"/>
        <v>0</v>
      </c>
      <c r="F205" s="342">
        <f t="shared" si="136"/>
        <v>0</v>
      </c>
      <c r="G205" s="342">
        <f t="shared" si="136"/>
        <v>0</v>
      </c>
      <c r="H205" s="342">
        <f t="shared" si="136"/>
        <v>0</v>
      </c>
      <c r="I205" s="342">
        <f t="shared" ref="I205" si="137">I198+I201+I204</f>
        <v>0</v>
      </c>
      <c r="J205" s="342">
        <f t="shared" si="136"/>
        <v>266084</v>
      </c>
      <c r="K205" s="811"/>
      <c r="L205" s="1"/>
    </row>
    <row r="206" spans="1:1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9" ht="16.5" x14ac:dyDescent="0.3">
      <c r="A207" s="1"/>
      <c r="B207" s="704" t="s">
        <v>457</v>
      </c>
      <c r="C207" s="705">
        <f t="shared" ref="C207:J208" si="138">C196+C199+C202</f>
        <v>4146046</v>
      </c>
      <c r="D207" s="705">
        <f t="shared" si="138"/>
        <v>4146126</v>
      </c>
      <c r="E207" s="705">
        <f t="shared" si="138"/>
        <v>4237346</v>
      </c>
      <c r="F207" s="705">
        <f t="shared" si="138"/>
        <v>4419267</v>
      </c>
      <c r="G207" s="705">
        <f t="shared" si="138"/>
        <v>4480852</v>
      </c>
      <c r="H207" s="705">
        <f t="shared" si="138"/>
        <v>4518662</v>
      </c>
      <c r="I207" s="705">
        <f t="shared" ref="I207" si="139">I196+I199+I202</f>
        <v>4521232</v>
      </c>
      <c r="J207" s="705">
        <f t="shared" si="138"/>
        <v>1110446</v>
      </c>
      <c r="K207" s="705"/>
      <c r="L207" s="1"/>
      <c r="M207" s="458">
        <f t="shared" ref="M207:R208" si="140">D207-C207</f>
        <v>80</v>
      </c>
      <c r="N207" s="458">
        <f t="shared" si="140"/>
        <v>91220</v>
      </c>
      <c r="O207" s="458">
        <f t="shared" si="140"/>
        <v>181921</v>
      </c>
      <c r="P207" s="458">
        <f t="shared" si="140"/>
        <v>61585</v>
      </c>
      <c r="Q207" s="458">
        <f t="shared" si="140"/>
        <v>37810</v>
      </c>
      <c r="R207" s="458">
        <f t="shared" si="140"/>
        <v>2570</v>
      </c>
      <c r="S207" s="458"/>
    </row>
    <row r="208" spans="1:19" ht="16.5" x14ac:dyDescent="0.3">
      <c r="A208" s="1"/>
      <c r="B208" s="704" t="s">
        <v>458</v>
      </c>
      <c r="C208" s="705">
        <f t="shared" si="138"/>
        <v>4146046</v>
      </c>
      <c r="D208" s="705">
        <f t="shared" si="138"/>
        <v>4146126</v>
      </c>
      <c r="E208" s="705">
        <f t="shared" si="138"/>
        <v>4237346</v>
      </c>
      <c r="F208" s="705">
        <f t="shared" si="138"/>
        <v>4419267</v>
      </c>
      <c r="G208" s="705">
        <f t="shared" si="138"/>
        <v>4480852</v>
      </c>
      <c r="H208" s="705">
        <f t="shared" si="138"/>
        <v>4518662</v>
      </c>
      <c r="I208" s="705">
        <f t="shared" ref="I208" si="141">I197+I200+I203</f>
        <v>4521232</v>
      </c>
      <c r="J208" s="705">
        <f t="shared" si="138"/>
        <v>844362</v>
      </c>
      <c r="K208" s="705"/>
      <c r="L208" s="1"/>
      <c r="M208" s="458">
        <f t="shared" si="140"/>
        <v>80</v>
      </c>
      <c r="N208" s="458">
        <f t="shared" si="140"/>
        <v>91220</v>
      </c>
      <c r="O208" s="458">
        <f t="shared" si="140"/>
        <v>181921</v>
      </c>
      <c r="P208" s="458">
        <f t="shared" si="140"/>
        <v>61585</v>
      </c>
      <c r="Q208" s="458">
        <f t="shared" si="140"/>
        <v>37810</v>
      </c>
      <c r="R208" s="458">
        <f t="shared" si="140"/>
        <v>2570</v>
      </c>
      <c r="S208" s="458"/>
    </row>
    <row r="209" spans="1:19" ht="16.5" x14ac:dyDescent="0.3">
      <c r="A209" s="1"/>
      <c r="B209" s="704"/>
      <c r="C209" s="705"/>
      <c r="D209" s="705"/>
      <c r="E209" s="705"/>
      <c r="F209" s="705"/>
      <c r="G209" s="705"/>
      <c r="H209" s="705"/>
      <c r="I209" s="705"/>
      <c r="J209" s="705"/>
      <c r="K209" s="705"/>
      <c r="L209" s="1"/>
      <c r="M209" s="458"/>
      <c r="N209" s="458"/>
      <c r="O209" s="458"/>
      <c r="P209" s="458"/>
      <c r="Q209" s="458"/>
      <c r="R209" s="458"/>
      <c r="S209" s="458"/>
    </row>
    <row r="210" spans="1:19" ht="16.5" x14ac:dyDescent="0.3">
      <c r="A210" s="1"/>
      <c r="B210" s="704" t="s">
        <v>459</v>
      </c>
      <c r="C210" s="705">
        <f t="shared" ref="C210:J210" si="142">C207-C75</f>
        <v>4130016</v>
      </c>
      <c r="D210" s="705">
        <f t="shared" si="142"/>
        <v>4130096</v>
      </c>
      <c r="E210" s="705">
        <f t="shared" si="142"/>
        <v>4221316</v>
      </c>
      <c r="F210" s="705">
        <f t="shared" si="142"/>
        <v>4403237</v>
      </c>
      <c r="G210" s="705">
        <f t="shared" si="142"/>
        <v>4464822</v>
      </c>
      <c r="H210" s="705">
        <f t="shared" si="142"/>
        <v>4502632</v>
      </c>
      <c r="I210" s="705">
        <f t="shared" ref="I210" si="143">I207-I75</f>
        <v>4505202</v>
      </c>
      <c r="J210" s="705">
        <f t="shared" si="142"/>
        <v>1103930</v>
      </c>
      <c r="K210" s="705"/>
      <c r="L210" s="1"/>
      <c r="M210" s="458">
        <f t="shared" ref="M210:R211" si="144">D210-C210</f>
        <v>80</v>
      </c>
      <c r="N210" s="458">
        <f t="shared" si="144"/>
        <v>91220</v>
      </c>
      <c r="O210" s="458">
        <f t="shared" si="144"/>
        <v>181921</v>
      </c>
      <c r="P210" s="458">
        <f t="shared" si="144"/>
        <v>61585</v>
      </c>
      <c r="Q210" s="458">
        <f t="shared" si="144"/>
        <v>37810</v>
      </c>
      <c r="R210" s="458">
        <f t="shared" si="144"/>
        <v>2570</v>
      </c>
      <c r="S210" s="458"/>
    </row>
    <row r="211" spans="1:19" ht="16.5" x14ac:dyDescent="0.3">
      <c r="A211" s="1"/>
      <c r="B211" s="704" t="s">
        <v>460</v>
      </c>
      <c r="C211" s="705">
        <f>C208-C140</f>
        <v>3231446</v>
      </c>
      <c r="D211" s="705">
        <f>D208-D140</f>
        <v>3231526</v>
      </c>
      <c r="E211" s="705">
        <f>E208-E140</f>
        <v>3264747</v>
      </c>
      <c r="F211" s="705">
        <f>F208-F140</f>
        <v>3446668</v>
      </c>
      <c r="G211" s="705">
        <f t="shared" ref="G211:H211" si="145">G208-G140</f>
        <v>3508253</v>
      </c>
      <c r="H211" s="705">
        <f t="shared" si="145"/>
        <v>3546063</v>
      </c>
      <c r="I211" s="705">
        <f t="shared" ref="I211" si="146">I208-I140</f>
        <v>3546453</v>
      </c>
      <c r="J211" s="705">
        <f>J208-J140</f>
        <v>538165</v>
      </c>
      <c r="K211" s="705"/>
      <c r="L211" s="1"/>
      <c r="M211" s="458">
        <f t="shared" si="144"/>
        <v>80</v>
      </c>
      <c r="N211" s="458">
        <f t="shared" si="144"/>
        <v>33221</v>
      </c>
      <c r="O211" s="458">
        <f t="shared" si="144"/>
        <v>181921</v>
      </c>
      <c r="P211" s="458">
        <f t="shared" si="144"/>
        <v>61585</v>
      </c>
      <c r="Q211" s="458">
        <f t="shared" si="144"/>
        <v>37810</v>
      </c>
      <c r="R211" s="458">
        <f t="shared" si="144"/>
        <v>390</v>
      </c>
      <c r="S211" s="458"/>
    </row>
    <row r="212" spans="1:19" ht="16.5" x14ac:dyDescent="0.3">
      <c r="A212" s="1"/>
      <c r="B212" s="704"/>
      <c r="C212" s="705"/>
      <c r="D212" s="705"/>
      <c r="E212" s="705"/>
      <c r="F212" s="705"/>
      <c r="G212" s="705"/>
      <c r="H212" s="705"/>
      <c r="I212" s="705"/>
      <c r="J212" s="705"/>
      <c r="K212" s="705"/>
      <c r="L212" s="1"/>
      <c r="M212" s="458"/>
      <c r="N212" s="458"/>
      <c r="O212" s="458"/>
      <c r="P212" s="458"/>
      <c r="Q212" s="458"/>
      <c r="R212" s="458"/>
      <c r="S212" s="458"/>
    </row>
    <row r="213" spans="1:19" ht="16.5" x14ac:dyDescent="0.3">
      <c r="A213" s="1"/>
      <c r="B213" s="706" t="s">
        <v>461</v>
      </c>
      <c r="C213" s="707">
        <f t="shared" ref="C213:J214" si="147">C207-C210</f>
        <v>16030</v>
      </c>
      <c r="D213" s="707">
        <f t="shared" si="147"/>
        <v>16030</v>
      </c>
      <c r="E213" s="707">
        <f t="shared" si="147"/>
        <v>16030</v>
      </c>
      <c r="F213" s="707">
        <f t="shared" si="147"/>
        <v>16030</v>
      </c>
      <c r="G213" s="707">
        <f t="shared" si="147"/>
        <v>16030</v>
      </c>
      <c r="H213" s="707">
        <f t="shared" si="147"/>
        <v>16030</v>
      </c>
      <c r="I213" s="707">
        <f t="shared" ref="I213" si="148">I207-I210</f>
        <v>16030</v>
      </c>
      <c r="J213" s="707">
        <f t="shared" si="147"/>
        <v>6516</v>
      </c>
      <c r="K213" s="707"/>
      <c r="L213" s="1"/>
      <c r="M213" s="458">
        <f t="shared" ref="M213:R215" si="149">D213-C213</f>
        <v>0</v>
      </c>
      <c r="N213" s="458">
        <f t="shared" si="149"/>
        <v>0</v>
      </c>
      <c r="O213" s="458">
        <f t="shared" si="149"/>
        <v>0</v>
      </c>
      <c r="P213" s="458">
        <f t="shared" si="149"/>
        <v>0</v>
      </c>
      <c r="Q213" s="458">
        <f t="shared" si="149"/>
        <v>0</v>
      </c>
      <c r="R213" s="458">
        <f t="shared" si="149"/>
        <v>0</v>
      </c>
      <c r="S213" s="458"/>
    </row>
    <row r="214" spans="1:19" ht="16.5" x14ac:dyDescent="0.3">
      <c r="A214" s="104"/>
      <c r="B214" s="706" t="s">
        <v>462</v>
      </c>
      <c r="C214" s="707">
        <f t="shared" si="147"/>
        <v>914600</v>
      </c>
      <c r="D214" s="707">
        <f t="shared" si="147"/>
        <v>914600</v>
      </c>
      <c r="E214" s="707">
        <f t="shared" si="147"/>
        <v>972599</v>
      </c>
      <c r="F214" s="707">
        <f t="shared" si="147"/>
        <v>972599</v>
      </c>
      <c r="G214" s="707">
        <f t="shared" si="147"/>
        <v>972599</v>
      </c>
      <c r="H214" s="707">
        <f t="shared" si="147"/>
        <v>972599</v>
      </c>
      <c r="I214" s="707">
        <f t="shared" ref="I214" si="150">I208-I211</f>
        <v>974779</v>
      </c>
      <c r="J214" s="707">
        <f t="shared" si="147"/>
        <v>306197</v>
      </c>
      <c r="K214" s="707"/>
      <c r="L214" s="1"/>
      <c r="M214" s="458">
        <f t="shared" si="149"/>
        <v>0</v>
      </c>
      <c r="N214" s="458">
        <f t="shared" si="149"/>
        <v>57999</v>
      </c>
      <c r="O214" s="458">
        <f t="shared" si="149"/>
        <v>0</v>
      </c>
      <c r="P214" s="458">
        <f t="shared" si="149"/>
        <v>0</v>
      </c>
      <c r="Q214" s="458">
        <f t="shared" si="149"/>
        <v>0</v>
      </c>
      <c r="R214" s="458">
        <f t="shared" si="149"/>
        <v>2180</v>
      </c>
      <c r="S214" s="458"/>
    </row>
    <row r="215" spans="1:19" ht="16.5" x14ac:dyDescent="0.3">
      <c r="A215" s="1"/>
      <c r="B215" s="704" t="s">
        <v>365</v>
      </c>
      <c r="C215" s="707">
        <f t="shared" ref="C215:J215" si="151">C214-C213+C205</f>
        <v>898570</v>
      </c>
      <c r="D215" s="707">
        <f t="shared" si="151"/>
        <v>898570</v>
      </c>
      <c r="E215" s="707">
        <f t="shared" si="151"/>
        <v>956569</v>
      </c>
      <c r="F215" s="707">
        <f t="shared" si="151"/>
        <v>956569</v>
      </c>
      <c r="G215" s="707">
        <f t="shared" si="151"/>
        <v>956569</v>
      </c>
      <c r="H215" s="707">
        <f t="shared" si="151"/>
        <v>956569</v>
      </c>
      <c r="I215" s="707">
        <f t="shared" ref="I215" si="152">I214-I213+I205</f>
        <v>958749</v>
      </c>
      <c r="J215" s="707">
        <f t="shared" si="151"/>
        <v>565765</v>
      </c>
      <c r="K215" s="707"/>
      <c r="L215" s="1"/>
      <c r="M215" s="458">
        <f t="shared" si="149"/>
        <v>0</v>
      </c>
      <c r="N215" s="458">
        <f t="shared" si="149"/>
        <v>57999</v>
      </c>
      <c r="O215" s="458">
        <f t="shared" si="149"/>
        <v>0</v>
      </c>
      <c r="P215" s="458">
        <f t="shared" si="149"/>
        <v>0</v>
      </c>
      <c r="Q215" s="458">
        <f t="shared" si="149"/>
        <v>0</v>
      </c>
      <c r="R215" s="458">
        <f t="shared" si="149"/>
        <v>2180</v>
      </c>
      <c r="S215" s="458"/>
    </row>
    <row r="216" spans="1:19" x14ac:dyDescent="0.25">
      <c r="A216" s="1"/>
      <c r="B216" s="1"/>
      <c r="C216" s="531"/>
      <c r="D216" s="531"/>
      <c r="E216" s="531"/>
      <c r="F216" s="531"/>
      <c r="G216" s="531"/>
      <c r="H216" s="531"/>
      <c r="I216" s="531"/>
      <c r="J216" s="531"/>
      <c r="K216" s="531"/>
      <c r="L216" s="1"/>
    </row>
    <row r="217" spans="1:19" x14ac:dyDescent="0.25">
      <c r="A217" s="1"/>
      <c r="B217" s="345" t="s">
        <v>216</v>
      </c>
      <c r="C217" s="554"/>
      <c r="D217" s="345"/>
      <c r="E217" s="345"/>
      <c r="F217" s="345"/>
      <c r="G217" s="345"/>
      <c r="H217" s="345"/>
      <c r="I217" s="345"/>
      <c r="J217" s="345"/>
      <c r="K217" s="345"/>
      <c r="L217" s="1"/>
    </row>
    <row r="218" spans="1:19" x14ac:dyDescent="0.25">
      <c r="A218" s="1"/>
      <c r="B218" s="345" t="s">
        <v>455</v>
      </c>
      <c r="C218" s="345"/>
      <c r="D218" s="345"/>
      <c r="E218" s="345"/>
      <c r="F218" s="345"/>
      <c r="G218" s="345"/>
      <c r="H218" s="345"/>
      <c r="I218" s="345"/>
      <c r="J218" s="345"/>
      <c r="K218" s="345"/>
      <c r="L218" s="1"/>
    </row>
    <row r="219" spans="1:19" x14ac:dyDescent="0.25">
      <c r="A219" s="1"/>
      <c r="B219" s="345"/>
      <c r="C219" s="345"/>
      <c r="D219" s="345"/>
      <c r="E219" s="345"/>
      <c r="F219" s="345"/>
      <c r="G219" s="345"/>
      <c r="H219" s="345"/>
      <c r="I219" s="345"/>
      <c r="J219" s="345"/>
      <c r="K219" s="345"/>
      <c r="L219" s="1"/>
    </row>
    <row r="220" spans="1:19" x14ac:dyDescent="0.25">
      <c r="A220" s="1"/>
      <c r="B220" s="347" t="s">
        <v>456</v>
      </c>
      <c r="C220" s="345"/>
      <c r="D220" s="345"/>
      <c r="E220" s="345"/>
      <c r="F220" s="345"/>
      <c r="G220" s="345"/>
      <c r="H220" s="345"/>
      <c r="I220" s="345"/>
      <c r="J220" s="345"/>
      <c r="K220" s="345"/>
      <c r="L220" s="1"/>
    </row>
    <row r="221" spans="1:19" x14ac:dyDescent="0.25">
      <c r="A221" s="1"/>
      <c r="B221" s="347"/>
      <c r="C221" s="345"/>
      <c r="D221" s="345"/>
      <c r="E221" s="345"/>
      <c r="F221" s="345"/>
      <c r="G221" s="345"/>
      <c r="H221" s="345"/>
      <c r="I221" s="345"/>
      <c r="J221" s="345"/>
      <c r="K221" s="345"/>
      <c r="L221" s="1"/>
    </row>
    <row r="222" spans="1:19" x14ac:dyDescent="0.25">
      <c r="A222" s="1"/>
      <c r="B222" s="346" t="s">
        <v>608</v>
      </c>
      <c r="C222" s="345"/>
      <c r="D222" s="345"/>
      <c r="E222" s="345"/>
      <c r="F222" s="345"/>
      <c r="G222" s="345"/>
      <c r="H222" s="345"/>
      <c r="I222" s="345"/>
      <c r="J222" s="345"/>
      <c r="K222" s="345"/>
      <c r="L222" s="1"/>
    </row>
    <row r="223" spans="1:19" x14ac:dyDescent="0.25">
      <c r="A223" s="1"/>
      <c r="B223" s="345" t="s">
        <v>619</v>
      </c>
      <c r="C223" s="345"/>
      <c r="D223" s="345"/>
      <c r="E223" s="345"/>
      <c r="F223" s="345"/>
      <c r="G223" s="345"/>
      <c r="H223" s="345"/>
      <c r="I223" s="345"/>
      <c r="J223" s="345"/>
      <c r="K223" s="345"/>
      <c r="L223" s="1"/>
    </row>
    <row r="224" spans="1:19" x14ac:dyDescent="0.25">
      <c r="A224" s="1"/>
      <c r="B224" s="345" t="s">
        <v>620</v>
      </c>
      <c r="C224" s="345"/>
      <c r="D224" s="345"/>
      <c r="E224" s="345"/>
      <c r="F224" s="345"/>
      <c r="G224" s="345"/>
      <c r="H224" s="345"/>
      <c r="I224" s="345"/>
      <c r="J224" s="345"/>
      <c r="K224" s="345"/>
      <c r="L224" s="1"/>
    </row>
    <row r="225" spans="1:12" x14ac:dyDescent="0.25">
      <c r="A225" s="1"/>
      <c r="B225" s="345"/>
      <c r="C225" s="345"/>
      <c r="D225" s="345"/>
      <c r="E225" s="345"/>
      <c r="F225" s="345"/>
      <c r="G225" s="345"/>
      <c r="H225" s="345"/>
      <c r="I225" s="345"/>
      <c r="J225" s="345"/>
      <c r="K225" s="345"/>
      <c r="L225" s="1"/>
    </row>
    <row r="226" spans="1:12" x14ac:dyDescent="0.25">
      <c r="A226" s="1"/>
      <c r="B226" s="347" t="s">
        <v>567</v>
      </c>
      <c r="C226" s="345"/>
      <c r="D226" s="345"/>
      <c r="E226" s="345"/>
      <c r="F226" s="345"/>
      <c r="G226" s="345"/>
      <c r="H226" s="345"/>
      <c r="I226" s="345"/>
      <c r="J226" s="345"/>
      <c r="K226" s="345"/>
      <c r="L226" s="1"/>
    </row>
    <row r="227" spans="1:12" x14ac:dyDescent="0.25">
      <c r="A227" s="1"/>
      <c r="B227" s="347" t="s">
        <v>653</v>
      </c>
      <c r="C227" s="345"/>
      <c r="D227" s="345"/>
      <c r="E227" s="345"/>
      <c r="F227" s="345"/>
      <c r="G227" s="345"/>
      <c r="H227" s="345"/>
      <c r="I227" s="345"/>
      <c r="J227" s="345"/>
      <c r="K227" s="345"/>
      <c r="L227" s="1"/>
    </row>
    <row r="228" spans="1:12" x14ac:dyDescent="0.25">
      <c r="A228" s="1"/>
      <c r="B228" s="345"/>
      <c r="C228" s="345"/>
      <c r="D228" s="345"/>
      <c r="E228" s="345"/>
      <c r="F228" s="345"/>
      <c r="G228" s="345"/>
      <c r="H228" s="345"/>
      <c r="I228" s="345"/>
      <c r="J228" s="345"/>
      <c r="K228" s="345"/>
      <c r="L228" s="1"/>
    </row>
    <row r="229" spans="1:12" x14ac:dyDescent="0.25">
      <c r="A229" s="1"/>
      <c r="B229" s="344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"/>
      <c r="B230" s="344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"/>
      <c r="B231" s="344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"/>
      <c r="B232" s="344"/>
      <c r="C232" s="1"/>
      <c r="D232" s="1"/>
      <c r="E232" s="1"/>
      <c r="F232" s="1"/>
      <c r="G232" s="1"/>
      <c r="H232" s="1"/>
      <c r="I232" s="1"/>
      <c r="J232" s="1"/>
      <c r="K232" s="1"/>
      <c r="L232" s="1"/>
    </row>
  </sheetData>
  <mergeCells count="24">
    <mergeCell ref="A204:B204"/>
    <mergeCell ref="A140:B140"/>
    <mergeCell ref="A144:J144"/>
    <mergeCell ref="A145:B145"/>
    <mergeCell ref="A146:B146"/>
    <mergeCell ref="A154:B154"/>
    <mergeCell ref="A171:J171"/>
    <mergeCell ref="A172:B172"/>
    <mergeCell ref="A194:J194"/>
    <mergeCell ref="A195:B195"/>
    <mergeCell ref="A198:B198"/>
    <mergeCell ref="A201:B201"/>
    <mergeCell ref="A139:B139"/>
    <mergeCell ref="A1:J1"/>
    <mergeCell ref="A2:B2"/>
    <mergeCell ref="A3:B3"/>
    <mergeCell ref="A11:B11"/>
    <mergeCell ref="A72:B72"/>
    <mergeCell ref="A74:B74"/>
    <mergeCell ref="A75:B75"/>
    <mergeCell ref="A79:J79"/>
    <mergeCell ref="A80:B80"/>
    <mergeCell ref="A96:B96"/>
    <mergeCell ref="A135:B135"/>
  </mergeCells>
  <pageMargins left="0.7" right="0.7" top="0.75" bottom="0.75" header="0.3" footer="0.3"/>
  <pageSetup paperSize="9" scale="52" fitToHeight="0" orientation="landscape" r:id="rId1"/>
  <headerFooter>
    <oddHeader xml:space="preserve">&amp;CRozpočet obce Heľpa na rok 2023
2.zmena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2"/>
  <sheetViews>
    <sheetView zoomScale="112" zoomScaleNormal="112" workbookViewId="0">
      <selection activeCell="H2" sqref="H2"/>
    </sheetView>
  </sheetViews>
  <sheetFormatPr defaultRowHeight="15" x14ac:dyDescent="0.25"/>
  <cols>
    <col min="1" max="1" width="6" customWidth="1"/>
    <col min="2" max="2" width="62.140625" customWidth="1"/>
    <col min="3" max="4" width="12.5703125" customWidth="1"/>
    <col min="5" max="5" width="12.28515625" customWidth="1"/>
    <col min="6" max="8" width="12.5703125" customWidth="1"/>
    <col min="9" max="9" width="13.85546875" customWidth="1"/>
    <col min="10" max="10" width="6" customWidth="1"/>
    <col min="11" max="14" width="12.5703125" customWidth="1"/>
  </cols>
  <sheetData>
    <row r="1" spans="1:12" ht="18.75" thickBot="1" x14ac:dyDescent="0.3">
      <c r="A1" s="876" t="s">
        <v>0</v>
      </c>
      <c r="B1" s="877"/>
      <c r="C1" s="877"/>
      <c r="D1" s="877"/>
      <c r="E1" s="877"/>
      <c r="F1" s="877"/>
      <c r="G1" s="877"/>
      <c r="H1" s="877"/>
      <c r="I1" s="877"/>
      <c r="J1" s="804"/>
      <c r="K1" s="1"/>
    </row>
    <row r="2" spans="1:12" ht="15.75" thickBot="1" x14ac:dyDescent="0.3">
      <c r="A2" s="878" t="s">
        <v>1</v>
      </c>
      <c r="B2" s="879"/>
      <c r="C2" s="413" t="s">
        <v>454</v>
      </c>
      <c r="D2" s="413" t="s">
        <v>496</v>
      </c>
      <c r="E2" s="413" t="s">
        <v>547</v>
      </c>
      <c r="F2" s="413" t="s">
        <v>497</v>
      </c>
      <c r="G2" s="413" t="s">
        <v>568</v>
      </c>
      <c r="H2" s="413" t="s">
        <v>569</v>
      </c>
      <c r="I2" s="413" t="s">
        <v>570</v>
      </c>
      <c r="J2" s="805" t="s">
        <v>621</v>
      </c>
      <c r="K2" s="1" t="s">
        <v>621</v>
      </c>
    </row>
    <row r="3" spans="1:12" ht="15.75" thickBot="1" x14ac:dyDescent="0.3">
      <c r="A3" s="880" t="s">
        <v>4</v>
      </c>
      <c r="B3" s="881"/>
      <c r="C3" s="2">
        <f t="shared" ref="C3:I3" si="0">SUM(C4:C10)</f>
        <v>1452500</v>
      </c>
      <c r="D3" s="2">
        <f t="shared" ref="D3:E3" si="1">SUM(D4:D10)</f>
        <v>1452500</v>
      </c>
      <c r="E3" s="2">
        <f t="shared" si="1"/>
        <v>1452500</v>
      </c>
      <c r="F3" s="2">
        <f t="shared" ref="F3:H3" si="2">SUM(F4:F10)</f>
        <v>1452500</v>
      </c>
      <c r="G3" s="2">
        <f t="shared" si="2"/>
        <v>1452500</v>
      </c>
      <c r="H3" s="2">
        <f t="shared" si="2"/>
        <v>1459500</v>
      </c>
      <c r="I3" s="2">
        <f t="shared" si="0"/>
        <v>424092</v>
      </c>
      <c r="J3" s="808">
        <f>I3/H3</f>
        <v>0.29057348406988692</v>
      </c>
      <c r="K3" s="803">
        <f>I3/H3</f>
        <v>0.29057348406988692</v>
      </c>
    </row>
    <row r="4" spans="1:12" ht="15.75" thickBot="1" x14ac:dyDescent="0.3">
      <c r="A4" s="3">
        <v>111</v>
      </c>
      <c r="B4" s="124" t="s">
        <v>5</v>
      </c>
      <c r="C4" s="6">
        <v>1368000</v>
      </c>
      <c r="D4" s="6">
        <v>1368000</v>
      </c>
      <c r="E4" s="6">
        <v>1368000</v>
      </c>
      <c r="F4" s="6">
        <v>1368000</v>
      </c>
      <c r="G4" s="6">
        <v>1368000</v>
      </c>
      <c r="H4" s="795">
        <f>1368000+7000</f>
        <v>1375000</v>
      </c>
      <c r="I4" s="6">
        <v>397700</v>
      </c>
      <c r="J4" s="808">
        <f t="shared" ref="J4:J66" si="3">I4/H4</f>
        <v>0.28923636363636362</v>
      </c>
      <c r="K4" s="1"/>
    </row>
    <row r="5" spans="1:12" ht="15.75" thickBot="1" x14ac:dyDescent="0.3">
      <c r="A5" s="7">
        <v>121</v>
      </c>
      <c r="B5" s="350" t="s">
        <v>6</v>
      </c>
      <c r="C5" s="11">
        <v>43200</v>
      </c>
      <c r="D5" s="11">
        <v>43200</v>
      </c>
      <c r="E5" s="11">
        <v>43200</v>
      </c>
      <c r="F5" s="11">
        <v>43200</v>
      </c>
      <c r="G5" s="11">
        <v>43200</v>
      </c>
      <c r="H5" s="11">
        <v>43200</v>
      </c>
      <c r="I5" s="11">
        <v>13966</v>
      </c>
      <c r="J5" s="808">
        <f t="shared" si="3"/>
        <v>0.32328703703703704</v>
      </c>
      <c r="K5" s="1"/>
    </row>
    <row r="6" spans="1:12" x14ac:dyDescent="0.25">
      <c r="A6" s="12">
        <v>133</v>
      </c>
      <c r="B6" s="351" t="s">
        <v>7</v>
      </c>
      <c r="C6" s="16">
        <v>1100</v>
      </c>
      <c r="D6" s="16">
        <v>1100</v>
      </c>
      <c r="E6" s="16">
        <v>1100</v>
      </c>
      <c r="F6" s="16">
        <v>1100</v>
      </c>
      <c r="G6" s="16">
        <v>1100</v>
      </c>
      <c r="H6" s="16">
        <v>1100</v>
      </c>
      <c r="I6" s="16">
        <v>754</v>
      </c>
      <c r="J6" s="808">
        <f t="shared" si="3"/>
        <v>0.68545454545454543</v>
      </c>
      <c r="K6" s="1"/>
    </row>
    <row r="7" spans="1:12" x14ac:dyDescent="0.25">
      <c r="A7" s="17">
        <v>133</v>
      </c>
      <c r="B7" s="352" t="s">
        <v>8</v>
      </c>
      <c r="C7" s="21">
        <v>200</v>
      </c>
      <c r="D7" s="21">
        <v>200</v>
      </c>
      <c r="E7" s="21">
        <v>200</v>
      </c>
      <c r="F7" s="21">
        <v>200</v>
      </c>
      <c r="G7" s="21">
        <v>200</v>
      </c>
      <c r="H7" s="21">
        <v>200</v>
      </c>
      <c r="I7" s="21">
        <v>0</v>
      </c>
      <c r="J7" s="808">
        <f t="shared" si="3"/>
        <v>0</v>
      </c>
      <c r="K7" s="1"/>
    </row>
    <row r="8" spans="1:12" x14ac:dyDescent="0.25">
      <c r="A8" s="17">
        <v>133</v>
      </c>
      <c r="B8" s="352" t="s">
        <v>9</v>
      </c>
      <c r="C8" s="21">
        <v>2000</v>
      </c>
      <c r="D8" s="21">
        <v>2000</v>
      </c>
      <c r="E8" s="21">
        <v>2000</v>
      </c>
      <c r="F8" s="21">
        <v>2000</v>
      </c>
      <c r="G8" s="21">
        <v>2000</v>
      </c>
      <c r="H8" s="21">
        <v>2000</v>
      </c>
      <c r="I8" s="21">
        <v>300</v>
      </c>
      <c r="J8" s="808">
        <f t="shared" si="3"/>
        <v>0.15</v>
      </c>
      <c r="K8" s="1"/>
    </row>
    <row r="9" spans="1:12" x14ac:dyDescent="0.25">
      <c r="A9" s="17">
        <v>133</v>
      </c>
      <c r="B9" s="352" t="s">
        <v>10</v>
      </c>
      <c r="C9" s="21">
        <v>6000</v>
      </c>
      <c r="D9" s="21">
        <v>6000</v>
      </c>
      <c r="E9" s="21">
        <v>6000</v>
      </c>
      <c r="F9" s="21">
        <v>6000</v>
      </c>
      <c r="G9" s="21">
        <v>6000</v>
      </c>
      <c r="H9" s="21">
        <v>6000</v>
      </c>
      <c r="I9" s="21">
        <v>315</v>
      </c>
      <c r="J9" s="808">
        <f t="shared" si="3"/>
        <v>5.2499999999999998E-2</v>
      </c>
      <c r="K9" s="1"/>
    </row>
    <row r="10" spans="1:12" ht="15.75" thickBot="1" x14ac:dyDescent="0.3">
      <c r="A10" s="22">
        <v>133</v>
      </c>
      <c r="B10" s="353" t="s">
        <v>11</v>
      </c>
      <c r="C10" s="26">
        <v>32000</v>
      </c>
      <c r="D10" s="26">
        <v>32000</v>
      </c>
      <c r="E10" s="26">
        <v>32000</v>
      </c>
      <c r="F10" s="26">
        <v>32000</v>
      </c>
      <c r="G10" s="26">
        <v>32000</v>
      </c>
      <c r="H10" s="26">
        <v>32000</v>
      </c>
      <c r="I10" s="26">
        <v>11057</v>
      </c>
      <c r="J10" s="808">
        <f t="shared" si="3"/>
        <v>0.34553125000000001</v>
      </c>
      <c r="K10" s="27"/>
    </row>
    <row r="11" spans="1:12" ht="15.75" thickBot="1" x14ac:dyDescent="0.3">
      <c r="A11" s="880" t="s">
        <v>12</v>
      </c>
      <c r="B11" s="881"/>
      <c r="C11" s="354">
        <f t="shared" ref="C11:I11" si="4">SUM(C12:C31)</f>
        <v>245915</v>
      </c>
      <c r="D11" s="354">
        <f t="shared" si="4"/>
        <v>245915</v>
      </c>
      <c r="E11" s="354">
        <f t="shared" si="4"/>
        <v>245915</v>
      </c>
      <c r="F11" s="354">
        <f t="shared" si="4"/>
        <v>246415</v>
      </c>
      <c r="G11" s="354">
        <f t="shared" si="4"/>
        <v>246415</v>
      </c>
      <c r="H11" s="354">
        <f t="shared" si="4"/>
        <v>247225</v>
      </c>
      <c r="I11" s="354">
        <f t="shared" si="4"/>
        <v>58824</v>
      </c>
      <c r="J11" s="808">
        <f t="shared" si="3"/>
        <v>0.23793710183031652</v>
      </c>
      <c r="K11" s="1"/>
    </row>
    <row r="12" spans="1:12" x14ac:dyDescent="0.25">
      <c r="A12" s="28">
        <v>212</v>
      </c>
      <c r="B12" s="29" t="s">
        <v>13</v>
      </c>
      <c r="C12" s="32">
        <v>1294</v>
      </c>
      <c r="D12" s="32">
        <v>1294</v>
      </c>
      <c r="E12" s="32">
        <v>1294</v>
      </c>
      <c r="F12" s="740">
        <f>1294+119</f>
        <v>1413</v>
      </c>
      <c r="G12" s="32">
        <f t="shared" ref="G12" si="5">1294+119</f>
        <v>1413</v>
      </c>
      <c r="H12" s="740">
        <f>1294+119+810</f>
        <v>2223</v>
      </c>
      <c r="I12" s="32">
        <v>286</v>
      </c>
      <c r="J12" s="808">
        <f t="shared" si="3"/>
        <v>0.12865497076023391</v>
      </c>
      <c r="K12" s="1"/>
    </row>
    <row r="13" spans="1:12" x14ac:dyDescent="0.25">
      <c r="A13" s="12">
        <v>212</v>
      </c>
      <c r="B13" s="13" t="s">
        <v>14</v>
      </c>
      <c r="C13" s="16">
        <v>1000</v>
      </c>
      <c r="D13" s="16">
        <v>1000</v>
      </c>
      <c r="E13" s="16">
        <v>1000</v>
      </c>
      <c r="F13" s="16">
        <v>1000</v>
      </c>
      <c r="G13" s="16">
        <v>1000</v>
      </c>
      <c r="H13" s="16">
        <v>1000</v>
      </c>
      <c r="I13" s="16">
        <v>130</v>
      </c>
      <c r="J13" s="808">
        <f t="shared" si="3"/>
        <v>0.13</v>
      </c>
      <c r="K13" s="27"/>
    </row>
    <row r="14" spans="1:12" x14ac:dyDescent="0.25">
      <c r="A14" s="17">
        <v>212</v>
      </c>
      <c r="B14" s="18" t="s">
        <v>15</v>
      </c>
      <c r="C14" s="33">
        <v>3713</v>
      </c>
      <c r="D14" s="33">
        <v>3713</v>
      </c>
      <c r="E14" s="33">
        <v>3713</v>
      </c>
      <c r="F14" s="715">
        <f>3713-119</f>
        <v>3594</v>
      </c>
      <c r="G14" s="33">
        <f t="shared" ref="G14:H14" si="6">3713-119</f>
        <v>3594</v>
      </c>
      <c r="H14" s="33">
        <f t="shared" si="6"/>
        <v>3594</v>
      </c>
      <c r="I14" s="33">
        <v>846</v>
      </c>
      <c r="J14" s="808">
        <f t="shared" si="3"/>
        <v>0.23539232053422371</v>
      </c>
      <c r="K14" s="1"/>
    </row>
    <row r="15" spans="1:12" x14ac:dyDescent="0.25">
      <c r="A15" s="17">
        <v>212</v>
      </c>
      <c r="B15" s="18" t="s">
        <v>16</v>
      </c>
      <c r="C15" s="21">
        <v>19848</v>
      </c>
      <c r="D15" s="21">
        <v>19848</v>
      </c>
      <c r="E15" s="21">
        <v>19848</v>
      </c>
      <c r="F15" s="21">
        <v>19848</v>
      </c>
      <c r="G15" s="21">
        <v>19848</v>
      </c>
      <c r="H15" s="21">
        <v>19848</v>
      </c>
      <c r="I15" s="21">
        <v>3616</v>
      </c>
      <c r="J15" s="808">
        <f t="shared" si="3"/>
        <v>0.18218460298266828</v>
      </c>
      <c r="K15" s="27"/>
    </row>
    <row r="16" spans="1:12" ht="15.75" thickBot="1" x14ac:dyDescent="0.3">
      <c r="A16" s="35">
        <v>212</v>
      </c>
      <c r="B16" s="36" t="s">
        <v>17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808">
        <v>0</v>
      </c>
      <c r="K16" s="458">
        <f>SUM(H12:H16)</f>
        <v>26665</v>
      </c>
      <c r="L16" s="458">
        <f>SUM(I12:I16)</f>
        <v>4878</v>
      </c>
    </row>
    <row r="17" spans="1:12" ht="15.75" thickBot="1" x14ac:dyDescent="0.3">
      <c r="A17" s="7">
        <v>221</v>
      </c>
      <c r="B17" s="8" t="s">
        <v>18</v>
      </c>
      <c r="C17" s="41">
        <v>5100</v>
      </c>
      <c r="D17" s="41">
        <v>5100</v>
      </c>
      <c r="E17" s="41">
        <v>5100</v>
      </c>
      <c r="F17" s="41">
        <v>5100</v>
      </c>
      <c r="G17" s="41">
        <v>5100</v>
      </c>
      <c r="H17" s="41">
        <v>5100</v>
      </c>
      <c r="I17" s="41">
        <v>1248</v>
      </c>
      <c r="J17" s="808">
        <f t="shared" si="3"/>
        <v>0.24470588235294119</v>
      </c>
      <c r="K17" s="1"/>
    </row>
    <row r="18" spans="1:12" ht="15.75" thickBot="1" x14ac:dyDescent="0.3">
      <c r="A18" s="35">
        <v>222</v>
      </c>
      <c r="B18" s="36" t="s">
        <v>19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808">
        <v>0</v>
      </c>
      <c r="K18" s="1"/>
    </row>
    <row r="19" spans="1:12" x14ac:dyDescent="0.25">
      <c r="A19" s="12">
        <v>223</v>
      </c>
      <c r="B19" s="13" t="s">
        <v>20</v>
      </c>
      <c r="C19" s="16">
        <v>750</v>
      </c>
      <c r="D19" s="16">
        <v>750</v>
      </c>
      <c r="E19" s="16">
        <v>750</v>
      </c>
      <c r="F19" s="16">
        <v>750</v>
      </c>
      <c r="G19" s="16">
        <v>750</v>
      </c>
      <c r="H19" s="16">
        <v>750</v>
      </c>
      <c r="I19" s="16">
        <v>48</v>
      </c>
      <c r="J19" s="808">
        <f t="shared" si="3"/>
        <v>6.4000000000000001E-2</v>
      </c>
      <c r="K19" s="1"/>
    </row>
    <row r="20" spans="1:12" x14ac:dyDescent="0.25">
      <c r="A20" s="17">
        <v>223</v>
      </c>
      <c r="B20" s="18" t="s">
        <v>21</v>
      </c>
      <c r="C20" s="21">
        <f t="shared" ref="C20:H20" si="7">19000+3000</f>
        <v>22000</v>
      </c>
      <c r="D20" s="21">
        <f t="shared" si="7"/>
        <v>22000</v>
      </c>
      <c r="E20" s="21">
        <f t="shared" si="7"/>
        <v>22000</v>
      </c>
      <c r="F20" s="21">
        <f t="shared" si="7"/>
        <v>22000</v>
      </c>
      <c r="G20" s="21">
        <f t="shared" si="7"/>
        <v>22000</v>
      </c>
      <c r="H20" s="21">
        <f t="shared" si="7"/>
        <v>22000</v>
      </c>
      <c r="I20" s="21">
        <v>4010</v>
      </c>
      <c r="J20" s="808">
        <f t="shared" si="3"/>
        <v>0.18227272727272728</v>
      </c>
      <c r="K20" s="1"/>
    </row>
    <row r="21" spans="1:12" x14ac:dyDescent="0.25">
      <c r="A21" s="17">
        <v>223</v>
      </c>
      <c r="B21" s="18" t="s">
        <v>22</v>
      </c>
      <c r="C21" s="21">
        <v>50</v>
      </c>
      <c r="D21" s="21">
        <v>50</v>
      </c>
      <c r="E21" s="21">
        <v>50</v>
      </c>
      <c r="F21" s="21">
        <v>50</v>
      </c>
      <c r="G21" s="21">
        <v>50</v>
      </c>
      <c r="H21" s="21">
        <v>50</v>
      </c>
      <c r="I21" s="21">
        <v>0</v>
      </c>
      <c r="J21" s="808">
        <f t="shared" si="3"/>
        <v>0</v>
      </c>
      <c r="K21" s="1"/>
    </row>
    <row r="22" spans="1:12" x14ac:dyDescent="0.25">
      <c r="A22" s="17">
        <v>223</v>
      </c>
      <c r="B22" s="18" t="s">
        <v>23</v>
      </c>
      <c r="C22" s="21">
        <v>2000</v>
      </c>
      <c r="D22" s="21">
        <v>2000</v>
      </c>
      <c r="E22" s="21">
        <v>2000</v>
      </c>
      <c r="F22" s="786">
        <f>2000+500</f>
        <v>2500</v>
      </c>
      <c r="G22" s="21">
        <f t="shared" ref="G22:H22" si="8">2000+500</f>
        <v>2500</v>
      </c>
      <c r="H22" s="21">
        <f t="shared" si="8"/>
        <v>2500</v>
      </c>
      <c r="I22" s="21">
        <v>573</v>
      </c>
      <c r="J22" s="808">
        <f t="shared" si="3"/>
        <v>0.22919999999999999</v>
      </c>
      <c r="K22" s="1"/>
    </row>
    <row r="23" spans="1:12" x14ac:dyDescent="0.25">
      <c r="A23" s="17">
        <v>223</v>
      </c>
      <c r="B23" s="18" t="s">
        <v>24</v>
      </c>
      <c r="C23" s="21">
        <v>1000</v>
      </c>
      <c r="D23" s="21">
        <v>1000</v>
      </c>
      <c r="E23" s="21">
        <v>1000</v>
      </c>
      <c r="F23" s="21">
        <v>1000</v>
      </c>
      <c r="G23" s="21">
        <v>1000</v>
      </c>
      <c r="H23" s="21">
        <v>1000</v>
      </c>
      <c r="I23" s="21">
        <v>68</v>
      </c>
      <c r="J23" s="808">
        <f t="shared" si="3"/>
        <v>6.8000000000000005E-2</v>
      </c>
      <c r="K23" s="1"/>
    </row>
    <row r="24" spans="1:12" x14ac:dyDescent="0.25">
      <c r="A24" s="17">
        <v>223</v>
      </c>
      <c r="B24" s="18" t="s">
        <v>26</v>
      </c>
      <c r="C24" s="21">
        <v>1000</v>
      </c>
      <c r="D24" s="21">
        <v>1000</v>
      </c>
      <c r="E24" s="21">
        <v>1000</v>
      </c>
      <c r="F24" s="21">
        <v>1000</v>
      </c>
      <c r="G24" s="21">
        <v>1000</v>
      </c>
      <c r="H24" s="21">
        <v>1000</v>
      </c>
      <c r="I24" s="21">
        <v>170</v>
      </c>
      <c r="J24" s="808">
        <f t="shared" si="3"/>
        <v>0.17</v>
      </c>
      <c r="K24" s="1"/>
    </row>
    <row r="25" spans="1:12" x14ac:dyDescent="0.25">
      <c r="A25" s="17">
        <v>223</v>
      </c>
      <c r="B25" s="18" t="s">
        <v>27</v>
      </c>
      <c r="C25" s="21">
        <v>40000</v>
      </c>
      <c r="D25" s="21">
        <v>40000</v>
      </c>
      <c r="E25" s="21">
        <v>40000</v>
      </c>
      <c r="F25" s="21">
        <v>40000</v>
      </c>
      <c r="G25" s="21">
        <v>40000</v>
      </c>
      <c r="H25" s="21">
        <v>40000</v>
      </c>
      <c r="I25" s="21">
        <v>16503</v>
      </c>
      <c r="J25" s="808">
        <f t="shared" si="3"/>
        <v>0.41257500000000003</v>
      </c>
      <c r="K25" s="1"/>
    </row>
    <row r="26" spans="1:12" x14ac:dyDescent="0.25">
      <c r="A26" s="17">
        <v>223</v>
      </c>
      <c r="B26" s="18" t="s">
        <v>29</v>
      </c>
      <c r="C26" s="21">
        <v>59000</v>
      </c>
      <c r="D26" s="21">
        <v>59000</v>
      </c>
      <c r="E26" s="21">
        <v>59000</v>
      </c>
      <c r="F26" s="21">
        <v>59000</v>
      </c>
      <c r="G26" s="21">
        <v>59000</v>
      </c>
      <c r="H26" s="21">
        <v>59000</v>
      </c>
      <c r="I26" s="21">
        <v>11963</v>
      </c>
      <c r="J26" s="808">
        <f t="shared" si="3"/>
        <v>0.20276271186440678</v>
      </c>
      <c r="K26" s="1"/>
    </row>
    <row r="27" spans="1:12" x14ac:dyDescent="0.25">
      <c r="A27" s="17">
        <v>223</v>
      </c>
      <c r="B27" s="18" t="s">
        <v>30</v>
      </c>
      <c r="C27" s="21">
        <v>60</v>
      </c>
      <c r="D27" s="21">
        <v>60</v>
      </c>
      <c r="E27" s="21">
        <v>60</v>
      </c>
      <c r="F27" s="21">
        <v>60</v>
      </c>
      <c r="G27" s="21">
        <v>60</v>
      </c>
      <c r="H27" s="21">
        <v>60</v>
      </c>
      <c r="I27" s="21">
        <v>0</v>
      </c>
      <c r="J27" s="808">
        <f t="shared" si="3"/>
        <v>0</v>
      </c>
      <c r="K27" s="27"/>
    </row>
    <row r="28" spans="1:12" x14ac:dyDescent="0.25">
      <c r="A28" s="17">
        <v>223</v>
      </c>
      <c r="B28" s="18" t="s">
        <v>32</v>
      </c>
      <c r="C28" s="21">
        <v>2400</v>
      </c>
      <c r="D28" s="21">
        <v>2400</v>
      </c>
      <c r="E28" s="21">
        <v>2400</v>
      </c>
      <c r="F28" s="21">
        <v>2400</v>
      </c>
      <c r="G28" s="21">
        <v>2400</v>
      </c>
      <c r="H28" s="21">
        <v>2400</v>
      </c>
      <c r="I28" s="21">
        <v>710</v>
      </c>
      <c r="J28" s="808">
        <f t="shared" si="3"/>
        <v>0.29583333333333334</v>
      </c>
      <c r="K28" s="27"/>
    </row>
    <row r="29" spans="1:12" x14ac:dyDescent="0.25">
      <c r="A29" s="17">
        <v>223</v>
      </c>
      <c r="B29" s="18" t="s">
        <v>263</v>
      </c>
      <c r="C29" s="21">
        <v>2600</v>
      </c>
      <c r="D29" s="21">
        <v>2600</v>
      </c>
      <c r="E29" s="21">
        <v>2600</v>
      </c>
      <c r="F29" s="21">
        <v>2600</v>
      </c>
      <c r="G29" s="21">
        <v>2600</v>
      </c>
      <c r="H29" s="21">
        <v>2600</v>
      </c>
      <c r="I29" s="21">
        <v>60</v>
      </c>
      <c r="J29" s="808">
        <f t="shared" si="3"/>
        <v>2.3076923076923078E-2</v>
      </c>
      <c r="K29" s="27"/>
    </row>
    <row r="30" spans="1:12" x14ac:dyDescent="0.25">
      <c r="A30" s="43">
        <v>223</v>
      </c>
      <c r="B30" s="44" t="s">
        <v>33</v>
      </c>
      <c r="C30" s="46">
        <v>84000</v>
      </c>
      <c r="D30" s="46">
        <v>84000</v>
      </c>
      <c r="E30" s="46">
        <v>84000</v>
      </c>
      <c r="F30" s="46">
        <v>84000</v>
      </c>
      <c r="G30" s="46">
        <v>84000</v>
      </c>
      <c r="H30" s="46">
        <v>84000</v>
      </c>
      <c r="I30" s="46">
        <v>18593</v>
      </c>
      <c r="J30" s="808">
        <f t="shared" si="3"/>
        <v>0.22134523809523809</v>
      </c>
      <c r="K30" s="27"/>
    </row>
    <row r="31" spans="1:12" ht="15.75" thickBot="1" x14ac:dyDescent="0.3">
      <c r="A31" s="22">
        <v>223</v>
      </c>
      <c r="B31" s="23" t="s">
        <v>34</v>
      </c>
      <c r="C31" s="48">
        <v>100</v>
      </c>
      <c r="D31" s="48">
        <v>100</v>
      </c>
      <c r="E31" s="48">
        <v>100</v>
      </c>
      <c r="F31" s="48">
        <v>100</v>
      </c>
      <c r="G31" s="48">
        <v>100</v>
      </c>
      <c r="H31" s="48">
        <v>100</v>
      </c>
      <c r="I31" s="48">
        <v>0</v>
      </c>
      <c r="J31" s="808">
        <f t="shared" si="3"/>
        <v>0</v>
      </c>
      <c r="K31" s="27">
        <f>SUM(H19:H31)</f>
        <v>215460</v>
      </c>
      <c r="L31" s="27">
        <f>SUM(I19:I31)</f>
        <v>52698</v>
      </c>
    </row>
    <row r="32" spans="1:12" ht="15.75" thickBot="1" x14ac:dyDescent="0.3">
      <c r="A32" s="599" t="s">
        <v>35</v>
      </c>
      <c r="B32" s="600"/>
      <c r="C32" s="2">
        <f t="shared" ref="C32:I32" si="9">SUM(C33)</f>
        <v>50</v>
      </c>
      <c r="D32" s="2">
        <f t="shared" si="9"/>
        <v>50</v>
      </c>
      <c r="E32" s="2">
        <f t="shared" si="9"/>
        <v>50</v>
      </c>
      <c r="F32" s="2">
        <f t="shared" si="9"/>
        <v>50</v>
      </c>
      <c r="G32" s="2">
        <f t="shared" si="9"/>
        <v>50</v>
      </c>
      <c r="H32" s="2">
        <f t="shared" si="9"/>
        <v>50</v>
      </c>
      <c r="I32" s="2">
        <f t="shared" si="9"/>
        <v>3</v>
      </c>
      <c r="J32" s="808">
        <f t="shared" si="3"/>
        <v>0.06</v>
      </c>
      <c r="K32" s="1"/>
    </row>
    <row r="33" spans="1:12" ht="15.75" thickBot="1" x14ac:dyDescent="0.3">
      <c r="A33" s="51">
        <v>240</v>
      </c>
      <c r="B33" s="47" t="s">
        <v>36</v>
      </c>
      <c r="C33" s="38">
        <v>50</v>
      </c>
      <c r="D33" s="38">
        <v>50</v>
      </c>
      <c r="E33" s="38">
        <v>50</v>
      </c>
      <c r="F33" s="38">
        <v>50</v>
      </c>
      <c r="G33" s="38">
        <v>50</v>
      </c>
      <c r="H33" s="38">
        <v>50</v>
      </c>
      <c r="I33" s="38">
        <v>3</v>
      </c>
      <c r="J33" s="808">
        <f t="shared" si="3"/>
        <v>0.06</v>
      </c>
      <c r="K33" s="1"/>
    </row>
    <row r="34" spans="1:12" ht="15.75" thickBot="1" x14ac:dyDescent="0.3">
      <c r="A34" s="599" t="s">
        <v>37</v>
      </c>
      <c r="B34" s="600"/>
      <c r="C34" s="354">
        <f t="shared" ref="C34:I34" si="10">SUM(C35:C41)</f>
        <v>71875</v>
      </c>
      <c r="D34" s="354">
        <f t="shared" ref="D34:E34" si="11">SUM(D35:D41)</f>
        <v>71875</v>
      </c>
      <c r="E34" s="354">
        <f t="shared" si="11"/>
        <v>71875</v>
      </c>
      <c r="F34" s="354">
        <f t="shared" ref="F34:H34" si="12">SUM(F35:F41)</f>
        <v>71875</v>
      </c>
      <c r="G34" s="354">
        <f t="shared" si="12"/>
        <v>72705</v>
      </c>
      <c r="H34" s="354">
        <f t="shared" si="12"/>
        <v>73505</v>
      </c>
      <c r="I34" s="354">
        <f t="shared" si="10"/>
        <v>9650</v>
      </c>
      <c r="J34" s="808">
        <f t="shared" si="3"/>
        <v>0.13128358615060201</v>
      </c>
      <c r="K34" s="1"/>
    </row>
    <row r="35" spans="1:12" x14ac:dyDescent="0.25">
      <c r="A35" s="52">
        <v>292</v>
      </c>
      <c r="B35" s="53" t="s">
        <v>38</v>
      </c>
      <c r="C35" s="55">
        <v>0</v>
      </c>
      <c r="D35" s="55">
        <v>0</v>
      </c>
      <c r="E35" s="55">
        <v>0</v>
      </c>
      <c r="F35" s="55">
        <v>0</v>
      </c>
      <c r="G35" s="743">
        <v>830</v>
      </c>
      <c r="H35" s="55">
        <v>830</v>
      </c>
      <c r="I35" s="55">
        <v>0</v>
      </c>
      <c r="J35" s="808">
        <v>0</v>
      </c>
      <c r="K35" s="1"/>
    </row>
    <row r="36" spans="1:12" x14ac:dyDescent="0.25">
      <c r="A36" s="52">
        <v>292</v>
      </c>
      <c r="B36" s="53" t="s">
        <v>39</v>
      </c>
      <c r="C36" s="55">
        <v>200</v>
      </c>
      <c r="D36" s="55">
        <v>200</v>
      </c>
      <c r="E36" s="55">
        <v>200</v>
      </c>
      <c r="F36" s="55">
        <v>200</v>
      </c>
      <c r="G36" s="55">
        <v>200</v>
      </c>
      <c r="H36" s="55">
        <v>200</v>
      </c>
      <c r="I36" s="55">
        <v>0</v>
      </c>
      <c r="J36" s="808">
        <f t="shared" si="3"/>
        <v>0</v>
      </c>
      <c r="K36" s="1"/>
    </row>
    <row r="37" spans="1:12" x14ac:dyDescent="0.25">
      <c r="A37" s="57">
        <v>292</v>
      </c>
      <c r="B37" s="58" t="s">
        <v>40</v>
      </c>
      <c r="C37" s="61">
        <v>1000</v>
      </c>
      <c r="D37" s="61">
        <v>1000</v>
      </c>
      <c r="E37" s="61">
        <v>1000</v>
      </c>
      <c r="F37" s="61">
        <v>1000</v>
      </c>
      <c r="G37" s="61">
        <v>1000</v>
      </c>
      <c r="H37" s="61">
        <v>1000</v>
      </c>
      <c r="I37" s="61">
        <v>743</v>
      </c>
      <c r="J37" s="808">
        <f t="shared" si="3"/>
        <v>0.74299999999999999</v>
      </c>
      <c r="K37" s="1"/>
    </row>
    <row r="38" spans="1:12" x14ac:dyDescent="0.25">
      <c r="A38" s="57">
        <v>292</v>
      </c>
      <c r="B38" s="58" t="s">
        <v>41</v>
      </c>
      <c r="C38" s="60">
        <v>500</v>
      </c>
      <c r="D38" s="60">
        <v>500</v>
      </c>
      <c r="E38" s="60">
        <v>500</v>
      </c>
      <c r="F38" s="60">
        <v>500</v>
      </c>
      <c r="G38" s="60">
        <v>500</v>
      </c>
      <c r="H38" s="60">
        <v>500</v>
      </c>
      <c r="I38" s="60">
        <v>0</v>
      </c>
      <c r="J38" s="808">
        <f t="shared" si="3"/>
        <v>0</v>
      </c>
      <c r="K38" s="1"/>
    </row>
    <row r="39" spans="1:12" x14ac:dyDescent="0.25">
      <c r="A39" s="57">
        <v>292</v>
      </c>
      <c r="B39" s="18" t="s">
        <v>42</v>
      </c>
      <c r="C39" s="64">
        <v>340</v>
      </c>
      <c r="D39" s="64">
        <v>340</v>
      </c>
      <c r="E39" s="64">
        <v>340</v>
      </c>
      <c r="F39" s="64">
        <v>340</v>
      </c>
      <c r="G39" s="64">
        <v>340</v>
      </c>
      <c r="H39" s="64">
        <v>340</v>
      </c>
      <c r="I39" s="64">
        <v>0</v>
      </c>
      <c r="J39" s="808">
        <f t="shared" si="3"/>
        <v>0</v>
      </c>
      <c r="K39" s="1"/>
    </row>
    <row r="40" spans="1:12" x14ac:dyDescent="0.25">
      <c r="A40" s="57">
        <v>292</v>
      </c>
      <c r="B40" s="58" t="s">
        <v>220</v>
      </c>
      <c r="C40" s="60">
        <v>69785</v>
      </c>
      <c r="D40" s="60">
        <v>69785</v>
      </c>
      <c r="E40" s="60">
        <v>69785</v>
      </c>
      <c r="F40" s="60">
        <f>69785</f>
        <v>69785</v>
      </c>
      <c r="G40" s="60">
        <f t="shared" ref="G40" si="13">69785</f>
        <v>69785</v>
      </c>
      <c r="H40" s="745">
        <f>69785+800</f>
        <v>70585</v>
      </c>
      <c r="I40" s="60">
        <v>8907</v>
      </c>
      <c r="J40" s="808">
        <f t="shared" si="3"/>
        <v>0.12618828362966636</v>
      </c>
      <c r="K40" s="27">
        <f>SUM(C39:C40)</f>
        <v>70125</v>
      </c>
      <c r="L40" s="27">
        <f t="shared" ref="L40" si="14">SUM(D39:D40)</f>
        <v>70125</v>
      </c>
    </row>
    <row r="41" spans="1:12" ht="15.75" thickBot="1" x14ac:dyDescent="0.3">
      <c r="A41" s="57">
        <v>292</v>
      </c>
      <c r="B41" s="58" t="s">
        <v>345</v>
      </c>
      <c r="C41" s="60">
        <v>50</v>
      </c>
      <c r="D41" s="60">
        <v>50</v>
      </c>
      <c r="E41" s="60">
        <v>50</v>
      </c>
      <c r="F41" s="60">
        <v>50</v>
      </c>
      <c r="G41" s="60">
        <v>50</v>
      </c>
      <c r="H41" s="60">
        <v>50</v>
      </c>
      <c r="I41" s="60">
        <v>0</v>
      </c>
      <c r="J41" s="808">
        <f t="shared" si="3"/>
        <v>0</v>
      </c>
      <c r="K41" s="1"/>
    </row>
    <row r="42" spans="1:12" ht="15.75" thickBot="1" x14ac:dyDescent="0.3">
      <c r="A42" s="65" t="s">
        <v>43</v>
      </c>
      <c r="B42" s="358"/>
      <c r="C42" s="354">
        <f t="shared" ref="C42:I42" si="15">SUM(C43:C68)</f>
        <v>761910</v>
      </c>
      <c r="D42" s="354">
        <f t="shared" si="15"/>
        <v>761990</v>
      </c>
      <c r="E42" s="354">
        <f t="shared" si="15"/>
        <v>870240</v>
      </c>
      <c r="F42" s="354">
        <f t="shared" si="15"/>
        <v>870240</v>
      </c>
      <c r="G42" s="354">
        <f t="shared" si="15"/>
        <v>930995</v>
      </c>
      <c r="H42" s="354">
        <f t="shared" si="15"/>
        <v>960195</v>
      </c>
      <c r="I42" s="354">
        <f t="shared" si="15"/>
        <v>263690</v>
      </c>
      <c r="J42" s="808">
        <f t="shared" si="3"/>
        <v>0.27462130088159176</v>
      </c>
      <c r="K42" s="1"/>
    </row>
    <row r="43" spans="1:12" x14ac:dyDescent="0.25">
      <c r="A43" s="67">
        <v>311</v>
      </c>
      <c r="B43" s="359" t="s">
        <v>44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808">
        <v>0</v>
      </c>
      <c r="K43" s="1"/>
    </row>
    <row r="44" spans="1:12" x14ac:dyDescent="0.25">
      <c r="A44" s="67">
        <v>312</v>
      </c>
      <c r="B44" s="359" t="s">
        <v>571</v>
      </c>
      <c r="C44" s="68">
        <v>0</v>
      </c>
      <c r="D44" s="68">
        <v>0</v>
      </c>
      <c r="E44" s="68">
        <f>2000-2000</f>
        <v>0</v>
      </c>
      <c r="F44" s="68">
        <v>0</v>
      </c>
      <c r="G44" s="708">
        <v>60000</v>
      </c>
      <c r="H44" s="68">
        <v>60000</v>
      </c>
      <c r="I44" s="68">
        <v>5929</v>
      </c>
      <c r="J44" s="808">
        <f t="shared" si="3"/>
        <v>9.8816666666666664E-2</v>
      </c>
      <c r="K44" s="1"/>
    </row>
    <row r="45" spans="1:12" x14ac:dyDescent="0.25">
      <c r="A45" s="71">
        <v>312</v>
      </c>
      <c r="B45" s="352" t="s">
        <v>228</v>
      </c>
      <c r="C45" s="16">
        <f>7600+500</f>
        <v>8100</v>
      </c>
      <c r="D45" s="16">
        <f>7600+500</f>
        <v>8100</v>
      </c>
      <c r="E45" s="709">
        <f>7600+500+170</f>
        <v>8270</v>
      </c>
      <c r="F45" s="16">
        <f>7600+500+170</f>
        <v>8270</v>
      </c>
      <c r="G45" s="16">
        <f t="shared" ref="G45:H45" si="16">7600+500+170</f>
        <v>8270</v>
      </c>
      <c r="H45" s="16">
        <f t="shared" si="16"/>
        <v>8270</v>
      </c>
      <c r="I45" s="16">
        <v>4449</v>
      </c>
      <c r="J45" s="808">
        <f t="shared" si="3"/>
        <v>0.53796856106408708</v>
      </c>
      <c r="K45" s="1"/>
    </row>
    <row r="46" spans="1:12" x14ac:dyDescent="0.25">
      <c r="A46" s="71">
        <v>312</v>
      </c>
      <c r="B46" s="352" t="s">
        <v>229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808">
        <v>0</v>
      </c>
      <c r="K46" s="1"/>
    </row>
    <row r="47" spans="1:12" x14ac:dyDescent="0.25">
      <c r="A47" s="71">
        <v>312</v>
      </c>
      <c r="B47" s="118" t="s">
        <v>50</v>
      </c>
      <c r="C47" s="73">
        <v>2040</v>
      </c>
      <c r="D47" s="73">
        <v>2040</v>
      </c>
      <c r="E47" s="73">
        <v>2040</v>
      </c>
      <c r="F47" s="73">
        <v>2040</v>
      </c>
      <c r="G47" s="73">
        <v>2040</v>
      </c>
      <c r="H47" s="73">
        <v>2040</v>
      </c>
      <c r="I47" s="73">
        <v>0</v>
      </c>
      <c r="J47" s="808">
        <f t="shared" si="3"/>
        <v>0</v>
      </c>
      <c r="K47" s="1"/>
    </row>
    <row r="48" spans="1:12" x14ac:dyDescent="0.25">
      <c r="A48" s="71">
        <v>312</v>
      </c>
      <c r="B48" s="351" t="s">
        <v>463</v>
      </c>
      <c r="C48" s="73">
        <v>14170</v>
      </c>
      <c r="D48" s="73">
        <v>14170</v>
      </c>
      <c r="E48" s="73">
        <v>14170</v>
      </c>
      <c r="F48" s="73">
        <v>14170</v>
      </c>
      <c r="G48" s="73">
        <v>14170</v>
      </c>
      <c r="H48" s="73">
        <v>14170</v>
      </c>
      <c r="I48" s="73">
        <v>0</v>
      </c>
      <c r="J48" s="808">
        <f t="shared" si="3"/>
        <v>0</v>
      </c>
      <c r="K48" s="27"/>
    </row>
    <row r="49" spans="1:12" x14ac:dyDescent="0.25">
      <c r="A49" s="84">
        <v>312</v>
      </c>
      <c r="B49" s="352" t="s">
        <v>607</v>
      </c>
      <c r="C49" s="800">
        <v>0</v>
      </c>
      <c r="D49" s="800">
        <v>0</v>
      </c>
      <c r="E49" s="800">
        <v>0</v>
      </c>
      <c r="F49" s="800">
        <v>0</v>
      </c>
      <c r="G49" s="800">
        <v>0</v>
      </c>
      <c r="H49" s="801">
        <v>11000</v>
      </c>
      <c r="I49" s="800">
        <v>0</v>
      </c>
      <c r="J49" s="808">
        <f t="shared" si="3"/>
        <v>0</v>
      </c>
      <c r="K49" s="27"/>
    </row>
    <row r="50" spans="1:12" x14ac:dyDescent="0.25">
      <c r="A50" s="798">
        <v>312</v>
      </c>
      <c r="B50" s="799" t="s">
        <v>618</v>
      </c>
      <c r="C50" s="796">
        <v>0</v>
      </c>
      <c r="D50" s="796">
        <v>0</v>
      </c>
      <c r="E50" s="796">
        <v>0</v>
      </c>
      <c r="F50" s="796">
        <v>0</v>
      </c>
      <c r="G50" s="796">
        <v>0</v>
      </c>
      <c r="H50" s="797">
        <v>18200</v>
      </c>
      <c r="I50" s="796">
        <v>0</v>
      </c>
      <c r="J50" s="808">
        <f t="shared" si="3"/>
        <v>0</v>
      </c>
      <c r="K50" s="27"/>
    </row>
    <row r="51" spans="1:12" ht="15.75" thickBot="1" x14ac:dyDescent="0.3">
      <c r="A51" s="74">
        <v>312</v>
      </c>
      <c r="B51" s="82" t="s">
        <v>53</v>
      </c>
      <c r="C51" s="75">
        <v>40</v>
      </c>
      <c r="D51" s="75">
        <f>40</f>
        <v>40</v>
      </c>
      <c r="E51" s="759">
        <f>40+1</f>
        <v>41</v>
      </c>
      <c r="F51" s="75">
        <f>40+1</f>
        <v>41</v>
      </c>
      <c r="G51" s="75">
        <f t="shared" ref="G51:H51" si="17">40+1</f>
        <v>41</v>
      </c>
      <c r="H51" s="75">
        <f t="shared" si="17"/>
        <v>41</v>
      </c>
      <c r="I51" s="75">
        <v>40</v>
      </c>
      <c r="J51" s="808">
        <f t="shared" si="3"/>
        <v>0.97560975609756095</v>
      </c>
      <c r="K51" s="27"/>
    </row>
    <row r="52" spans="1:12" ht="15.75" thickBot="1" x14ac:dyDescent="0.3">
      <c r="A52" s="348">
        <v>312</v>
      </c>
      <c r="B52" s="360" t="s">
        <v>464</v>
      </c>
      <c r="C52" s="349">
        <v>3000</v>
      </c>
      <c r="D52" s="349">
        <v>3000</v>
      </c>
      <c r="E52" s="349">
        <v>3000</v>
      </c>
      <c r="F52" s="349">
        <v>3000</v>
      </c>
      <c r="G52" s="349">
        <v>3000</v>
      </c>
      <c r="H52" s="349">
        <v>3000</v>
      </c>
      <c r="I52" s="349">
        <v>0</v>
      </c>
      <c r="J52" s="808">
        <f t="shared" si="3"/>
        <v>0</v>
      </c>
      <c r="K52" s="27"/>
    </row>
    <row r="53" spans="1:12" x14ac:dyDescent="0.25">
      <c r="A53" s="71">
        <v>312</v>
      </c>
      <c r="B53" s="85" t="s">
        <v>54</v>
      </c>
      <c r="C53" s="16">
        <v>20100</v>
      </c>
      <c r="D53" s="16">
        <v>20100</v>
      </c>
      <c r="E53" s="16">
        <v>20100</v>
      </c>
      <c r="F53" s="16">
        <v>20100</v>
      </c>
      <c r="G53" s="16">
        <v>20100</v>
      </c>
      <c r="H53" s="16">
        <v>20100</v>
      </c>
      <c r="I53" s="16">
        <v>63</v>
      </c>
      <c r="J53" s="808">
        <f t="shared" si="3"/>
        <v>3.1343283582089551E-3</v>
      </c>
      <c r="K53" s="1"/>
    </row>
    <row r="54" spans="1:12" x14ac:dyDescent="0.25">
      <c r="A54" s="71">
        <v>312</v>
      </c>
      <c r="B54" s="118" t="s">
        <v>55</v>
      </c>
      <c r="C54" s="16">
        <v>12500</v>
      </c>
      <c r="D54" s="16">
        <v>12500</v>
      </c>
      <c r="E54" s="16">
        <v>12500</v>
      </c>
      <c r="F54" s="16">
        <v>12500</v>
      </c>
      <c r="G54" s="709">
        <f>12500+500</f>
        <v>13000</v>
      </c>
      <c r="H54" s="16">
        <f>12500+500</f>
        <v>13000</v>
      </c>
      <c r="I54" s="16">
        <v>3250</v>
      </c>
      <c r="J54" s="808">
        <f t="shared" si="3"/>
        <v>0.25</v>
      </c>
      <c r="K54" s="1"/>
    </row>
    <row r="55" spans="1:12" ht="15.75" thickBot="1" x14ac:dyDescent="0.3">
      <c r="A55" s="77">
        <v>312</v>
      </c>
      <c r="B55" s="165" t="s">
        <v>56</v>
      </c>
      <c r="C55" s="79">
        <f>3000+5600</f>
        <v>8600</v>
      </c>
      <c r="D55" s="79">
        <f>3000+5600</f>
        <v>8600</v>
      </c>
      <c r="E55" s="787">
        <f>3200+5600</f>
        <v>8800</v>
      </c>
      <c r="F55" s="79">
        <f>3200+5600</f>
        <v>8800</v>
      </c>
      <c r="G55" s="79">
        <f t="shared" ref="G55:H55" si="18">3200+5600</f>
        <v>8800</v>
      </c>
      <c r="H55" s="79">
        <f t="shared" si="18"/>
        <v>8800</v>
      </c>
      <c r="I55" s="79">
        <v>1100</v>
      </c>
      <c r="J55" s="808">
        <f t="shared" si="3"/>
        <v>0.125</v>
      </c>
      <c r="K55" s="27"/>
      <c r="L55" s="458"/>
    </row>
    <row r="56" spans="1:12" ht="15" customHeight="1" x14ac:dyDescent="0.25">
      <c r="A56" s="71">
        <v>312</v>
      </c>
      <c r="B56" s="85" t="s">
        <v>233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808">
        <v>0</v>
      </c>
      <c r="K56" s="1"/>
    </row>
    <row r="57" spans="1:12" ht="15.75" thickBot="1" x14ac:dyDescent="0.3">
      <c r="A57" s="74">
        <v>312</v>
      </c>
      <c r="B57" s="82" t="s">
        <v>59</v>
      </c>
      <c r="C57" s="75">
        <v>3000</v>
      </c>
      <c r="D57" s="75">
        <v>3000</v>
      </c>
      <c r="E57" s="75">
        <v>3000</v>
      </c>
      <c r="F57" s="75">
        <v>3000</v>
      </c>
      <c r="G57" s="75">
        <v>3000</v>
      </c>
      <c r="H57" s="75">
        <v>3000</v>
      </c>
      <c r="I57" s="75">
        <v>3000</v>
      </c>
      <c r="J57" s="808">
        <f t="shared" si="3"/>
        <v>1</v>
      </c>
      <c r="K57" s="27"/>
    </row>
    <row r="58" spans="1:12" x14ac:dyDescent="0.25">
      <c r="A58" s="71">
        <v>312</v>
      </c>
      <c r="B58" s="351" t="s">
        <v>60</v>
      </c>
      <c r="C58" s="83">
        <v>5120</v>
      </c>
      <c r="D58" s="781">
        <f>5120+80</f>
        <v>5200</v>
      </c>
      <c r="E58" s="83">
        <f>5120+80</f>
        <v>5200</v>
      </c>
      <c r="F58" s="83">
        <f>5120+80</f>
        <v>5200</v>
      </c>
      <c r="G58" s="83">
        <f t="shared" ref="G58:H58" si="19">5120+80</f>
        <v>5200</v>
      </c>
      <c r="H58" s="83">
        <f t="shared" si="19"/>
        <v>5200</v>
      </c>
      <c r="I58" s="83">
        <v>5167</v>
      </c>
      <c r="J58" s="808">
        <f t="shared" si="3"/>
        <v>0.99365384615384611</v>
      </c>
      <c r="K58" s="1"/>
    </row>
    <row r="59" spans="1:12" x14ac:dyDescent="0.25">
      <c r="A59" s="84">
        <v>312</v>
      </c>
      <c r="B59" s="361" t="s">
        <v>61</v>
      </c>
      <c r="C59" s="21">
        <v>3700</v>
      </c>
      <c r="D59" s="21">
        <v>3700</v>
      </c>
      <c r="E59" s="786">
        <f>3700+400</f>
        <v>4100</v>
      </c>
      <c r="F59" s="21">
        <f>3700+400</f>
        <v>4100</v>
      </c>
      <c r="G59" s="21">
        <f t="shared" ref="G59:H59" si="20">3700+400</f>
        <v>4100</v>
      </c>
      <c r="H59" s="21">
        <f t="shared" si="20"/>
        <v>4100</v>
      </c>
      <c r="I59" s="21">
        <v>0</v>
      </c>
      <c r="J59" s="808">
        <f t="shared" si="3"/>
        <v>0</v>
      </c>
      <c r="K59" s="1"/>
    </row>
    <row r="60" spans="1:12" x14ac:dyDescent="0.25">
      <c r="A60" s="84">
        <v>312</v>
      </c>
      <c r="B60" s="362" t="s">
        <v>572</v>
      </c>
      <c r="C60" s="33">
        <v>5000</v>
      </c>
      <c r="D60" s="33">
        <f>5000</f>
        <v>5000</v>
      </c>
      <c r="E60" s="715">
        <f>5000+7200</f>
        <v>12200</v>
      </c>
      <c r="F60" s="33">
        <f>5000+7200</f>
        <v>12200</v>
      </c>
      <c r="G60" s="715">
        <f>5000+7200+155</f>
        <v>12355</v>
      </c>
      <c r="H60" s="33">
        <f>5000+7200+155</f>
        <v>12355</v>
      </c>
      <c r="I60" s="33">
        <v>6248</v>
      </c>
      <c r="J60" s="808">
        <f t="shared" si="3"/>
        <v>0.50570619182517196</v>
      </c>
      <c r="K60" s="1"/>
    </row>
    <row r="61" spans="1:12" x14ac:dyDescent="0.25">
      <c r="A61" s="71">
        <v>312</v>
      </c>
      <c r="B61" s="118" t="s">
        <v>573</v>
      </c>
      <c r="C61" s="16">
        <v>52550</v>
      </c>
      <c r="D61" s="16">
        <f>52550</f>
        <v>52550</v>
      </c>
      <c r="E61" s="709">
        <f>52550+17050</f>
        <v>69600</v>
      </c>
      <c r="F61" s="16">
        <f>52550+17050</f>
        <v>69600</v>
      </c>
      <c r="G61" s="16">
        <f t="shared" ref="G61:H61" si="21">52550+17050</f>
        <v>69600</v>
      </c>
      <c r="H61" s="16">
        <f t="shared" si="21"/>
        <v>69600</v>
      </c>
      <c r="I61" s="16">
        <v>29000</v>
      </c>
      <c r="J61" s="808">
        <f t="shared" si="3"/>
        <v>0.41666666666666669</v>
      </c>
      <c r="K61" s="1"/>
    </row>
    <row r="62" spans="1:12" x14ac:dyDescent="0.25">
      <c r="A62" s="84">
        <v>312</v>
      </c>
      <c r="B62" s="118" t="s">
        <v>62</v>
      </c>
      <c r="C62" s="21">
        <v>47340</v>
      </c>
      <c r="D62" s="21">
        <v>47340</v>
      </c>
      <c r="E62" s="21">
        <v>47340</v>
      </c>
      <c r="F62" s="21">
        <v>47340</v>
      </c>
      <c r="G62" s="21">
        <v>47340</v>
      </c>
      <c r="H62" s="21">
        <v>47340</v>
      </c>
      <c r="I62" s="21">
        <v>12267</v>
      </c>
      <c r="J62" s="808">
        <f t="shared" si="3"/>
        <v>0.2591254752851711</v>
      </c>
      <c r="K62" s="27"/>
      <c r="L62" s="27"/>
    </row>
    <row r="63" spans="1:12" x14ac:dyDescent="0.25">
      <c r="A63" s="71">
        <v>312</v>
      </c>
      <c r="B63" s="444" t="s">
        <v>335</v>
      </c>
      <c r="C63" s="16">
        <v>2000</v>
      </c>
      <c r="D63" s="709">
        <f>2000</f>
        <v>2000</v>
      </c>
      <c r="E63" s="709">
        <f>2000-970</f>
        <v>1030</v>
      </c>
      <c r="F63" s="16">
        <f>2000-970</f>
        <v>1030</v>
      </c>
      <c r="G63" s="16">
        <f t="shared" ref="G63:H63" si="22">2000-970</f>
        <v>1030</v>
      </c>
      <c r="H63" s="16">
        <f t="shared" si="22"/>
        <v>1030</v>
      </c>
      <c r="I63" s="16">
        <v>1020</v>
      </c>
      <c r="J63" s="808">
        <f t="shared" si="3"/>
        <v>0.99029126213592233</v>
      </c>
      <c r="K63" s="1"/>
    </row>
    <row r="64" spans="1:12" ht="15.75" thickBot="1" x14ac:dyDescent="0.3">
      <c r="A64" s="77">
        <v>312</v>
      </c>
      <c r="B64" s="78" t="s">
        <v>548</v>
      </c>
      <c r="C64" s="789">
        <v>0</v>
      </c>
      <c r="D64" s="789">
        <v>0</v>
      </c>
      <c r="E64" s="790">
        <v>26200</v>
      </c>
      <c r="F64" s="789">
        <v>26200</v>
      </c>
      <c r="G64" s="789">
        <v>26200</v>
      </c>
      <c r="H64" s="789">
        <v>26200</v>
      </c>
      <c r="I64" s="789">
        <v>26154</v>
      </c>
      <c r="J64" s="808">
        <f t="shared" si="3"/>
        <v>0.99824427480916034</v>
      </c>
      <c r="K64" s="27">
        <f>SUM(H44:H64)+H68</f>
        <v>956895</v>
      </c>
      <c r="L64" s="27">
        <f>SUM(I44:I64)+I68</f>
        <v>263590</v>
      </c>
    </row>
    <row r="65" spans="1:15" x14ac:dyDescent="0.25">
      <c r="A65" s="71">
        <v>315</v>
      </c>
      <c r="B65" s="76" t="s">
        <v>58</v>
      </c>
      <c r="C65" s="16">
        <v>3000</v>
      </c>
      <c r="D65" s="16">
        <v>3000</v>
      </c>
      <c r="E65" s="16">
        <v>3000</v>
      </c>
      <c r="F65" s="16">
        <v>3000</v>
      </c>
      <c r="G65" s="16">
        <v>3000</v>
      </c>
      <c r="H65" s="16">
        <v>3000</v>
      </c>
      <c r="I65" s="16">
        <v>0</v>
      </c>
      <c r="J65" s="808">
        <f t="shared" si="3"/>
        <v>0</v>
      </c>
      <c r="K65" s="27"/>
      <c r="L65" s="27"/>
    </row>
    <row r="66" spans="1:15" ht="15.75" thickBot="1" x14ac:dyDescent="0.3">
      <c r="A66" s="77">
        <v>315</v>
      </c>
      <c r="B66" s="78" t="s">
        <v>294</v>
      </c>
      <c r="C66" s="79">
        <v>200</v>
      </c>
      <c r="D66" s="79">
        <v>200</v>
      </c>
      <c r="E66" s="79">
        <v>200</v>
      </c>
      <c r="F66" s="79">
        <v>200</v>
      </c>
      <c r="G66" s="787">
        <f>200+100</f>
        <v>300</v>
      </c>
      <c r="H66" s="79">
        <f>200+100</f>
        <v>300</v>
      </c>
      <c r="I66" s="79">
        <v>100</v>
      </c>
      <c r="J66" s="808">
        <f t="shared" si="3"/>
        <v>0.33333333333333331</v>
      </c>
      <c r="K66" s="27">
        <f>SUM(C65:C66)</f>
        <v>3200</v>
      </c>
      <c r="L66" s="27">
        <f>SUM(D65:D66)</f>
        <v>3200</v>
      </c>
    </row>
    <row r="67" spans="1:15" ht="15.75" x14ac:dyDescent="0.25">
      <c r="A67" s="536">
        <v>312</v>
      </c>
      <c r="B67" s="537" t="s">
        <v>246</v>
      </c>
      <c r="C67" s="541">
        <v>0</v>
      </c>
      <c r="D67" s="541">
        <v>0</v>
      </c>
      <c r="E67" s="541">
        <v>0</v>
      </c>
      <c r="F67" s="541">
        <v>0</v>
      </c>
      <c r="G67" s="541">
        <v>0</v>
      </c>
      <c r="H67" s="541">
        <v>0</v>
      </c>
      <c r="I67" s="541">
        <v>0</v>
      </c>
      <c r="J67" s="808">
        <v>0</v>
      </c>
      <c r="K67" s="27"/>
      <c r="L67" s="27"/>
    </row>
    <row r="68" spans="1:15" ht="16.5" thickBot="1" x14ac:dyDescent="0.3">
      <c r="A68" s="86">
        <v>312</v>
      </c>
      <c r="B68" s="87" t="s">
        <v>63</v>
      </c>
      <c r="C68" s="88">
        <v>571450</v>
      </c>
      <c r="D68" s="88">
        <v>571450</v>
      </c>
      <c r="E68" s="716">
        <f>571450+57999</f>
        <v>629449</v>
      </c>
      <c r="F68" s="88">
        <f>571450+57999</f>
        <v>629449</v>
      </c>
      <c r="G68" s="88">
        <f t="shared" ref="G68:H68" si="23">571450+57999</f>
        <v>629449</v>
      </c>
      <c r="H68" s="88">
        <f t="shared" si="23"/>
        <v>629449</v>
      </c>
      <c r="I68" s="88">
        <v>165903</v>
      </c>
      <c r="J68" s="808">
        <f t="shared" ref="J68:J131" si="24">I68/H68</f>
        <v>0.26356861318391167</v>
      </c>
      <c r="K68" s="27"/>
      <c r="L68" s="27"/>
    </row>
    <row r="69" spans="1:15" ht="16.5" thickBot="1" x14ac:dyDescent="0.3">
      <c r="A69" s="89" t="s">
        <v>64</v>
      </c>
      <c r="B69" s="363"/>
      <c r="C69" s="90">
        <f t="shared" ref="C69:I69" si="25">SUM(C3+C11+C32+C34+C42)</f>
        <v>2532250</v>
      </c>
      <c r="D69" s="90">
        <f t="shared" si="25"/>
        <v>2532330</v>
      </c>
      <c r="E69" s="90">
        <f t="shared" si="25"/>
        <v>2640580</v>
      </c>
      <c r="F69" s="90">
        <f t="shared" si="25"/>
        <v>2641080</v>
      </c>
      <c r="G69" s="90">
        <f t="shared" si="25"/>
        <v>2702665</v>
      </c>
      <c r="H69" s="90">
        <f t="shared" si="25"/>
        <v>2740475</v>
      </c>
      <c r="I69" s="90">
        <f t="shared" si="25"/>
        <v>756259</v>
      </c>
      <c r="J69" s="808">
        <f t="shared" si="24"/>
        <v>0.27595909468249119</v>
      </c>
      <c r="K69" s="27">
        <f t="shared" ref="K69:K76" si="26">D69-C69</f>
        <v>80</v>
      </c>
      <c r="L69" s="27">
        <f t="shared" ref="L69:L76" si="27">E69-D69</f>
        <v>108250</v>
      </c>
      <c r="M69" s="27">
        <f t="shared" ref="M69:M76" si="28">F69-E69</f>
        <v>500</v>
      </c>
      <c r="N69" s="27">
        <f t="shared" ref="N69:N76" si="29">G69-F69</f>
        <v>61585</v>
      </c>
      <c r="O69" s="27">
        <f t="shared" ref="O69:O76" si="30">H69-G69</f>
        <v>37810</v>
      </c>
    </row>
    <row r="70" spans="1:15" x14ac:dyDescent="0.25">
      <c r="A70" s="91" t="s">
        <v>65</v>
      </c>
      <c r="B70" s="92" t="s">
        <v>66</v>
      </c>
      <c r="C70" s="93">
        <v>2450</v>
      </c>
      <c r="D70" s="93">
        <v>2450</v>
      </c>
      <c r="E70" s="93">
        <v>2450</v>
      </c>
      <c r="F70" s="93">
        <v>2450</v>
      </c>
      <c r="G70" s="93">
        <v>2450</v>
      </c>
      <c r="H70" s="93">
        <v>2450</v>
      </c>
      <c r="I70" s="93">
        <v>41</v>
      </c>
      <c r="J70" s="808">
        <f t="shared" si="24"/>
        <v>1.673469387755102E-2</v>
      </c>
      <c r="K70" s="27">
        <f t="shared" si="26"/>
        <v>0</v>
      </c>
      <c r="L70" s="27">
        <f t="shared" si="27"/>
        <v>0</v>
      </c>
      <c r="M70" s="27">
        <f t="shared" si="28"/>
        <v>0</v>
      </c>
      <c r="N70" s="27">
        <f t="shared" si="29"/>
        <v>0</v>
      </c>
      <c r="O70" s="27">
        <f t="shared" si="30"/>
        <v>0</v>
      </c>
    </row>
    <row r="71" spans="1:15" ht="15.75" thickBot="1" x14ac:dyDescent="0.3">
      <c r="A71" s="94" t="s">
        <v>65</v>
      </c>
      <c r="B71" s="92" t="s">
        <v>67</v>
      </c>
      <c r="C71" s="95">
        <v>2600</v>
      </c>
      <c r="D71" s="95">
        <v>2600</v>
      </c>
      <c r="E71" s="95">
        <v>2600</v>
      </c>
      <c r="F71" s="95">
        <v>2600</v>
      </c>
      <c r="G71" s="95">
        <v>2600</v>
      </c>
      <c r="H71" s="95">
        <v>2600</v>
      </c>
      <c r="I71" s="95">
        <v>450</v>
      </c>
      <c r="J71" s="808">
        <f t="shared" si="24"/>
        <v>0.17307692307692307</v>
      </c>
      <c r="K71" s="27">
        <f t="shared" si="26"/>
        <v>0</v>
      </c>
      <c r="L71" s="27">
        <f t="shared" si="27"/>
        <v>0</v>
      </c>
      <c r="M71" s="27">
        <f t="shared" si="28"/>
        <v>0</v>
      </c>
      <c r="N71" s="27">
        <f t="shared" si="29"/>
        <v>0</v>
      </c>
      <c r="O71" s="27">
        <f t="shared" si="30"/>
        <v>0</v>
      </c>
    </row>
    <row r="72" spans="1:15" ht="15.75" thickBot="1" x14ac:dyDescent="0.3">
      <c r="A72" s="882" t="s">
        <v>69</v>
      </c>
      <c r="B72" s="883"/>
      <c r="C72" s="99">
        <f t="shared" ref="C72:I72" si="31">SUM(C70:C71)</f>
        <v>5050</v>
      </c>
      <c r="D72" s="99">
        <f t="shared" si="31"/>
        <v>5050</v>
      </c>
      <c r="E72" s="99">
        <f t="shared" si="31"/>
        <v>5050</v>
      </c>
      <c r="F72" s="99">
        <f t="shared" si="31"/>
        <v>5050</v>
      </c>
      <c r="G72" s="99">
        <f t="shared" si="31"/>
        <v>5050</v>
      </c>
      <c r="H72" s="99">
        <f t="shared" si="31"/>
        <v>5050</v>
      </c>
      <c r="I72" s="99">
        <f t="shared" si="31"/>
        <v>491</v>
      </c>
      <c r="J72" s="808">
        <f t="shared" si="24"/>
        <v>9.7227722772277231E-2</v>
      </c>
      <c r="K72" s="27">
        <f t="shared" si="26"/>
        <v>0</v>
      </c>
      <c r="L72" s="27">
        <f t="shared" si="27"/>
        <v>0</v>
      </c>
      <c r="M72" s="27">
        <f t="shared" si="28"/>
        <v>0</v>
      </c>
      <c r="N72" s="27">
        <f t="shared" si="29"/>
        <v>0</v>
      </c>
      <c r="O72" s="27">
        <f t="shared" si="30"/>
        <v>0</v>
      </c>
    </row>
    <row r="73" spans="1:15" ht="15.75" thickBot="1" x14ac:dyDescent="0.3">
      <c r="A73" s="100" t="s">
        <v>65</v>
      </c>
      <c r="B73" s="101" t="s">
        <v>70</v>
      </c>
      <c r="C73" s="449">
        <v>10980</v>
      </c>
      <c r="D73" s="449">
        <v>10980</v>
      </c>
      <c r="E73" s="449">
        <v>10980</v>
      </c>
      <c r="F73" s="449">
        <v>10980</v>
      </c>
      <c r="G73" s="449">
        <v>10980</v>
      </c>
      <c r="H73" s="449">
        <v>10980</v>
      </c>
      <c r="I73" s="449">
        <v>6025</v>
      </c>
      <c r="J73" s="808">
        <f t="shared" si="24"/>
        <v>0.54872495446265934</v>
      </c>
      <c r="K73" s="27">
        <f t="shared" si="26"/>
        <v>0</v>
      </c>
      <c r="L73" s="27">
        <f t="shared" si="27"/>
        <v>0</v>
      </c>
      <c r="M73" s="27">
        <f t="shared" si="28"/>
        <v>0</v>
      </c>
      <c r="N73" s="27">
        <f t="shared" si="29"/>
        <v>0</v>
      </c>
      <c r="O73" s="27">
        <f t="shared" si="30"/>
        <v>0</v>
      </c>
    </row>
    <row r="74" spans="1:15" ht="15.75" thickBot="1" x14ac:dyDescent="0.3">
      <c r="A74" s="882" t="s">
        <v>266</v>
      </c>
      <c r="B74" s="883"/>
      <c r="C74" s="445">
        <f t="shared" ref="C74:I74" si="32">SUM(C73:C73)</f>
        <v>10980</v>
      </c>
      <c r="D74" s="445">
        <f t="shared" si="32"/>
        <v>10980</v>
      </c>
      <c r="E74" s="445">
        <f t="shared" si="32"/>
        <v>10980</v>
      </c>
      <c r="F74" s="445">
        <f t="shared" si="32"/>
        <v>10980</v>
      </c>
      <c r="G74" s="445">
        <f t="shared" si="32"/>
        <v>10980</v>
      </c>
      <c r="H74" s="445">
        <f t="shared" si="32"/>
        <v>10980</v>
      </c>
      <c r="I74" s="445">
        <f t="shared" si="32"/>
        <v>6025</v>
      </c>
      <c r="J74" s="808">
        <f t="shared" si="24"/>
        <v>0.54872495446265934</v>
      </c>
      <c r="K74" s="27">
        <f t="shared" si="26"/>
        <v>0</v>
      </c>
      <c r="L74" s="27">
        <f t="shared" si="27"/>
        <v>0</v>
      </c>
      <c r="M74" s="27">
        <f t="shared" si="28"/>
        <v>0</v>
      </c>
      <c r="N74" s="27">
        <f t="shared" si="29"/>
        <v>0</v>
      </c>
      <c r="O74" s="27">
        <f t="shared" si="30"/>
        <v>0</v>
      </c>
    </row>
    <row r="75" spans="1:15" ht="16.5" thickBot="1" x14ac:dyDescent="0.3">
      <c r="A75" s="884" t="s">
        <v>71</v>
      </c>
      <c r="B75" s="885"/>
      <c r="C75" s="103">
        <f t="shared" ref="C75:I75" si="33">C72+C74</f>
        <v>16030</v>
      </c>
      <c r="D75" s="103">
        <f t="shared" si="33"/>
        <v>16030</v>
      </c>
      <c r="E75" s="103">
        <f t="shared" si="33"/>
        <v>16030</v>
      </c>
      <c r="F75" s="103">
        <f t="shared" si="33"/>
        <v>16030</v>
      </c>
      <c r="G75" s="103">
        <f t="shared" si="33"/>
        <v>16030</v>
      </c>
      <c r="H75" s="103">
        <f t="shared" si="33"/>
        <v>16030</v>
      </c>
      <c r="I75" s="103">
        <f t="shared" si="33"/>
        <v>6516</v>
      </c>
      <c r="J75" s="808">
        <f t="shared" si="24"/>
        <v>0.40648783530879601</v>
      </c>
      <c r="K75" s="27">
        <f t="shared" si="26"/>
        <v>0</v>
      </c>
      <c r="L75" s="27">
        <f t="shared" si="27"/>
        <v>0</v>
      </c>
      <c r="M75" s="27">
        <f t="shared" si="28"/>
        <v>0</v>
      </c>
      <c r="N75" s="27">
        <f t="shared" si="29"/>
        <v>0</v>
      </c>
      <c r="O75" s="27">
        <f t="shared" si="30"/>
        <v>0</v>
      </c>
    </row>
    <row r="76" spans="1:15" ht="16.5" thickBot="1" x14ac:dyDescent="0.3">
      <c r="A76" s="89" t="s">
        <v>72</v>
      </c>
      <c r="B76" s="66"/>
      <c r="C76" s="90">
        <f t="shared" ref="C76:I76" si="34">C69+C75</f>
        <v>2548280</v>
      </c>
      <c r="D76" s="90">
        <f t="shared" si="34"/>
        <v>2548360</v>
      </c>
      <c r="E76" s="90">
        <f t="shared" si="34"/>
        <v>2656610</v>
      </c>
      <c r="F76" s="90">
        <f t="shared" si="34"/>
        <v>2657110</v>
      </c>
      <c r="G76" s="90">
        <f t="shared" si="34"/>
        <v>2718695</v>
      </c>
      <c r="H76" s="90">
        <f t="shared" si="34"/>
        <v>2756505</v>
      </c>
      <c r="I76" s="90">
        <f t="shared" si="34"/>
        <v>762775</v>
      </c>
      <c r="J76" s="808">
        <f t="shared" si="24"/>
        <v>0.27671816303616353</v>
      </c>
      <c r="K76" s="27">
        <f t="shared" si="26"/>
        <v>80</v>
      </c>
      <c r="L76" s="27">
        <f t="shared" si="27"/>
        <v>108250</v>
      </c>
      <c r="M76" s="27">
        <f t="shared" si="28"/>
        <v>500</v>
      </c>
      <c r="N76" s="27">
        <f t="shared" si="29"/>
        <v>61585</v>
      </c>
      <c r="O76" s="27">
        <f t="shared" si="30"/>
        <v>37810</v>
      </c>
    </row>
    <row r="77" spans="1:15" ht="38.25" customHeight="1" x14ac:dyDescent="0.25">
      <c r="A77" s="1"/>
      <c r="B77" s="1"/>
      <c r="C77" s="104"/>
      <c r="D77" s="104"/>
      <c r="E77" s="104"/>
      <c r="F77" s="104"/>
      <c r="G77" s="104"/>
      <c r="H77" s="104"/>
      <c r="I77" s="104"/>
      <c r="J77" s="808"/>
      <c r="K77" s="104"/>
    </row>
    <row r="78" spans="1:15" ht="33.75" customHeight="1" x14ac:dyDescent="0.25">
      <c r="A78" s="105"/>
      <c r="B78" s="106"/>
      <c r="C78" s="107"/>
      <c r="D78" s="107"/>
      <c r="E78" s="107"/>
      <c r="F78" s="107"/>
      <c r="G78" s="107"/>
      <c r="H78" s="107"/>
      <c r="I78" s="107"/>
      <c r="J78" s="808"/>
      <c r="K78" s="107"/>
    </row>
    <row r="79" spans="1:15" ht="18.75" thickBot="1" x14ac:dyDescent="0.3">
      <c r="A79" s="886" t="s">
        <v>73</v>
      </c>
      <c r="B79" s="887"/>
      <c r="C79" s="887"/>
      <c r="D79" s="887"/>
      <c r="E79" s="887"/>
      <c r="F79" s="887"/>
      <c r="G79" s="887"/>
      <c r="H79" s="887"/>
      <c r="I79" s="887"/>
      <c r="J79" s="808"/>
      <c r="K79" s="1"/>
    </row>
    <row r="80" spans="1:15" ht="25.5" customHeight="1" thickBot="1" x14ac:dyDescent="0.3">
      <c r="A80" s="864" t="s">
        <v>1</v>
      </c>
      <c r="B80" s="888"/>
      <c r="C80" s="413" t="s">
        <v>454</v>
      </c>
      <c r="D80" s="413" t="s">
        <v>496</v>
      </c>
      <c r="E80" s="413" t="s">
        <v>547</v>
      </c>
      <c r="F80" s="413" t="s">
        <v>497</v>
      </c>
      <c r="G80" s="413" t="s">
        <v>568</v>
      </c>
      <c r="H80" s="413" t="s">
        <v>569</v>
      </c>
      <c r="I80" s="413" t="s">
        <v>570</v>
      </c>
      <c r="J80" s="808"/>
      <c r="K80" s="1"/>
    </row>
    <row r="81" spans="1:11" ht="15.75" thickBot="1" x14ac:dyDescent="0.3">
      <c r="A81" s="108" t="s">
        <v>74</v>
      </c>
      <c r="B81" s="109"/>
      <c r="C81" s="112">
        <f t="shared" ref="C81:I81" si="35">SUM(C82:C86)</f>
        <v>315730</v>
      </c>
      <c r="D81" s="112">
        <f t="shared" ref="D81:F81" si="36">SUM(D82:D86)</f>
        <v>315810</v>
      </c>
      <c r="E81" s="112">
        <f t="shared" ref="E81" si="37">SUM(E82:E86)</f>
        <v>314840</v>
      </c>
      <c r="F81" s="112">
        <f t="shared" si="36"/>
        <v>312240</v>
      </c>
      <c r="G81" s="112">
        <f t="shared" ref="G81:H81" si="38">SUM(G82:G86)</f>
        <v>313440</v>
      </c>
      <c r="H81" s="112">
        <f t="shared" si="38"/>
        <v>314240</v>
      </c>
      <c r="I81" s="112">
        <f t="shared" si="35"/>
        <v>70185</v>
      </c>
      <c r="J81" s="808">
        <f t="shared" si="24"/>
        <v>0.22334839613034624</v>
      </c>
      <c r="K81" s="1"/>
    </row>
    <row r="82" spans="1:11" x14ac:dyDescent="0.25">
      <c r="A82" s="113" t="s">
        <v>75</v>
      </c>
      <c r="B82" s="85" t="s">
        <v>76</v>
      </c>
      <c r="C82" s="56">
        <v>155900</v>
      </c>
      <c r="D82" s="56">
        <v>155900</v>
      </c>
      <c r="E82" s="56">
        <v>155900</v>
      </c>
      <c r="F82" s="749">
        <f>155900-1600</f>
        <v>154300</v>
      </c>
      <c r="G82" s="749">
        <f>155900-1600+1200</f>
        <v>155500</v>
      </c>
      <c r="H82" s="749">
        <f>155900-1600+1200+800</f>
        <v>156300</v>
      </c>
      <c r="I82" s="56">
        <v>32138</v>
      </c>
      <c r="J82" s="808">
        <f t="shared" si="24"/>
        <v>0.20561740243122201</v>
      </c>
      <c r="K82" s="1"/>
    </row>
    <row r="83" spans="1:11" x14ac:dyDescent="0.25">
      <c r="A83" s="117" t="s">
        <v>77</v>
      </c>
      <c r="B83" s="118" t="s">
        <v>78</v>
      </c>
      <c r="C83" s="61">
        <f>94000+5700</f>
        <v>99700</v>
      </c>
      <c r="D83" s="61">
        <f>94000+5700</f>
        <v>99700</v>
      </c>
      <c r="E83" s="61">
        <f>94000+5700</f>
        <v>99700</v>
      </c>
      <c r="F83" s="741">
        <f>94000+5700-1000-2000</f>
        <v>96700</v>
      </c>
      <c r="G83" s="61">
        <f t="shared" ref="G83:H83" si="39">94000+5700-1000-2000</f>
        <v>96700</v>
      </c>
      <c r="H83" s="61">
        <f t="shared" si="39"/>
        <v>96700</v>
      </c>
      <c r="I83" s="61">
        <v>24276</v>
      </c>
      <c r="J83" s="808">
        <f t="shared" si="24"/>
        <v>0.25104446742502584</v>
      </c>
      <c r="K83" s="1"/>
    </row>
    <row r="84" spans="1:11" x14ac:dyDescent="0.25">
      <c r="A84" s="117" t="s">
        <v>79</v>
      </c>
      <c r="B84" s="118" t="s">
        <v>80</v>
      </c>
      <c r="C84" s="61">
        <v>2500</v>
      </c>
      <c r="D84" s="61">
        <v>2500</v>
      </c>
      <c r="E84" s="61">
        <v>2500</v>
      </c>
      <c r="F84" s="741">
        <f>2500+2000</f>
        <v>4500</v>
      </c>
      <c r="G84" s="61">
        <f t="shared" ref="G84:H84" si="40">2500+2000</f>
        <v>4500</v>
      </c>
      <c r="H84" s="61">
        <f t="shared" si="40"/>
        <v>4500</v>
      </c>
      <c r="I84" s="61">
        <v>564</v>
      </c>
      <c r="J84" s="808">
        <f t="shared" si="24"/>
        <v>0.12533333333333332</v>
      </c>
      <c r="K84" s="1"/>
    </row>
    <row r="85" spans="1:11" x14ac:dyDescent="0.25">
      <c r="A85" s="121" t="s">
        <v>81</v>
      </c>
      <c r="B85" s="118" t="s">
        <v>82</v>
      </c>
      <c r="C85" s="61">
        <v>53600</v>
      </c>
      <c r="D85" s="741">
        <f>53600+80</f>
        <v>53680</v>
      </c>
      <c r="E85" s="61">
        <f>53600+80</f>
        <v>53680</v>
      </c>
      <c r="F85" s="61">
        <f>53600+80</f>
        <v>53680</v>
      </c>
      <c r="G85" s="61">
        <f t="shared" ref="G85:H85" si="41">53600+80</f>
        <v>53680</v>
      </c>
      <c r="H85" s="61">
        <f t="shared" si="41"/>
        <v>53680</v>
      </c>
      <c r="I85" s="61">
        <v>10620</v>
      </c>
      <c r="J85" s="808">
        <f t="shared" si="24"/>
        <v>0.19783904619970194</v>
      </c>
      <c r="K85" s="1"/>
    </row>
    <row r="86" spans="1:11" ht="15.75" thickBot="1" x14ac:dyDescent="0.3">
      <c r="A86" s="123" t="s">
        <v>83</v>
      </c>
      <c r="B86" s="124" t="s">
        <v>498</v>
      </c>
      <c r="C86" s="128">
        <v>4030</v>
      </c>
      <c r="D86" s="128">
        <f>4030</f>
        <v>4030</v>
      </c>
      <c r="E86" s="742">
        <f>4030-970</f>
        <v>3060</v>
      </c>
      <c r="F86" s="128">
        <f>4030-970</f>
        <v>3060</v>
      </c>
      <c r="G86" s="128">
        <f t="shared" ref="G86:H86" si="42">4030-970</f>
        <v>3060</v>
      </c>
      <c r="H86" s="128">
        <f t="shared" si="42"/>
        <v>3060</v>
      </c>
      <c r="I86" s="128">
        <v>2587</v>
      </c>
      <c r="J86" s="808">
        <f t="shared" si="24"/>
        <v>0.84542483660130718</v>
      </c>
      <c r="K86" s="1"/>
    </row>
    <row r="87" spans="1:11" ht="15.75" thickBot="1" x14ac:dyDescent="0.3">
      <c r="A87" s="129" t="s">
        <v>84</v>
      </c>
      <c r="B87" s="130"/>
      <c r="C87" s="112">
        <f t="shared" ref="C87:I87" si="43">SUM(C88)</f>
        <v>4900</v>
      </c>
      <c r="D87" s="112">
        <f t="shared" si="43"/>
        <v>4900</v>
      </c>
      <c r="E87" s="112">
        <f t="shared" si="43"/>
        <v>4900</v>
      </c>
      <c r="F87" s="112">
        <f t="shared" si="43"/>
        <v>4900</v>
      </c>
      <c r="G87" s="112">
        <f t="shared" si="43"/>
        <v>4900</v>
      </c>
      <c r="H87" s="112">
        <f t="shared" si="43"/>
        <v>5900</v>
      </c>
      <c r="I87" s="112">
        <f t="shared" si="43"/>
        <v>70</v>
      </c>
      <c r="J87" s="808">
        <f t="shared" si="24"/>
        <v>1.1864406779661017E-2</v>
      </c>
      <c r="K87" s="1"/>
    </row>
    <row r="88" spans="1:11" ht="15.75" thickBot="1" x14ac:dyDescent="0.3">
      <c r="A88" s="131" t="s">
        <v>85</v>
      </c>
      <c r="B88" s="106" t="s">
        <v>269</v>
      </c>
      <c r="C88" s="134">
        <v>4900</v>
      </c>
      <c r="D88" s="134">
        <v>4900</v>
      </c>
      <c r="E88" s="134">
        <v>4900</v>
      </c>
      <c r="F88" s="134">
        <v>4900</v>
      </c>
      <c r="G88" s="134">
        <v>4900</v>
      </c>
      <c r="H88" s="802">
        <f>4900+1000</f>
        <v>5900</v>
      </c>
      <c r="I88" s="134">
        <v>70</v>
      </c>
      <c r="J88" s="808">
        <f t="shared" si="24"/>
        <v>1.1864406779661017E-2</v>
      </c>
      <c r="K88" s="1"/>
    </row>
    <row r="89" spans="1:11" ht="15.75" thickBot="1" x14ac:dyDescent="0.3">
      <c r="A89" s="129" t="s">
        <v>86</v>
      </c>
      <c r="B89" s="130"/>
      <c r="C89" s="112">
        <f t="shared" ref="C89:I89" si="44">SUM(C90:C91)</f>
        <v>26400</v>
      </c>
      <c r="D89" s="112">
        <f t="shared" ref="D89:F89" si="45">SUM(D90:D91)</f>
        <v>26400</v>
      </c>
      <c r="E89" s="112">
        <f t="shared" ref="E89" si="46">SUM(E90:E91)</f>
        <v>26400</v>
      </c>
      <c r="F89" s="112">
        <f t="shared" si="45"/>
        <v>30100</v>
      </c>
      <c r="G89" s="112">
        <f t="shared" ref="G89:H89" si="47">SUM(G90:G91)</f>
        <v>41850</v>
      </c>
      <c r="H89" s="112">
        <f t="shared" si="47"/>
        <v>42410</v>
      </c>
      <c r="I89" s="112">
        <f t="shared" si="44"/>
        <v>5771</v>
      </c>
      <c r="J89" s="808">
        <f t="shared" si="24"/>
        <v>0.13607639707616129</v>
      </c>
      <c r="K89" s="1"/>
    </row>
    <row r="90" spans="1:11" x14ac:dyDescent="0.25">
      <c r="A90" s="135" t="s">
        <v>87</v>
      </c>
      <c r="B90" s="136" t="s">
        <v>88</v>
      </c>
      <c r="C90" s="139">
        <v>24600</v>
      </c>
      <c r="D90" s="139">
        <v>24600</v>
      </c>
      <c r="E90" s="139">
        <v>24600</v>
      </c>
      <c r="F90" s="761">
        <f>24600+1700</f>
        <v>26300</v>
      </c>
      <c r="G90" s="761">
        <f>24600+1700+11750</f>
        <v>38050</v>
      </c>
      <c r="H90" s="139">
        <f>24600+1700+11750</f>
        <v>38050</v>
      </c>
      <c r="I90" s="139">
        <v>5519</v>
      </c>
      <c r="J90" s="808">
        <f t="shared" si="24"/>
        <v>0.14504599211563732</v>
      </c>
      <c r="K90" s="1"/>
    </row>
    <row r="91" spans="1:11" ht="15.75" thickBot="1" x14ac:dyDescent="0.3">
      <c r="A91" s="140" t="s">
        <v>89</v>
      </c>
      <c r="B91" s="141" t="s">
        <v>90</v>
      </c>
      <c r="C91" s="128">
        <v>1800</v>
      </c>
      <c r="D91" s="128">
        <v>1800</v>
      </c>
      <c r="E91" s="128">
        <v>1800</v>
      </c>
      <c r="F91" s="742">
        <f>1800+2000</f>
        <v>3800</v>
      </c>
      <c r="G91" s="128">
        <f t="shared" ref="G91" si="48">1800+2000</f>
        <v>3800</v>
      </c>
      <c r="H91" s="742">
        <f>1800+2000+560</f>
        <v>4360</v>
      </c>
      <c r="I91" s="128">
        <v>252</v>
      </c>
      <c r="J91" s="808">
        <f t="shared" si="24"/>
        <v>5.7798165137614682E-2</v>
      </c>
      <c r="K91" s="1"/>
    </row>
    <row r="92" spans="1:11" ht="15.75" thickBot="1" x14ac:dyDescent="0.3">
      <c r="A92" s="108" t="s">
        <v>91</v>
      </c>
      <c r="B92" s="144"/>
      <c r="C92" s="112">
        <f t="shared" ref="C92:I92" si="49">SUM(C93:C95)</f>
        <v>81600</v>
      </c>
      <c r="D92" s="112">
        <f t="shared" ref="D92:F92" si="50">SUM(D93:D95)</f>
        <v>81600</v>
      </c>
      <c r="E92" s="112">
        <f t="shared" ref="E92" si="51">SUM(E93:E95)</f>
        <v>82200</v>
      </c>
      <c r="F92" s="112">
        <f t="shared" si="50"/>
        <v>82200</v>
      </c>
      <c r="G92" s="112">
        <f t="shared" ref="G92:H92" si="52">SUM(G93:G95)</f>
        <v>82200</v>
      </c>
      <c r="H92" s="112">
        <f t="shared" si="52"/>
        <v>83350</v>
      </c>
      <c r="I92" s="112">
        <f t="shared" si="49"/>
        <v>18409</v>
      </c>
      <c r="J92" s="808">
        <f t="shared" si="24"/>
        <v>0.22086382723455308</v>
      </c>
      <c r="K92" s="1"/>
    </row>
    <row r="93" spans="1:11" x14ac:dyDescent="0.25">
      <c r="A93" s="145" t="s">
        <v>92</v>
      </c>
      <c r="B93" s="146" t="s">
        <v>93</v>
      </c>
      <c r="C93" s="55">
        <v>27600</v>
      </c>
      <c r="D93" s="55">
        <v>27600</v>
      </c>
      <c r="E93" s="55">
        <v>27600</v>
      </c>
      <c r="F93" s="55">
        <v>27600</v>
      </c>
      <c r="G93" s="55">
        <v>27600</v>
      </c>
      <c r="H93" s="55">
        <v>27600</v>
      </c>
      <c r="I93" s="55">
        <v>4262</v>
      </c>
      <c r="J93" s="808">
        <f t="shared" si="24"/>
        <v>0.15442028985507247</v>
      </c>
      <c r="K93" s="1"/>
    </row>
    <row r="94" spans="1:11" x14ac:dyDescent="0.25">
      <c r="A94" s="121" t="s">
        <v>94</v>
      </c>
      <c r="B94" s="118" t="s">
        <v>95</v>
      </c>
      <c r="C94" s="60">
        <v>33900</v>
      </c>
      <c r="D94" s="60">
        <v>33900</v>
      </c>
      <c r="E94" s="745">
        <f>33900+600</f>
        <v>34500</v>
      </c>
      <c r="F94" s="60">
        <f>33900+600</f>
        <v>34500</v>
      </c>
      <c r="G94" s="60">
        <f t="shared" ref="G94" si="53">33900+600</f>
        <v>34500</v>
      </c>
      <c r="H94" s="745">
        <f>33900+600+1150</f>
        <v>35650</v>
      </c>
      <c r="I94" s="60">
        <v>5999</v>
      </c>
      <c r="J94" s="808">
        <f t="shared" si="24"/>
        <v>0.16827489481065919</v>
      </c>
      <c r="K94" s="1"/>
    </row>
    <row r="95" spans="1:11" ht="15.75" thickBot="1" x14ac:dyDescent="0.3">
      <c r="A95" s="121" t="s">
        <v>96</v>
      </c>
      <c r="B95" s="118" t="s">
        <v>97</v>
      </c>
      <c r="C95" s="60">
        <v>20100</v>
      </c>
      <c r="D95" s="60">
        <v>20100</v>
      </c>
      <c r="E95" s="60">
        <v>20100</v>
      </c>
      <c r="F95" s="60">
        <v>20100</v>
      </c>
      <c r="G95" s="60">
        <v>20100</v>
      </c>
      <c r="H95" s="60">
        <v>20100</v>
      </c>
      <c r="I95" s="60">
        <v>8148</v>
      </c>
      <c r="J95" s="808">
        <f t="shared" si="24"/>
        <v>0.4053731343283582</v>
      </c>
      <c r="K95" s="1"/>
    </row>
    <row r="96" spans="1:11" ht="15.75" thickBot="1" x14ac:dyDescent="0.3">
      <c r="A96" s="889" t="s">
        <v>98</v>
      </c>
      <c r="B96" s="890"/>
      <c r="C96" s="112">
        <f t="shared" ref="C96:I96" si="54">SUM(C97:C100)</f>
        <v>152200</v>
      </c>
      <c r="D96" s="112">
        <f t="shared" ref="D96:F96" si="55">SUM(D97:D100)</f>
        <v>152200</v>
      </c>
      <c r="E96" s="112">
        <f t="shared" ref="E96" si="56">SUM(E97:E100)</f>
        <v>152200</v>
      </c>
      <c r="F96" s="112">
        <f t="shared" si="55"/>
        <v>155100</v>
      </c>
      <c r="G96" s="112">
        <f t="shared" ref="G96:H96" si="57">SUM(G97:G100)</f>
        <v>168130</v>
      </c>
      <c r="H96" s="112">
        <f t="shared" si="57"/>
        <v>168130</v>
      </c>
      <c r="I96" s="112">
        <f t="shared" si="54"/>
        <v>33191</v>
      </c>
      <c r="J96" s="808">
        <f t="shared" si="24"/>
        <v>0.19741271635044311</v>
      </c>
      <c r="K96" s="1"/>
    </row>
    <row r="97" spans="1:11" x14ac:dyDescent="0.25">
      <c r="A97" s="153" t="s">
        <v>99</v>
      </c>
      <c r="B97" s="154" t="s">
        <v>100</v>
      </c>
      <c r="C97" s="139">
        <v>70400</v>
      </c>
      <c r="D97" s="139">
        <v>70400</v>
      </c>
      <c r="E97" s="139">
        <v>70400</v>
      </c>
      <c r="F97" s="139">
        <v>70400</v>
      </c>
      <c r="G97" s="761">
        <f>70400+930</f>
        <v>71330</v>
      </c>
      <c r="H97" s="139">
        <f>70400+930</f>
        <v>71330</v>
      </c>
      <c r="I97" s="139">
        <v>11263</v>
      </c>
      <c r="J97" s="808">
        <f t="shared" si="24"/>
        <v>0.15789990186457312</v>
      </c>
      <c r="K97" s="1"/>
    </row>
    <row r="98" spans="1:11" x14ac:dyDescent="0.25">
      <c r="A98" s="121" t="s">
        <v>101</v>
      </c>
      <c r="B98" s="118" t="s">
        <v>102</v>
      </c>
      <c r="C98" s="152">
        <v>70300</v>
      </c>
      <c r="D98" s="152">
        <v>70300</v>
      </c>
      <c r="E98" s="152">
        <v>70300</v>
      </c>
      <c r="F98" s="762">
        <f>70300+2900</f>
        <v>73200</v>
      </c>
      <c r="G98" s="762">
        <f>70300+2900+12100</f>
        <v>85300</v>
      </c>
      <c r="H98" s="152">
        <f>70300+2900+12100</f>
        <v>85300</v>
      </c>
      <c r="I98" s="152">
        <v>21515</v>
      </c>
      <c r="J98" s="808">
        <f t="shared" si="24"/>
        <v>0.25222743259085578</v>
      </c>
      <c r="K98" s="1"/>
    </row>
    <row r="99" spans="1:11" x14ac:dyDescent="0.25">
      <c r="A99" s="131" t="s">
        <v>103</v>
      </c>
      <c r="B99" s="159" t="s">
        <v>104</v>
      </c>
      <c r="C99" s="163">
        <v>1700</v>
      </c>
      <c r="D99" s="163">
        <v>1700</v>
      </c>
      <c r="E99" s="163">
        <v>1700</v>
      </c>
      <c r="F99" s="163">
        <v>1700</v>
      </c>
      <c r="G99" s="163">
        <v>1700</v>
      </c>
      <c r="H99" s="163">
        <v>1700</v>
      </c>
      <c r="I99" s="163">
        <v>0</v>
      </c>
      <c r="J99" s="808">
        <f t="shared" si="24"/>
        <v>0</v>
      </c>
      <c r="K99" s="1"/>
    </row>
    <row r="100" spans="1:11" ht="15.75" thickBot="1" x14ac:dyDescent="0.3">
      <c r="A100" s="164" t="s">
        <v>105</v>
      </c>
      <c r="B100" s="165" t="s">
        <v>106</v>
      </c>
      <c r="C100" s="168">
        <v>9800</v>
      </c>
      <c r="D100" s="168">
        <v>9800</v>
      </c>
      <c r="E100" s="168">
        <v>9800</v>
      </c>
      <c r="F100" s="168">
        <v>9800</v>
      </c>
      <c r="G100" s="168">
        <v>9800</v>
      </c>
      <c r="H100" s="168">
        <v>9800</v>
      </c>
      <c r="I100" s="168">
        <v>413</v>
      </c>
      <c r="J100" s="808">
        <f t="shared" si="24"/>
        <v>4.2142857142857142E-2</v>
      </c>
      <c r="K100" s="1"/>
    </row>
    <row r="101" spans="1:11" ht="15.75" thickBot="1" x14ac:dyDescent="0.3">
      <c r="A101" s="108" t="s">
        <v>107</v>
      </c>
      <c r="B101" s="144"/>
      <c r="C101" s="110">
        <f t="shared" ref="C101:I101" si="58">SUM(C102:C104)</f>
        <v>259100</v>
      </c>
      <c r="D101" s="110">
        <f t="shared" ref="D101:F101" si="59">SUM(D102:D104)</f>
        <v>259100</v>
      </c>
      <c r="E101" s="110">
        <f t="shared" ref="E101" si="60">SUM(E102:E104)</f>
        <v>259100</v>
      </c>
      <c r="F101" s="110">
        <f t="shared" si="59"/>
        <v>261000</v>
      </c>
      <c r="G101" s="110">
        <f t="shared" ref="G101:H101" si="61">SUM(G102:G104)</f>
        <v>280970</v>
      </c>
      <c r="H101" s="110">
        <f t="shared" si="61"/>
        <v>280970</v>
      </c>
      <c r="I101" s="110">
        <f t="shared" si="58"/>
        <v>56056</v>
      </c>
      <c r="J101" s="808">
        <f t="shared" si="24"/>
        <v>0.1995088443606079</v>
      </c>
      <c r="K101" s="1"/>
    </row>
    <row r="102" spans="1:11" x14ac:dyDescent="0.25">
      <c r="A102" s="145" t="s">
        <v>108</v>
      </c>
      <c r="B102" s="85" t="s">
        <v>109</v>
      </c>
      <c r="C102" s="116">
        <v>181000</v>
      </c>
      <c r="D102" s="116">
        <v>181000</v>
      </c>
      <c r="E102" s="116">
        <v>181000</v>
      </c>
      <c r="F102" s="763">
        <f>181000-18200</f>
        <v>162800</v>
      </c>
      <c r="G102" s="763">
        <f>181000-18200+3780</f>
        <v>166580</v>
      </c>
      <c r="H102" s="116">
        <f>181000-18200+3780</f>
        <v>166580</v>
      </c>
      <c r="I102" s="116">
        <v>29952</v>
      </c>
      <c r="J102" s="808">
        <f t="shared" si="24"/>
        <v>0.17980549885940689</v>
      </c>
      <c r="K102" s="1"/>
    </row>
    <row r="103" spans="1:11" x14ac:dyDescent="0.25">
      <c r="A103" s="170" t="s">
        <v>110</v>
      </c>
      <c r="B103" s="118" t="s">
        <v>111</v>
      </c>
      <c r="C103" s="152">
        <v>58200</v>
      </c>
      <c r="D103" s="152">
        <v>58200</v>
      </c>
      <c r="E103" s="152">
        <v>58200</v>
      </c>
      <c r="F103" s="762">
        <f>58200+15600</f>
        <v>73800</v>
      </c>
      <c r="G103" s="762">
        <f>58200+15600+12400</f>
        <v>86200</v>
      </c>
      <c r="H103" s="152">
        <f>58200+15600+12400</f>
        <v>86200</v>
      </c>
      <c r="I103" s="152">
        <v>22402</v>
      </c>
      <c r="J103" s="808">
        <f t="shared" si="24"/>
        <v>0.25988399071925755</v>
      </c>
      <c r="K103" s="1"/>
    </row>
    <row r="104" spans="1:11" ht="15.75" thickBot="1" x14ac:dyDescent="0.3">
      <c r="A104" s="171" t="s">
        <v>112</v>
      </c>
      <c r="B104" s="165" t="s">
        <v>113</v>
      </c>
      <c r="C104" s="174">
        <v>19900</v>
      </c>
      <c r="D104" s="174">
        <v>19900</v>
      </c>
      <c r="E104" s="174">
        <v>19900</v>
      </c>
      <c r="F104" s="764">
        <f>19900+7500-3000</f>
        <v>24400</v>
      </c>
      <c r="G104" s="764">
        <f>19900+7500-3000+3790</f>
        <v>28190</v>
      </c>
      <c r="H104" s="174">
        <f>19900+7500-3000+3790</f>
        <v>28190</v>
      </c>
      <c r="I104" s="174">
        <v>3702</v>
      </c>
      <c r="J104" s="808">
        <f t="shared" si="24"/>
        <v>0.13132316424263923</v>
      </c>
      <c r="K104" s="1"/>
    </row>
    <row r="105" spans="1:11" ht="15.75" thickBot="1" x14ac:dyDescent="0.3">
      <c r="A105" s="175" t="s">
        <v>114</v>
      </c>
      <c r="B105" s="176"/>
      <c r="C105" s="177">
        <f t="shared" ref="C105:I105" si="62">SUM(C106:C109)</f>
        <v>830</v>
      </c>
      <c r="D105" s="177">
        <f t="shared" ref="D105:F105" si="63">SUM(D106:D109)</f>
        <v>830</v>
      </c>
      <c r="E105" s="177">
        <f t="shared" ref="E105" si="64">SUM(E106:E109)</f>
        <v>830</v>
      </c>
      <c r="F105" s="177">
        <f t="shared" si="63"/>
        <v>830</v>
      </c>
      <c r="G105" s="177">
        <f t="shared" ref="G105:H105" si="65">SUM(G106:G109)</f>
        <v>830</v>
      </c>
      <c r="H105" s="177">
        <f t="shared" si="65"/>
        <v>830</v>
      </c>
      <c r="I105" s="177">
        <f t="shared" si="62"/>
        <v>95</v>
      </c>
      <c r="J105" s="808">
        <f t="shared" si="24"/>
        <v>0.1144578313253012</v>
      </c>
      <c r="K105" s="1"/>
    </row>
    <row r="106" spans="1:11" x14ac:dyDescent="0.25">
      <c r="A106" s="135" t="s">
        <v>115</v>
      </c>
      <c r="B106" s="154" t="s">
        <v>116</v>
      </c>
      <c r="C106" s="181">
        <v>50</v>
      </c>
      <c r="D106" s="181">
        <v>50</v>
      </c>
      <c r="E106" s="181">
        <v>50</v>
      </c>
      <c r="F106" s="181">
        <v>50</v>
      </c>
      <c r="G106" s="181">
        <v>50</v>
      </c>
      <c r="H106" s="181">
        <v>50</v>
      </c>
      <c r="I106" s="181">
        <v>0</v>
      </c>
      <c r="J106" s="808">
        <f t="shared" si="24"/>
        <v>0</v>
      </c>
      <c r="K106" s="1"/>
    </row>
    <row r="107" spans="1:11" x14ac:dyDescent="0.25">
      <c r="A107" s="170" t="s">
        <v>117</v>
      </c>
      <c r="B107" s="118" t="s">
        <v>118</v>
      </c>
      <c r="C107" s="184">
        <v>50</v>
      </c>
      <c r="D107" s="184">
        <v>50</v>
      </c>
      <c r="E107" s="184">
        <v>50</v>
      </c>
      <c r="F107" s="184">
        <v>50</v>
      </c>
      <c r="G107" s="184">
        <v>50</v>
      </c>
      <c r="H107" s="184">
        <v>50</v>
      </c>
      <c r="I107" s="184">
        <v>0</v>
      </c>
      <c r="J107" s="808">
        <f t="shared" si="24"/>
        <v>0</v>
      </c>
      <c r="K107" s="1"/>
    </row>
    <row r="108" spans="1:11" x14ac:dyDescent="0.25">
      <c r="A108" s="170" t="s">
        <v>119</v>
      </c>
      <c r="B108" s="118" t="s">
        <v>120</v>
      </c>
      <c r="C108" s="60">
        <v>730</v>
      </c>
      <c r="D108" s="60">
        <v>730</v>
      </c>
      <c r="E108" s="60">
        <v>730</v>
      </c>
      <c r="F108" s="60">
        <v>730</v>
      </c>
      <c r="G108" s="60">
        <v>730</v>
      </c>
      <c r="H108" s="60">
        <v>730</v>
      </c>
      <c r="I108" s="60">
        <v>95</v>
      </c>
      <c r="J108" s="808">
        <f t="shared" si="24"/>
        <v>0.13013698630136986</v>
      </c>
      <c r="K108" s="1"/>
    </row>
    <row r="109" spans="1:11" ht="15.75" thickBot="1" x14ac:dyDescent="0.3">
      <c r="A109" s="187" t="s">
        <v>121</v>
      </c>
      <c r="B109" s="188" t="s">
        <v>550</v>
      </c>
      <c r="C109" s="191">
        <v>0</v>
      </c>
      <c r="D109" s="191">
        <v>0</v>
      </c>
      <c r="E109" s="191">
        <v>0</v>
      </c>
      <c r="F109" s="191">
        <v>0</v>
      </c>
      <c r="G109" s="191">
        <v>0</v>
      </c>
      <c r="H109" s="191">
        <v>0</v>
      </c>
      <c r="I109" s="191">
        <v>0</v>
      </c>
      <c r="J109" s="808">
        <v>0</v>
      </c>
      <c r="K109" s="1"/>
    </row>
    <row r="110" spans="1:11" ht="15.75" thickBot="1" x14ac:dyDescent="0.3">
      <c r="A110" s="192" t="s">
        <v>122</v>
      </c>
      <c r="B110" s="193"/>
      <c r="C110" s="194">
        <f t="shared" ref="C110:I110" si="66">SUM(C111:C115)</f>
        <v>123600</v>
      </c>
      <c r="D110" s="194">
        <f t="shared" ref="D110:F110" si="67">SUM(D111:D115)</f>
        <v>123600</v>
      </c>
      <c r="E110" s="194">
        <f t="shared" ref="E110" si="68">SUM(E111:E115)</f>
        <v>123601</v>
      </c>
      <c r="F110" s="194">
        <f t="shared" si="67"/>
        <v>124901</v>
      </c>
      <c r="G110" s="194">
        <f t="shared" ref="G110:H110" si="69">SUM(G111:G115)</f>
        <v>134341</v>
      </c>
      <c r="H110" s="194">
        <f t="shared" si="69"/>
        <v>147041</v>
      </c>
      <c r="I110" s="194">
        <f t="shared" si="66"/>
        <v>25818</v>
      </c>
      <c r="J110" s="808">
        <f t="shared" si="24"/>
        <v>0.17558368074210595</v>
      </c>
      <c r="K110" s="1"/>
    </row>
    <row r="111" spans="1:11" x14ac:dyDescent="0.25">
      <c r="A111" s="153" t="s">
        <v>123</v>
      </c>
      <c r="B111" s="154" t="s">
        <v>124</v>
      </c>
      <c r="C111" s="139">
        <f>48000-3000</f>
        <v>45000</v>
      </c>
      <c r="D111" s="139">
        <f>48000-3000</f>
        <v>45000</v>
      </c>
      <c r="E111" s="139">
        <f>48000-3000</f>
        <v>45000</v>
      </c>
      <c r="F111" s="761">
        <f>48000-3000+1700</f>
        <v>46700</v>
      </c>
      <c r="G111" s="761">
        <f>48000-3000+1700+8920</f>
        <v>55620</v>
      </c>
      <c r="H111" s="761">
        <f>48000-3000+1700+8920+200</f>
        <v>55820</v>
      </c>
      <c r="I111" s="139">
        <v>14312</v>
      </c>
      <c r="J111" s="808">
        <f t="shared" si="24"/>
        <v>0.25639555714797563</v>
      </c>
      <c r="K111" s="1"/>
    </row>
    <row r="112" spans="1:11" x14ac:dyDescent="0.25">
      <c r="A112" s="196" t="s">
        <v>125</v>
      </c>
      <c r="B112" s="197" t="s">
        <v>126</v>
      </c>
      <c r="C112" s="55">
        <v>47700</v>
      </c>
      <c r="D112" s="55">
        <v>47700</v>
      </c>
      <c r="E112" s="55">
        <v>47700</v>
      </c>
      <c r="F112" s="743">
        <f>47700-1000+500+1600</f>
        <v>48800</v>
      </c>
      <c r="G112" s="743">
        <f>47700-1000+500+1600+540-340</f>
        <v>49000</v>
      </c>
      <c r="H112" s="743">
        <f>47700-1000+500+1600+540-340+12000</f>
        <v>61000</v>
      </c>
      <c r="I112" s="55">
        <v>8839</v>
      </c>
      <c r="J112" s="808">
        <f t="shared" si="24"/>
        <v>0.14490163934426228</v>
      </c>
      <c r="K112" s="1"/>
    </row>
    <row r="113" spans="1:12" x14ac:dyDescent="0.25">
      <c r="A113" s="196" t="s">
        <v>127</v>
      </c>
      <c r="B113" s="85" t="s">
        <v>128</v>
      </c>
      <c r="C113" s="55">
        <v>5900</v>
      </c>
      <c r="D113" s="55">
        <v>5900</v>
      </c>
      <c r="E113" s="55">
        <v>5900</v>
      </c>
      <c r="F113" s="55">
        <v>5900</v>
      </c>
      <c r="G113" s="55">
        <v>5900</v>
      </c>
      <c r="H113" s="743">
        <f>5900+500</f>
        <v>6400</v>
      </c>
      <c r="I113" s="55">
        <v>1361</v>
      </c>
      <c r="J113" s="808">
        <f t="shared" si="24"/>
        <v>0.21265624999999999</v>
      </c>
      <c r="K113" s="1"/>
    </row>
    <row r="114" spans="1:12" x14ac:dyDescent="0.25">
      <c r="A114" s="196" t="s">
        <v>129</v>
      </c>
      <c r="B114" s="85" t="s">
        <v>130</v>
      </c>
      <c r="C114" s="55">
        <v>20000</v>
      </c>
      <c r="D114" s="55">
        <f>20000</f>
        <v>20000</v>
      </c>
      <c r="E114" s="743">
        <f>20000+1</f>
        <v>20001</v>
      </c>
      <c r="F114" s="743">
        <f>20000+1-1500</f>
        <v>18501</v>
      </c>
      <c r="G114" s="743">
        <f>20000+1-1500+320</f>
        <v>18821</v>
      </c>
      <c r="H114" s="55">
        <f>20000+1-1500+320</f>
        <v>18821</v>
      </c>
      <c r="I114" s="55">
        <v>1306</v>
      </c>
      <c r="J114" s="808">
        <f t="shared" si="24"/>
        <v>6.9390574358429408E-2</v>
      </c>
      <c r="K114" s="1"/>
    </row>
    <row r="115" spans="1:12" ht="15.75" thickBot="1" x14ac:dyDescent="0.3">
      <c r="A115" s="164" t="s">
        <v>131</v>
      </c>
      <c r="B115" s="165" t="s">
        <v>132</v>
      </c>
      <c r="C115" s="186">
        <v>5000</v>
      </c>
      <c r="D115" s="186">
        <v>5000</v>
      </c>
      <c r="E115" s="186">
        <v>5000</v>
      </c>
      <c r="F115" s="186">
        <v>5000</v>
      </c>
      <c r="G115" s="186">
        <v>5000</v>
      </c>
      <c r="H115" s="186">
        <v>5000</v>
      </c>
      <c r="I115" s="186">
        <v>0</v>
      </c>
      <c r="J115" s="808">
        <f t="shared" si="24"/>
        <v>0</v>
      </c>
      <c r="K115" s="1"/>
    </row>
    <row r="116" spans="1:12" ht="15.75" thickBot="1" x14ac:dyDescent="0.3">
      <c r="A116" s="129" t="s">
        <v>133</v>
      </c>
      <c r="B116" s="130"/>
      <c r="C116" s="110">
        <f>SUM(C117:C123)</f>
        <v>421600</v>
      </c>
      <c r="D116" s="110">
        <f>SUM(D117:D123)</f>
        <v>421600</v>
      </c>
      <c r="E116" s="110">
        <f>SUM(E117:E123)</f>
        <v>429490</v>
      </c>
      <c r="F116" s="110">
        <f>SUM(F117:F123)</f>
        <v>422590</v>
      </c>
      <c r="G116" s="110">
        <f t="shared" ref="G116:H116" si="70">SUM(G117:G123)</f>
        <v>428225</v>
      </c>
      <c r="H116" s="110">
        <f t="shared" si="70"/>
        <v>433525</v>
      </c>
      <c r="I116" s="110">
        <f>SUM(I117:I123)</f>
        <v>84171</v>
      </c>
      <c r="J116" s="808">
        <f t="shared" si="24"/>
        <v>0.19415489302808372</v>
      </c>
      <c r="K116" s="1"/>
    </row>
    <row r="117" spans="1:12" x14ac:dyDescent="0.25">
      <c r="A117" s="200" t="s">
        <v>134</v>
      </c>
      <c r="B117" s="201" t="s">
        <v>135</v>
      </c>
      <c r="C117" s="205">
        <v>188100</v>
      </c>
      <c r="D117" s="205">
        <f>188100</f>
        <v>188100</v>
      </c>
      <c r="E117" s="744">
        <f>188100+7200</f>
        <v>195300</v>
      </c>
      <c r="F117" s="744">
        <f>188100+7200-6900</f>
        <v>188400</v>
      </c>
      <c r="G117" s="744">
        <f>188100+7200-6900+1055</f>
        <v>189455</v>
      </c>
      <c r="H117" s="205">
        <f>188100+7200-6900+1055</f>
        <v>189455</v>
      </c>
      <c r="I117" s="205">
        <v>37562</v>
      </c>
      <c r="J117" s="808">
        <f t="shared" si="24"/>
        <v>0.19826343986698688</v>
      </c>
      <c r="K117" s="1"/>
    </row>
    <row r="118" spans="1:12" x14ac:dyDescent="0.25">
      <c r="A118" s="209" t="s">
        <v>140</v>
      </c>
      <c r="B118" s="210" t="s">
        <v>141</v>
      </c>
      <c r="C118" s="61">
        <v>3600</v>
      </c>
      <c r="D118" s="61">
        <v>3600</v>
      </c>
      <c r="E118" s="61">
        <v>3600</v>
      </c>
      <c r="F118" s="61">
        <v>3600</v>
      </c>
      <c r="G118" s="61">
        <v>3600</v>
      </c>
      <c r="H118" s="61">
        <v>3600</v>
      </c>
      <c r="I118" s="61">
        <v>990</v>
      </c>
      <c r="J118" s="808">
        <f t="shared" si="24"/>
        <v>0.27500000000000002</v>
      </c>
      <c r="K118" s="1"/>
    </row>
    <row r="119" spans="1:12" x14ac:dyDescent="0.25">
      <c r="A119" s="209" t="s">
        <v>142</v>
      </c>
      <c r="B119" s="210" t="s">
        <v>143</v>
      </c>
      <c r="C119" s="61">
        <v>29400</v>
      </c>
      <c r="D119" s="61">
        <v>29400</v>
      </c>
      <c r="E119" s="61">
        <v>29400</v>
      </c>
      <c r="F119" s="61">
        <v>29400</v>
      </c>
      <c r="G119" s="61">
        <v>29400</v>
      </c>
      <c r="H119" s="61">
        <v>29400</v>
      </c>
      <c r="I119" s="61">
        <v>6061</v>
      </c>
      <c r="J119" s="808">
        <f t="shared" si="24"/>
        <v>0.20615646258503401</v>
      </c>
      <c r="K119" s="1"/>
    </row>
    <row r="120" spans="1:12" x14ac:dyDescent="0.25">
      <c r="A120" s="209" t="s">
        <v>144</v>
      </c>
      <c r="B120" s="210" t="s">
        <v>145</v>
      </c>
      <c r="C120" s="60">
        <v>32800</v>
      </c>
      <c r="D120" s="60">
        <v>32800</v>
      </c>
      <c r="E120" s="60">
        <v>32800</v>
      </c>
      <c r="F120" s="60">
        <v>32800</v>
      </c>
      <c r="G120" s="60">
        <v>32800</v>
      </c>
      <c r="H120" s="60">
        <v>32800</v>
      </c>
      <c r="I120" s="60">
        <v>6077</v>
      </c>
      <c r="J120" s="808">
        <f t="shared" si="24"/>
        <v>0.18527439024390244</v>
      </c>
      <c r="K120" s="1"/>
    </row>
    <row r="121" spans="1:12" x14ac:dyDescent="0.25">
      <c r="A121" s="209" t="s">
        <v>146</v>
      </c>
      <c r="B121" s="210" t="s">
        <v>230</v>
      </c>
      <c r="C121" s="60">
        <f>147700</f>
        <v>147700</v>
      </c>
      <c r="D121" s="60">
        <f>147700</f>
        <v>147700</v>
      </c>
      <c r="E121" s="745">
        <f>147700+690</f>
        <v>148390</v>
      </c>
      <c r="F121" s="60">
        <f>147700+690</f>
        <v>148390</v>
      </c>
      <c r="G121" s="745">
        <f>147700+690+4080</f>
        <v>152470</v>
      </c>
      <c r="H121" s="745">
        <f>147700+690+4080+5300</f>
        <v>157770</v>
      </c>
      <c r="I121" s="60">
        <v>31533</v>
      </c>
      <c r="J121" s="808">
        <f t="shared" si="24"/>
        <v>0.19986689484692907</v>
      </c>
      <c r="K121" s="27">
        <f>SUM(C119:C121)</f>
        <v>209900</v>
      </c>
      <c r="L121" s="27"/>
    </row>
    <row r="122" spans="1:12" x14ac:dyDescent="0.25">
      <c r="A122" s="211" t="s">
        <v>147</v>
      </c>
      <c r="B122" s="210" t="s">
        <v>231</v>
      </c>
      <c r="C122" s="215">
        <v>13000</v>
      </c>
      <c r="D122" s="215">
        <v>13000</v>
      </c>
      <c r="E122" s="215">
        <v>13000</v>
      </c>
      <c r="F122" s="215">
        <v>13000</v>
      </c>
      <c r="G122" s="791">
        <f>13000+500</f>
        <v>13500</v>
      </c>
      <c r="H122" s="215">
        <f>13000+500</f>
        <v>13500</v>
      </c>
      <c r="I122" s="215">
        <v>1948</v>
      </c>
      <c r="J122" s="808">
        <f t="shared" si="24"/>
        <v>0.14429629629629628</v>
      </c>
      <c r="K122" s="1"/>
    </row>
    <row r="123" spans="1:12" ht="15.75" thickBot="1" x14ac:dyDescent="0.3">
      <c r="A123" s="209" t="s">
        <v>148</v>
      </c>
      <c r="B123" s="210" t="s">
        <v>253</v>
      </c>
      <c r="C123" s="215">
        <v>7000</v>
      </c>
      <c r="D123" s="215">
        <v>7000</v>
      </c>
      <c r="E123" s="215">
        <v>7000</v>
      </c>
      <c r="F123" s="215">
        <v>7000</v>
      </c>
      <c r="G123" s="215">
        <v>7000</v>
      </c>
      <c r="H123" s="215">
        <v>7000</v>
      </c>
      <c r="I123" s="215">
        <v>0</v>
      </c>
      <c r="J123" s="808">
        <f t="shared" si="24"/>
        <v>0</v>
      </c>
      <c r="K123" s="1"/>
    </row>
    <row r="124" spans="1:12" ht="15.75" thickBot="1" x14ac:dyDescent="0.3">
      <c r="A124" s="108" t="s">
        <v>149</v>
      </c>
      <c r="B124" s="109"/>
      <c r="C124" s="112">
        <f t="shared" ref="C124:I124" si="71">SUM(C125:C129)</f>
        <v>380400</v>
      </c>
      <c r="D124" s="112">
        <f t="shared" ref="D124:F124" si="72">SUM(D125:D129)</f>
        <v>380400</v>
      </c>
      <c r="E124" s="112">
        <f t="shared" ref="E124" si="73">SUM(E125:E129)</f>
        <v>406100</v>
      </c>
      <c r="F124" s="112">
        <f t="shared" si="72"/>
        <v>406300</v>
      </c>
      <c r="G124" s="112">
        <f t="shared" ref="G124:H124" si="74">SUM(G125:G129)</f>
        <v>406860</v>
      </c>
      <c r="H124" s="112">
        <f t="shared" si="74"/>
        <v>423160</v>
      </c>
      <c r="I124" s="112">
        <f t="shared" si="71"/>
        <v>85456</v>
      </c>
      <c r="J124" s="808">
        <f t="shared" si="24"/>
        <v>0.20194725399376123</v>
      </c>
      <c r="K124" s="1"/>
    </row>
    <row r="125" spans="1:12" x14ac:dyDescent="0.25">
      <c r="A125" s="196" t="s">
        <v>150</v>
      </c>
      <c r="B125" s="85" t="s">
        <v>499</v>
      </c>
      <c r="C125" s="55">
        <v>322000</v>
      </c>
      <c r="D125" s="55">
        <v>322000</v>
      </c>
      <c r="E125" s="743">
        <f>322000+26200-670</f>
        <v>347530</v>
      </c>
      <c r="F125" s="743">
        <f>322000+26200-670+1800-1600</f>
        <v>347730</v>
      </c>
      <c r="G125" s="743">
        <f>322000+26200-670+1800-1600+400+160</f>
        <v>348290</v>
      </c>
      <c r="H125" s="55">
        <f>322000+26200-670+1800-1600+400+160</f>
        <v>348290</v>
      </c>
      <c r="I125" s="55">
        <v>76282</v>
      </c>
      <c r="J125" s="808">
        <f t="shared" si="24"/>
        <v>0.21901863389703982</v>
      </c>
      <c r="K125" s="1"/>
      <c r="L125" s="404"/>
    </row>
    <row r="126" spans="1:12" x14ac:dyDescent="0.25">
      <c r="A126" s="196" t="s">
        <v>151</v>
      </c>
      <c r="B126" s="85" t="s">
        <v>606</v>
      </c>
      <c r="C126" s="55">
        <v>500</v>
      </c>
      <c r="D126" s="55">
        <v>500</v>
      </c>
      <c r="E126" s="743">
        <f>500+170</f>
        <v>670</v>
      </c>
      <c r="F126" s="55">
        <f>500+170</f>
        <v>670</v>
      </c>
      <c r="G126" s="55">
        <f t="shared" ref="G126" si="75">500+170</f>
        <v>670</v>
      </c>
      <c r="H126" s="743">
        <f>500+170+300</f>
        <v>970</v>
      </c>
      <c r="I126" s="55">
        <v>249</v>
      </c>
      <c r="J126" s="808">
        <f t="shared" si="24"/>
        <v>0.25670103092783503</v>
      </c>
      <c r="K126" s="1"/>
      <c r="L126" s="404"/>
    </row>
    <row r="127" spans="1:12" x14ac:dyDescent="0.25">
      <c r="A127" s="121" t="s">
        <v>153</v>
      </c>
      <c r="B127" s="118" t="s">
        <v>154</v>
      </c>
      <c r="C127" s="60">
        <v>56900</v>
      </c>
      <c r="D127" s="60">
        <v>56900</v>
      </c>
      <c r="E127" s="60">
        <v>56900</v>
      </c>
      <c r="F127" s="60">
        <v>56900</v>
      </c>
      <c r="G127" s="60">
        <v>56900</v>
      </c>
      <c r="H127" s="745">
        <f>56900+16000</f>
        <v>72900</v>
      </c>
      <c r="I127" s="60">
        <v>8925</v>
      </c>
      <c r="J127" s="808">
        <f t="shared" si="24"/>
        <v>0.12242798353909465</v>
      </c>
      <c r="K127" s="1"/>
    </row>
    <row r="128" spans="1:12" x14ac:dyDescent="0.25">
      <c r="A128" s="121" t="s">
        <v>155</v>
      </c>
      <c r="B128" s="118" t="s">
        <v>156</v>
      </c>
      <c r="C128" s="60">
        <v>500</v>
      </c>
      <c r="D128" s="60">
        <v>500</v>
      </c>
      <c r="E128" s="60">
        <v>500</v>
      </c>
      <c r="F128" s="60">
        <v>500</v>
      </c>
      <c r="G128" s="60">
        <v>500</v>
      </c>
      <c r="H128" s="60">
        <v>500</v>
      </c>
      <c r="I128" s="60">
        <v>0</v>
      </c>
      <c r="J128" s="808">
        <f t="shared" si="24"/>
        <v>0</v>
      </c>
      <c r="K128" s="1"/>
    </row>
    <row r="129" spans="1:16" ht="15.75" thickBot="1" x14ac:dyDescent="0.3">
      <c r="A129" s="164" t="s">
        <v>157</v>
      </c>
      <c r="B129" s="165" t="s">
        <v>158</v>
      </c>
      <c r="C129" s="186">
        <v>500</v>
      </c>
      <c r="D129" s="186">
        <v>500</v>
      </c>
      <c r="E129" s="186">
        <v>500</v>
      </c>
      <c r="F129" s="186">
        <v>500</v>
      </c>
      <c r="G129" s="186">
        <v>500</v>
      </c>
      <c r="H129" s="186">
        <v>500</v>
      </c>
      <c r="I129" s="186">
        <v>0</v>
      </c>
      <c r="J129" s="808">
        <f t="shared" si="24"/>
        <v>0</v>
      </c>
      <c r="K129" s="1"/>
    </row>
    <row r="130" spans="1:16" ht="16.5" thickBot="1" x14ac:dyDescent="0.3">
      <c r="A130" s="216" t="s">
        <v>159</v>
      </c>
      <c r="B130" s="176"/>
      <c r="C130" s="219">
        <f>SUM(C81+C87+C89+C92+C96+C101+C105+C110+C116+C124)</f>
        <v>1766360</v>
      </c>
      <c r="D130" s="219">
        <f>SUM(D81+D87+D89+D92+D96+D101+D105+D110+D116+D124)</f>
        <v>1766440</v>
      </c>
      <c r="E130" s="219">
        <f>SUM(E81+E87+E89+E92+E96+E101+E105+E110+E116+E124)</f>
        <v>1799661</v>
      </c>
      <c r="F130" s="219">
        <f>SUM(F81+F87+F89+F92+F96+F101+F105+F110+F116+F124)</f>
        <v>1800161</v>
      </c>
      <c r="G130" s="219">
        <f t="shared" ref="G130:H130" si="76">SUM(G81+G87+G89+G92+G96+G101+G105+G110+G116+G124)</f>
        <v>1861746</v>
      </c>
      <c r="H130" s="219">
        <f t="shared" si="76"/>
        <v>1899556</v>
      </c>
      <c r="I130" s="219">
        <f>SUM(I81+I87+I89+I92+I96+I101+I105+I110+I116+I124)</f>
        <v>379222</v>
      </c>
      <c r="J130" s="808">
        <f t="shared" si="24"/>
        <v>0.1996371783722091</v>
      </c>
      <c r="K130" s="27">
        <f t="shared" ref="K130:K141" si="77">D130-C130</f>
        <v>80</v>
      </c>
      <c r="L130" s="27">
        <f t="shared" ref="L130:L141" si="78">E130-D130</f>
        <v>33221</v>
      </c>
      <c r="M130" s="27">
        <f t="shared" ref="M130:M141" si="79">F130-E130</f>
        <v>500</v>
      </c>
      <c r="N130" s="27">
        <f t="shared" ref="N130:N141" si="80">G130-F130</f>
        <v>61585</v>
      </c>
      <c r="O130" s="27">
        <f t="shared" ref="O130:O141" si="81">H130-G130</f>
        <v>37810</v>
      </c>
      <c r="P130" s="27"/>
    </row>
    <row r="131" spans="1:16" x14ac:dyDescent="0.25">
      <c r="A131" s="220" t="s">
        <v>160</v>
      </c>
      <c r="B131" s="221" t="s">
        <v>161</v>
      </c>
      <c r="C131" s="224">
        <f t="shared" ref="C131:I131" si="82">C68</f>
        <v>571450</v>
      </c>
      <c r="D131" s="224">
        <f t="shared" si="82"/>
        <v>571450</v>
      </c>
      <c r="E131" s="224">
        <f t="shared" si="82"/>
        <v>629449</v>
      </c>
      <c r="F131" s="224">
        <f t="shared" si="82"/>
        <v>629449</v>
      </c>
      <c r="G131" s="224">
        <f t="shared" si="82"/>
        <v>629449</v>
      </c>
      <c r="H131" s="224">
        <f t="shared" si="82"/>
        <v>629449</v>
      </c>
      <c r="I131" s="224">
        <f t="shared" si="82"/>
        <v>165903</v>
      </c>
      <c r="J131" s="808">
        <f t="shared" si="24"/>
        <v>0.26356861318391167</v>
      </c>
      <c r="K131" s="27">
        <f t="shared" si="77"/>
        <v>0</v>
      </c>
      <c r="L131" s="27">
        <f t="shared" si="78"/>
        <v>57999</v>
      </c>
      <c r="M131" s="27">
        <f t="shared" si="79"/>
        <v>0</v>
      </c>
      <c r="N131" s="27">
        <f t="shared" si="80"/>
        <v>0</v>
      </c>
      <c r="O131" s="27">
        <f t="shared" si="81"/>
        <v>0</v>
      </c>
      <c r="P131" s="27"/>
    </row>
    <row r="132" spans="1:16" x14ac:dyDescent="0.25">
      <c r="A132" s="225" t="s">
        <v>160</v>
      </c>
      <c r="B132" s="226" t="s">
        <v>162</v>
      </c>
      <c r="C132" s="229">
        <f t="shared" ref="C132:I132" si="83">C70</f>
        <v>2450</v>
      </c>
      <c r="D132" s="229">
        <f t="shared" si="83"/>
        <v>2450</v>
      </c>
      <c r="E132" s="229">
        <f t="shared" si="83"/>
        <v>2450</v>
      </c>
      <c r="F132" s="229">
        <f t="shared" si="83"/>
        <v>2450</v>
      </c>
      <c r="G132" s="229">
        <f t="shared" si="83"/>
        <v>2450</v>
      </c>
      <c r="H132" s="229">
        <f t="shared" si="83"/>
        <v>2450</v>
      </c>
      <c r="I132" s="229">
        <f t="shared" si="83"/>
        <v>41</v>
      </c>
      <c r="J132" s="808">
        <f t="shared" ref="J132:J191" si="84">I132/H132</f>
        <v>1.673469387755102E-2</v>
      </c>
      <c r="K132" s="27">
        <f t="shared" si="77"/>
        <v>0</v>
      </c>
      <c r="L132" s="27">
        <f t="shared" si="78"/>
        <v>0</v>
      </c>
      <c r="M132" s="27">
        <f t="shared" si="79"/>
        <v>0</v>
      </c>
      <c r="N132" s="27">
        <f t="shared" si="80"/>
        <v>0</v>
      </c>
      <c r="O132" s="27">
        <f t="shared" si="81"/>
        <v>0</v>
      </c>
      <c r="P132" s="27"/>
    </row>
    <row r="133" spans="1:16" x14ac:dyDescent="0.25">
      <c r="A133" s="235" t="s">
        <v>140</v>
      </c>
      <c r="B133" s="236" t="s">
        <v>165</v>
      </c>
      <c r="C133" s="239">
        <v>35400</v>
      </c>
      <c r="D133" s="239">
        <v>35400</v>
      </c>
      <c r="E133" s="239">
        <v>35400</v>
      </c>
      <c r="F133" s="239">
        <v>35400</v>
      </c>
      <c r="G133" s="239">
        <v>35400</v>
      </c>
      <c r="H133" s="239">
        <v>35400</v>
      </c>
      <c r="I133" s="239">
        <v>12100</v>
      </c>
      <c r="J133" s="808">
        <f t="shared" si="84"/>
        <v>0.34180790960451979</v>
      </c>
      <c r="K133" s="27">
        <f t="shared" si="77"/>
        <v>0</v>
      </c>
      <c r="L133" s="27">
        <f t="shared" si="78"/>
        <v>0</v>
      </c>
      <c r="M133" s="27">
        <f t="shared" si="79"/>
        <v>0</v>
      </c>
      <c r="N133" s="27">
        <f t="shared" si="80"/>
        <v>0</v>
      </c>
      <c r="O133" s="27">
        <f t="shared" si="81"/>
        <v>0</v>
      </c>
      <c r="P133" s="27"/>
    </row>
    <row r="134" spans="1:16" ht="15.75" thickBot="1" x14ac:dyDescent="0.3">
      <c r="A134" s="225" t="s">
        <v>140</v>
      </c>
      <c r="B134" s="226" t="s">
        <v>166</v>
      </c>
      <c r="C134" s="229">
        <f t="shared" ref="C134:I134" si="85">C71</f>
        <v>2600</v>
      </c>
      <c r="D134" s="229">
        <f t="shared" si="85"/>
        <v>2600</v>
      </c>
      <c r="E134" s="229">
        <f t="shared" si="85"/>
        <v>2600</v>
      </c>
      <c r="F134" s="229">
        <f t="shared" si="85"/>
        <v>2600</v>
      </c>
      <c r="G134" s="229">
        <f t="shared" si="85"/>
        <v>2600</v>
      </c>
      <c r="H134" s="229">
        <f t="shared" si="85"/>
        <v>2600</v>
      </c>
      <c r="I134" s="229">
        <f t="shared" si="85"/>
        <v>450</v>
      </c>
      <c r="J134" s="808">
        <f t="shared" si="84"/>
        <v>0.17307692307692307</v>
      </c>
      <c r="K134" s="27">
        <f t="shared" si="77"/>
        <v>0</v>
      </c>
      <c r="L134" s="27">
        <f t="shared" si="78"/>
        <v>0</v>
      </c>
      <c r="M134" s="27">
        <f t="shared" si="79"/>
        <v>0</v>
      </c>
      <c r="N134" s="27">
        <f t="shared" si="80"/>
        <v>0</v>
      </c>
      <c r="O134" s="27">
        <f t="shared" si="81"/>
        <v>0</v>
      </c>
      <c r="P134" s="27"/>
    </row>
    <row r="135" spans="1:16" ht="15.75" thickBot="1" x14ac:dyDescent="0.3">
      <c r="A135" s="891" t="s">
        <v>167</v>
      </c>
      <c r="B135" s="892"/>
      <c r="C135" s="242">
        <f t="shared" ref="C135:I135" si="86">SUM(C131:C134)</f>
        <v>611900</v>
      </c>
      <c r="D135" s="242">
        <f t="shared" si="86"/>
        <v>611900</v>
      </c>
      <c r="E135" s="242">
        <f t="shared" si="86"/>
        <v>669899</v>
      </c>
      <c r="F135" s="242">
        <f t="shared" si="86"/>
        <v>669899</v>
      </c>
      <c r="G135" s="242">
        <f t="shared" si="86"/>
        <v>669899</v>
      </c>
      <c r="H135" s="242">
        <f t="shared" si="86"/>
        <v>669899</v>
      </c>
      <c r="I135" s="242">
        <f t="shared" si="86"/>
        <v>178494</v>
      </c>
      <c r="J135" s="808">
        <f t="shared" si="84"/>
        <v>0.26644912143472377</v>
      </c>
      <c r="K135" s="27">
        <f t="shared" si="77"/>
        <v>0</v>
      </c>
      <c r="L135" s="27">
        <f t="shared" si="78"/>
        <v>57999</v>
      </c>
      <c r="M135" s="27">
        <f t="shared" si="79"/>
        <v>0</v>
      </c>
      <c r="N135" s="27">
        <f t="shared" si="80"/>
        <v>0</v>
      </c>
      <c r="O135" s="27">
        <f t="shared" si="81"/>
        <v>0</v>
      </c>
      <c r="P135" s="27"/>
    </row>
    <row r="136" spans="1:16" x14ac:dyDescent="0.25">
      <c r="A136" s="243" t="s">
        <v>140</v>
      </c>
      <c r="B136" s="244" t="s">
        <v>168</v>
      </c>
      <c r="C136" s="247">
        <f>278720+13000</f>
        <v>291720</v>
      </c>
      <c r="D136" s="247">
        <f>278720+13000</f>
        <v>291720</v>
      </c>
      <c r="E136" s="247">
        <f>278720+13000</f>
        <v>291720</v>
      </c>
      <c r="F136" s="247">
        <f>278720+13000</f>
        <v>291720</v>
      </c>
      <c r="G136" s="247">
        <f t="shared" ref="G136:H136" si="87">278720+13000</f>
        <v>291720</v>
      </c>
      <c r="H136" s="247">
        <f t="shared" si="87"/>
        <v>291720</v>
      </c>
      <c r="I136" s="247">
        <v>72930</v>
      </c>
      <c r="J136" s="808">
        <f t="shared" si="84"/>
        <v>0.25</v>
      </c>
      <c r="K136" s="27">
        <f t="shared" si="77"/>
        <v>0</v>
      </c>
      <c r="L136" s="27">
        <f t="shared" si="78"/>
        <v>0</v>
      </c>
      <c r="M136" s="27">
        <f t="shared" si="79"/>
        <v>0</v>
      </c>
      <c r="N136" s="27">
        <f t="shared" si="80"/>
        <v>0</v>
      </c>
      <c r="O136" s="27">
        <f t="shared" si="81"/>
        <v>0</v>
      </c>
      <c r="P136" s="27"/>
    </row>
    <row r="137" spans="1:16" x14ac:dyDescent="0.25">
      <c r="A137" s="248" t="s">
        <v>140</v>
      </c>
      <c r="B137" s="249" t="s">
        <v>551</v>
      </c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808">
        <v>0</v>
      </c>
      <c r="K137" s="27">
        <f t="shared" si="77"/>
        <v>0</v>
      </c>
      <c r="L137" s="27">
        <f t="shared" si="78"/>
        <v>0</v>
      </c>
      <c r="M137" s="27">
        <f t="shared" si="79"/>
        <v>0</v>
      </c>
      <c r="N137" s="27">
        <f t="shared" si="80"/>
        <v>0</v>
      </c>
      <c r="O137" s="27">
        <f t="shared" si="81"/>
        <v>0</v>
      </c>
      <c r="P137" s="27"/>
    </row>
    <row r="138" spans="1:16" ht="15.75" thickBot="1" x14ac:dyDescent="0.3">
      <c r="A138" s="248" t="s">
        <v>140</v>
      </c>
      <c r="B138" s="249" t="s">
        <v>169</v>
      </c>
      <c r="C138" s="93">
        <f t="shared" ref="C138:I138" si="88">C73</f>
        <v>10980</v>
      </c>
      <c r="D138" s="93">
        <f t="shared" si="88"/>
        <v>10980</v>
      </c>
      <c r="E138" s="93">
        <f t="shared" si="88"/>
        <v>10980</v>
      </c>
      <c r="F138" s="93">
        <f t="shared" si="88"/>
        <v>10980</v>
      </c>
      <c r="G138" s="93">
        <f t="shared" si="88"/>
        <v>10980</v>
      </c>
      <c r="H138" s="93">
        <f t="shared" si="88"/>
        <v>10980</v>
      </c>
      <c r="I138" s="93">
        <f t="shared" si="88"/>
        <v>6025</v>
      </c>
      <c r="J138" s="808">
        <f t="shared" si="84"/>
        <v>0.54872495446265934</v>
      </c>
      <c r="K138" s="27">
        <f t="shared" si="77"/>
        <v>0</v>
      </c>
      <c r="L138" s="27">
        <f t="shared" si="78"/>
        <v>0</v>
      </c>
      <c r="M138" s="27">
        <f t="shared" si="79"/>
        <v>0</v>
      </c>
      <c r="N138" s="27">
        <f t="shared" si="80"/>
        <v>0</v>
      </c>
      <c r="O138" s="27">
        <f t="shared" si="81"/>
        <v>0</v>
      </c>
      <c r="P138" s="27"/>
    </row>
    <row r="139" spans="1:16" ht="15.75" thickBot="1" x14ac:dyDescent="0.3">
      <c r="A139" s="874" t="s">
        <v>170</v>
      </c>
      <c r="B139" s="875"/>
      <c r="C139" s="254">
        <f t="shared" ref="C139:I139" si="89">SUM(C136:C138)</f>
        <v>302700</v>
      </c>
      <c r="D139" s="254">
        <f t="shared" ref="D139:F139" si="90">SUM(D136:D138)</f>
        <v>302700</v>
      </c>
      <c r="E139" s="254">
        <f t="shared" ref="E139" si="91">SUM(E136:E138)</f>
        <v>302700</v>
      </c>
      <c r="F139" s="254">
        <f t="shared" si="90"/>
        <v>302700</v>
      </c>
      <c r="G139" s="254">
        <f t="shared" ref="G139:H139" si="92">SUM(G136:G138)</f>
        <v>302700</v>
      </c>
      <c r="H139" s="254">
        <f t="shared" si="92"/>
        <v>302700</v>
      </c>
      <c r="I139" s="254">
        <f t="shared" si="89"/>
        <v>78955</v>
      </c>
      <c r="J139" s="808">
        <f t="shared" si="84"/>
        <v>0.26083581103402709</v>
      </c>
      <c r="K139" s="27">
        <f t="shared" si="77"/>
        <v>0</v>
      </c>
      <c r="L139" s="27">
        <f t="shared" si="78"/>
        <v>0</v>
      </c>
      <c r="M139" s="27">
        <f t="shared" si="79"/>
        <v>0</v>
      </c>
      <c r="N139" s="27">
        <f t="shared" si="80"/>
        <v>0</v>
      </c>
      <c r="O139" s="27">
        <f t="shared" si="81"/>
        <v>0</v>
      </c>
      <c r="P139" s="27"/>
    </row>
    <row r="140" spans="1:16" ht="15.75" thickBot="1" x14ac:dyDescent="0.3">
      <c r="A140" s="860" t="s">
        <v>171</v>
      </c>
      <c r="B140" s="861"/>
      <c r="C140" s="257">
        <f t="shared" ref="C140:I140" si="93">C135+C139</f>
        <v>914600</v>
      </c>
      <c r="D140" s="257">
        <f t="shared" ref="D140:F140" si="94">D135+D139</f>
        <v>914600</v>
      </c>
      <c r="E140" s="257">
        <f t="shared" ref="E140" si="95">E135+E139</f>
        <v>972599</v>
      </c>
      <c r="F140" s="257">
        <f t="shared" si="94"/>
        <v>972599</v>
      </c>
      <c r="G140" s="257">
        <f t="shared" ref="G140:H140" si="96">G135+G139</f>
        <v>972599</v>
      </c>
      <c r="H140" s="257">
        <f t="shared" si="96"/>
        <v>972599</v>
      </c>
      <c r="I140" s="257">
        <f t="shared" si="93"/>
        <v>257449</v>
      </c>
      <c r="J140" s="808">
        <f t="shared" si="84"/>
        <v>0.26470210230526658</v>
      </c>
      <c r="K140" s="27">
        <f t="shared" si="77"/>
        <v>0</v>
      </c>
      <c r="L140" s="27">
        <f t="shared" si="78"/>
        <v>57999</v>
      </c>
      <c r="M140" s="27">
        <f t="shared" si="79"/>
        <v>0</v>
      </c>
      <c r="N140" s="27">
        <f t="shared" si="80"/>
        <v>0</v>
      </c>
      <c r="O140" s="27">
        <f t="shared" si="81"/>
        <v>0</v>
      </c>
      <c r="P140" s="27"/>
    </row>
    <row r="141" spans="1:16" ht="16.5" thickBot="1" x14ac:dyDescent="0.3">
      <c r="A141" s="258" t="s">
        <v>172</v>
      </c>
      <c r="B141" s="144"/>
      <c r="C141" s="261">
        <f t="shared" ref="C141:I141" si="97">C130+C140</f>
        <v>2680960</v>
      </c>
      <c r="D141" s="261">
        <f t="shared" si="97"/>
        <v>2681040</v>
      </c>
      <c r="E141" s="261">
        <f t="shared" si="97"/>
        <v>2772260</v>
      </c>
      <c r="F141" s="261">
        <f t="shared" si="97"/>
        <v>2772760</v>
      </c>
      <c r="G141" s="261">
        <f t="shared" si="97"/>
        <v>2834345</v>
      </c>
      <c r="H141" s="261">
        <f t="shared" si="97"/>
        <v>2872155</v>
      </c>
      <c r="I141" s="261">
        <f t="shared" si="97"/>
        <v>636671</v>
      </c>
      <c r="J141" s="808">
        <f t="shared" si="84"/>
        <v>0.22167013966864602</v>
      </c>
      <c r="K141" s="27">
        <f t="shared" si="77"/>
        <v>80</v>
      </c>
      <c r="L141" s="27">
        <f t="shared" si="78"/>
        <v>91220</v>
      </c>
      <c r="M141" s="27">
        <f t="shared" si="79"/>
        <v>500</v>
      </c>
      <c r="N141" s="27">
        <f t="shared" si="80"/>
        <v>61585</v>
      </c>
      <c r="O141" s="27">
        <f t="shared" si="81"/>
        <v>37810</v>
      </c>
      <c r="P141" s="27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808"/>
      <c r="K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808"/>
      <c r="K143" s="1"/>
    </row>
    <row r="144" spans="1:16" ht="18.75" thickBot="1" x14ac:dyDescent="0.3">
      <c r="A144" s="862" t="s">
        <v>173</v>
      </c>
      <c r="B144" s="863"/>
      <c r="C144" s="863"/>
      <c r="D144" s="863"/>
      <c r="E144" s="863"/>
      <c r="F144" s="863"/>
      <c r="G144" s="863"/>
      <c r="H144" s="863"/>
      <c r="I144" s="863"/>
      <c r="J144" s="808"/>
      <c r="K144" s="1"/>
    </row>
    <row r="145" spans="1:15" ht="27" customHeight="1" thickBot="1" x14ac:dyDescent="0.3">
      <c r="A145" s="864" t="s">
        <v>1</v>
      </c>
      <c r="B145" s="865"/>
      <c r="C145" s="413" t="s">
        <v>454</v>
      </c>
      <c r="D145" s="413" t="s">
        <v>496</v>
      </c>
      <c r="E145" s="413" t="s">
        <v>547</v>
      </c>
      <c r="F145" s="413" t="s">
        <v>497</v>
      </c>
      <c r="G145" s="413" t="s">
        <v>568</v>
      </c>
      <c r="H145" s="413" t="s">
        <v>569</v>
      </c>
      <c r="I145" s="413" t="s">
        <v>570</v>
      </c>
      <c r="J145" s="808"/>
      <c r="K145" s="1"/>
    </row>
    <row r="146" spans="1:15" ht="16.5" thickBot="1" x14ac:dyDescent="0.3">
      <c r="A146" s="866" t="s">
        <v>174</v>
      </c>
      <c r="B146" s="867"/>
      <c r="C146" s="262">
        <f>SUM(C147:C153)</f>
        <v>869220</v>
      </c>
      <c r="D146" s="262">
        <f t="shared" ref="D146:I146" si="98">SUM(D147:D153)</f>
        <v>869220</v>
      </c>
      <c r="E146" s="262">
        <f t="shared" ref="E146" si="99">SUM(E147:E153)</f>
        <v>869220</v>
      </c>
      <c r="F146" s="262">
        <f t="shared" si="98"/>
        <v>1047220</v>
      </c>
      <c r="G146" s="262">
        <f t="shared" ref="G146:H146" si="100">SUM(G147:G153)</f>
        <v>1047220</v>
      </c>
      <c r="H146" s="262">
        <f t="shared" si="100"/>
        <v>1047220</v>
      </c>
      <c r="I146" s="262">
        <f t="shared" si="98"/>
        <v>0</v>
      </c>
      <c r="J146" s="808">
        <f t="shared" si="84"/>
        <v>0</v>
      </c>
      <c r="K146" s="27">
        <f>D146-C146</f>
        <v>0</v>
      </c>
      <c r="L146" s="27">
        <f t="shared" ref="L146:O146" si="101">E146-D146</f>
        <v>0</v>
      </c>
      <c r="M146" s="27">
        <f t="shared" si="101"/>
        <v>178000</v>
      </c>
      <c r="N146" s="27">
        <f t="shared" si="101"/>
        <v>0</v>
      </c>
      <c r="O146" s="27">
        <f t="shared" si="101"/>
        <v>0</v>
      </c>
    </row>
    <row r="147" spans="1:15" x14ac:dyDescent="0.25">
      <c r="A147" s="711">
        <v>231</v>
      </c>
      <c r="B147" s="526" t="s">
        <v>306</v>
      </c>
      <c r="C147" s="712">
        <v>0</v>
      </c>
      <c r="D147" s="712">
        <v>0</v>
      </c>
      <c r="E147" s="712">
        <v>0</v>
      </c>
      <c r="F147" s="712">
        <v>0</v>
      </c>
      <c r="G147" s="712">
        <v>0</v>
      </c>
      <c r="H147" s="712">
        <v>0</v>
      </c>
      <c r="I147" s="712">
        <v>0</v>
      </c>
      <c r="J147" s="808">
        <v>0</v>
      </c>
      <c r="K147" s="1"/>
      <c r="L147" s="1"/>
      <c r="M147" s="1"/>
      <c r="N147" s="1"/>
      <c r="O147" s="1"/>
    </row>
    <row r="148" spans="1:15" ht="15.75" thickBot="1" x14ac:dyDescent="0.3">
      <c r="A148" s="3">
        <v>233</v>
      </c>
      <c r="B148" s="328" t="s">
        <v>175</v>
      </c>
      <c r="C148" s="710">
        <v>5000</v>
      </c>
      <c r="D148" s="710">
        <v>5000</v>
      </c>
      <c r="E148" s="710">
        <v>5000</v>
      </c>
      <c r="F148" s="710">
        <v>5000</v>
      </c>
      <c r="G148" s="710">
        <v>5000</v>
      </c>
      <c r="H148" s="710">
        <v>5000</v>
      </c>
      <c r="I148" s="710">
        <v>0</v>
      </c>
      <c r="J148" s="808">
        <f t="shared" si="84"/>
        <v>0</v>
      </c>
      <c r="K148" s="27">
        <f>SUM(C147:C148)</f>
        <v>5000</v>
      </c>
      <c r="L148" s="27">
        <f t="shared" ref="L148:O148" si="102">SUM(D147:D148)</f>
        <v>5000</v>
      </c>
      <c r="M148" s="27">
        <f t="shared" si="102"/>
        <v>5000</v>
      </c>
      <c r="N148" s="27">
        <f t="shared" si="102"/>
        <v>5000</v>
      </c>
      <c r="O148" s="27">
        <f t="shared" si="102"/>
        <v>5000</v>
      </c>
    </row>
    <row r="149" spans="1:15" x14ac:dyDescent="0.25">
      <c r="A149" s="271">
        <v>322</v>
      </c>
      <c r="B149" s="76" t="s">
        <v>237</v>
      </c>
      <c r="C149" s="273">
        <v>355220</v>
      </c>
      <c r="D149" s="273">
        <v>355220</v>
      </c>
      <c r="E149" s="273">
        <v>355220</v>
      </c>
      <c r="F149" s="273">
        <v>355220</v>
      </c>
      <c r="G149" s="273">
        <v>355220</v>
      </c>
      <c r="H149" s="273">
        <v>355220</v>
      </c>
      <c r="I149" s="267">
        <v>0</v>
      </c>
      <c r="J149" s="808">
        <f t="shared" si="84"/>
        <v>0</v>
      </c>
      <c r="K149" s="1"/>
      <c r="L149" s="1"/>
      <c r="M149" s="1"/>
      <c r="N149" s="1"/>
      <c r="O149" s="1"/>
    </row>
    <row r="150" spans="1:15" x14ac:dyDescent="0.25">
      <c r="A150" s="271">
        <v>322</v>
      </c>
      <c r="B150" s="274" t="s">
        <v>243</v>
      </c>
      <c r="C150" s="270">
        <v>19000</v>
      </c>
      <c r="D150" s="270">
        <v>19000</v>
      </c>
      <c r="E150" s="270">
        <v>19000</v>
      </c>
      <c r="F150" s="270">
        <v>19000</v>
      </c>
      <c r="G150" s="270">
        <v>19000</v>
      </c>
      <c r="H150" s="270">
        <v>19000</v>
      </c>
      <c r="I150" s="267">
        <v>0</v>
      </c>
      <c r="J150" s="808">
        <f t="shared" si="84"/>
        <v>0</v>
      </c>
      <c r="K150" s="1"/>
      <c r="L150" s="1"/>
      <c r="M150" s="1"/>
      <c r="N150" s="1"/>
      <c r="O150" s="1"/>
    </row>
    <row r="151" spans="1:15" x14ac:dyDescent="0.25">
      <c r="A151" s="271">
        <v>322</v>
      </c>
      <c r="B151" s="85" t="s">
        <v>303</v>
      </c>
      <c r="C151" s="273">
        <v>190000</v>
      </c>
      <c r="D151" s="273">
        <v>190000</v>
      </c>
      <c r="E151" s="273">
        <v>190000</v>
      </c>
      <c r="F151" s="273">
        <v>190000</v>
      </c>
      <c r="G151" s="273">
        <v>190000</v>
      </c>
      <c r="H151" s="273">
        <v>190000</v>
      </c>
      <c r="I151" s="267">
        <v>0</v>
      </c>
      <c r="J151" s="808">
        <f t="shared" si="84"/>
        <v>0</v>
      </c>
      <c r="K151" s="1"/>
      <c r="L151" s="1"/>
      <c r="M151" s="1"/>
      <c r="N151" s="1"/>
      <c r="O151" s="1"/>
    </row>
    <row r="152" spans="1:15" x14ac:dyDescent="0.25">
      <c r="A152" s="268">
        <v>322</v>
      </c>
      <c r="B152" s="72" t="s">
        <v>179</v>
      </c>
      <c r="C152" s="270">
        <v>300000</v>
      </c>
      <c r="D152" s="270">
        <v>300000</v>
      </c>
      <c r="E152" s="270">
        <v>300000</v>
      </c>
      <c r="F152" s="270">
        <v>300000</v>
      </c>
      <c r="G152" s="270">
        <v>300000</v>
      </c>
      <c r="H152" s="270">
        <v>300000</v>
      </c>
      <c r="I152" s="270">
        <v>0</v>
      </c>
      <c r="J152" s="808">
        <f t="shared" si="84"/>
        <v>0</v>
      </c>
    </row>
    <row r="153" spans="1:15" ht="15.75" thickBot="1" x14ac:dyDescent="0.3">
      <c r="A153" s="765">
        <v>322</v>
      </c>
      <c r="B153" s="766" t="s">
        <v>539</v>
      </c>
      <c r="C153" s="409">
        <v>0</v>
      </c>
      <c r="D153" s="409">
        <v>0</v>
      </c>
      <c r="E153" s="409">
        <v>0</v>
      </c>
      <c r="F153" s="767">
        <v>178000</v>
      </c>
      <c r="G153" s="409">
        <v>178000</v>
      </c>
      <c r="H153" s="409">
        <v>178000</v>
      </c>
      <c r="I153" s="409">
        <v>0</v>
      </c>
      <c r="J153" s="808">
        <f t="shared" si="84"/>
        <v>0</v>
      </c>
      <c r="K153" s="27">
        <f>SUM(C149:C153)</f>
        <v>864220</v>
      </c>
      <c r="L153" s="27">
        <f t="shared" ref="L153:O153" si="103">SUM(D149:D153)</f>
        <v>864220</v>
      </c>
      <c r="M153" s="27">
        <f t="shared" si="103"/>
        <v>864220</v>
      </c>
      <c r="N153" s="27">
        <f t="shared" si="103"/>
        <v>1042220</v>
      </c>
      <c r="O153" s="27">
        <f t="shared" si="103"/>
        <v>1042220</v>
      </c>
    </row>
    <row r="154" spans="1:15" ht="16.5" thickBot="1" x14ac:dyDescent="0.3">
      <c r="A154" s="866" t="s">
        <v>180</v>
      </c>
      <c r="B154" s="867"/>
      <c r="C154" s="262">
        <f>SUM(C155:C168)</f>
        <v>1445946</v>
      </c>
      <c r="D154" s="262">
        <f>SUM(D155:D168)</f>
        <v>1445946</v>
      </c>
      <c r="E154" s="262">
        <f>SUM(E155:E168)</f>
        <v>1445946</v>
      </c>
      <c r="F154" s="262">
        <f>SUM(F155:F168)</f>
        <v>1623946</v>
      </c>
      <c r="G154" s="262">
        <f t="shared" ref="G154:H154" si="104">SUM(G155:G168)</f>
        <v>1623946</v>
      </c>
      <c r="H154" s="262">
        <f t="shared" si="104"/>
        <v>1623946</v>
      </c>
      <c r="I154" s="262">
        <f>SUM(I155:I168)</f>
        <v>2943</v>
      </c>
      <c r="J154" s="808">
        <f t="shared" si="84"/>
        <v>1.8122523778500025E-3</v>
      </c>
      <c r="K154" s="27">
        <f>D154-C154</f>
        <v>0</v>
      </c>
      <c r="L154" s="27">
        <f t="shared" ref="L154:O154" si="105">E154-D154</f>
        <v>0</v>
      </c>
      <c r="M154" s="27">
        <f t="shared" si="105"/>
        <v>178000</v>
      </c>
      <c r="N154" s="27">
        <f t="shared" si="105"/>
        <v>0</v>
      </c>
      <c r="O154" s="27">
        <f t="shared" si="105"/>
        <v>0</v>
      </c>
    </row>
    <row r="155" spans="1:15" x14ac:dyDescent="0.25">
      <c r="A155" s="286" t="s">
        <v>94</v>
      </c>
      <c r="B155" s="275" t="s">
        <v>184</v>
      </c>
      <c r="C155" s="287">
        <v>1500</v>
      </c>
      <c r="D155" s="287">
        <v>1500</v>
      </c>
      <c r="E155" s="287">
        <v>1500</v>
      </c>
      <c r="F155" s="287">
        <v>1500</v>
      </c>
      <c r="G155" s="287">
        <v>1500</v>
      </c>
      <c r="H155" s="287">
        <v>1500</v>
      </c>
      <c r="I155" s="287">
        <v>0</v>
      </c>
      <c r="J155" s="808">
        <f t="shared" si="84"/>
        <v>0</v>
      </c>
      <c r="K155" s="1"/>
    </row>
    <row r="156" spans="1:15" x14ac:dyDescent="0.25">
      <c r="A156" s="288" t="s">
        <v>96</v>
      </c>
      <c r="B156" s="561" t="s">
        <v>347</v>
      </c>
      <c r="C156" s="290">
        <v>5000</v>
      </c>
      <c r="D156" s="290">
        <v>5000</v>
      </c>
      <c r="E156" s="290">
        <v>5000</v>
      </c>
      <c r="F156" s="737">
        <f>5000-2000</f>
        <v>3000</v>
      </c>
      <c r="G156" s="290">
        <f t="shared" ref="G156:H156" si="106">5000-2000</f>
        <v>3000</v>
      </c>
      <c r="H156" s="290">
        <f t="shared" si="106"/>
        <v>3000</v>
      </c>
      <c r="I156" s="290">
        <v>2943</v>
      </c>
      <c r="J156" s="808">
        <f t="shared" si="84"/>
        <v>0.98099999999999998</v>
      </c>
      <c r="K156" s="1"/>
    </row>
    <row r="157" spans="1:15" x14ac:dyDescent="0.25">
      <c r="A157" s="279" t="s">
        <v>101</v>
      </c>
      <c r="B157" s="294" t="s">
        <v>236</v>
      </c>
      <c r="C157" s="281">
        <v>390000</v>
      </c>
      <c r="D157" s="281">
        <v>390000</v>
      </c>
      <c r="E157" s="281">
        <v>390000</v>
      </c>
      <c r="F157" s="731">
        <f>390000-50000</f>
        <v>340000</v>
      </c>
      <c r="G157" s="281">
        <f t="shared" ref="G157:H157" si="107">390000-50000</f>
        <v>340000</v>
      </c>
      <c r="H157" s="281">
        <f t="shared" si="107"/>
        <v>340000</v>
      </c>
      <c r="I157" s="281">
        <v>0</v>
      </c>
      <c r="J157" s="808">
        <f t="shared" si="84"/>
        <v>0</v>
      </c>
      <c r="K157" s="1"/>
    </row>
    <row r="158" spans="1:15" x14ac:dyDescent="0.25">
      <c r="A158" s="288" t="s">
        <v>188</v>
      </c>
      <c r="B158" s="289" t="s">
        <v>189</v>
      </c>
      <c r="C158" s="290">
        <v>25000</v>
      </c>
      <c r="D158" s="290">
        <v>25000</v>
      </c>
      <c r="E158" s="290">
        <v>25000</v>
      </c>
      <c r="F158" s="290">
        <v>25000</v>
      </c>
      <c r="G158" s="290">
        <v>25000</v>
      </c>
      <c r="H158" s="290">
        <v>25000</v>
      </c>
      <c r="I158" s="290">
        <v>0</v>
      </c>
      <c r="J158" s="808">
        <f t="shared" si="84"/>
        <v>0</v>
      </c>
      <c r="K158" s="1"/>
    </row>
    <row r="159" spans="1:15" x14ac:dyDescent="0.25">
      <c r="A159" s="297" t="s">
        <v>188</v>
      </c>
      <c r="B159" s="294" t="s">
        <v>242</v>
      </c>
      <c r="C159" s="281">
        <v>30000</v>
      </c>
      <c r="D159" s="281">
        <v>30000</v>
      </c>
      <c r="E159" s="281">
        <v>30000</v>
      </c>
      <c r="F159" s="731">
        <f>30000+37000</f>
        <v>67000</v>
      </c>
      <c r="G159" s="281">
        <f t="shared" ref="G159:H159" si="108">30000+37000</f>
        <v>67000</v>
      </c>
      <c r="H159" s="281">
        <f t="shared" si="108"/>
        <v>67000</v>
      </c>
      <c r="I159" s="281">
        <v>0</v>
      </c>
      <c r="J159" s="808">
        <f t="shared" si="84"/>
        <v>0</v>
      </c>
      <c r="K159" s="27"/>
    </row>
    <row r="160" spans="1:15" x14ac:dyDescent="0.25">
      <c r="A160" s="300" t="s">
        <v>108</v>
      </c>
      <c r="B160" s="298" t="s">
        <v>549</v>
      </c>
      <c r="C160" s="281">
        <v>10000</v>
      </c>
      <c r="D160" s="281">
        <v>10000</v>
      </c>
      <c r="E160" s="281">
        <v>10000</v>
      </c>
      <c r="F160" s="281">
        <v>10000</v>
      </c>
      <c r="G160" s="281">
        <v>10000</v>
      </c>
      <c r="H160" s="281">
        <v>10000</v>
      </c>
      <c r="I160" s="281">
        <v>0</v>
      </c>
      <c r="J160" s="808">
        <f t="shared" si="84"/>
        <v>0</v>
      </c>
      <c r="K160" s="1"/>
    </row>
    <row r="161" spans="1:15" x14ac:dyDescent="0.25">
      <c r="A161" s="297" t="s">
        <v>108</v>
      </c>
      <c r="B161" s="770" t="s">
        <v>235</v>
      </c>
      <c r="C161" s="281">
        <v>100000</v>
      </c>
      <c r="D161" s="281">
        <v>100000</v>
      </c>
      <c r="E161" s="281">
        <v>100000</v>
      </c>
      <c r="F161" s="731">
        <f>100000-38000</f>
        <v>62000</v>
      </c>
      <c r="G161" s="281">
        <f t="shared" ref="G161:H161" si="109">100000-38000</f>
        <v>62000</v>
      </c>
      <c r="H161" s="281">
        <f t="shared" si="109"/>
        <v>62000</v>
      </c>
      <c r="I161" s="281">
        <v>0</v>
      </c>
      <c r="J161" s="808">
        <f t="shared" si="84"/>
        <v>0</v>
      </c>
      <c r="K161" s="27"/>
    </row>
    <row r="162" spans="1:15" ht="15.75" thickBot="1" x14ac:dyDescent="0.3">
      <c r="A162" s="768" t="s">
        <v>112</v>
      </c>
      <c r="B162" s="769" t="s">
        <v>540</v>
      </c>
      <c r="C162" s="285">
        <v>0</v>
      </c>
      <c r="D162" s="285">
        <v>0</v>
      </c>
      <c r="E162" s="285">
        <v>0</v>
      </c>
      <c r="F162" s="756">
        <v>70000</v>
      </c>
      <c r="G162" s="285">
        <v>70000</v>
      </c>
      <c r="H162" s="285">
        <v>70000</v>
      </c>
      <c r="I162" s="285">
        <v>0</v>
      </c>
      <c r="J162" s="808">
        <f t="shared" si="84"/>
        <v>0</v>
      </c>
      <c r="K162" s="27"/>
    </row>
    <row r="163" spans="1:15" x14ac:dyDescent="0.25">
      <c r="A163" s="771" t="s">
        <v>123</v>
      </c>
      <c r="B163" s="772" t="s">
        <v>193</v>
      </c>
      <c r="C163" s="773">
        <v>21000</v>
      </c>
      <c r="D163" s="773">
        <v>21000</v>
      </c>
      <c r="E163" s="773">
        <v>21000</v>
      </c>
      <c r="F163" s="773">
        <v>21000</v>
      </c>
      <c r="G163" s="773">
        <v>21000</v>
      </c>
      <c r="H163" s="773">
        <v>21000</v>
      </c>
      <c r="I163" s="773">
        <v>0</v>
      </c>
      <c r="J163" s="808">
        <f t="shared" si="84"/>
        <v>0</v>
      </c>
      <c r="K163" s="27"/>
    </row>
    <row r="164" spans="1:15" x14ac:dyDescent="0.25">
      <c r="A164" s="303" t="s">
        <v>123</v>
      </c>
      <c r="B164" s="304" t="s">
        <v>541</v>
      </c>
      <c r="C164" s="293">
        <v>8000</v>
      </c>
      <c r="D164" s="293">
        <v>8000</v>
      </c>
      <c r="E164" s="293">
        <v>8000</v>
      </c>
      <c r="F164" s="730">
        <f>8000+246000</f>
        <v>254000</v>
      </c>
      <c r="G164" s="293">
        <f t="shared" ref="G164:H164" si="110">8000+246000</f>
        <v>254000</v>
      </c>
      <c r="H164" s="293">
        <f t="shared" si="110"/>
        <v>254000</v>
      </c>
      <c r="I164" s="293">
        <v>0</v>
      </c>
      <c r="J164" s="808">
        <f t="shared" si="84"/>
        <v>0</v>
      </c>
      <c r="K164" s="1"/>
    </row>
    <row r="165" spans="1:15" x14ac:dyDescent="0.25">
      <c r="A165" s="303" t="s">
        <v>125</v>
      </c>
      <c r="B165" s="304" t="s">
        <v>522</v>
      </c>
      <c r="C165" s="293">
        <v>0</v>
      </c>
      <c r="D165" s="293">
        <v>0</v>
      </c>
      <c r="E165" s="293">
        <v>0</v>
      </c>
      <c r="F165" s="730">
        <v>15000</v>
      </c>
      <c r="G165" s="293">
        <v>15000</v>
      </c>
      <c r="H165" s="293">
        <v>15000</v>
      </c>
      <c r="I165" s="293">
        <v>0</v>
      </c>
      <c r="J165" s="808">
        <f t="shared" si="84"/>
        <v>0</v>
      </c>
      <c r="K165" s="1"/>
    </row>
    <row r="166" spans="1:15" x14ac:dyDescent="0.25">
      <c r="A166" s="303" t="s">
        <v>125</v>
      </c>
      <c r="B166" s="294" t="s">
        <v>259</v>
      </c>
      <c r="C166" s="293">
        <v>200000</v>
      </c>
      <c r="D166" s="293">
        <v>200000</v>
      </c>
      <c r="E166" s="293">
        <v>200000</v>
      </c>
      <c r="F166" s="293">
        <v>200000</v>
      </c>
      <c r="G166" s="293">
        <v>200000</v>
      </c>
      <c r="H166" s="293">
        <v>200000</v>
      </c>
      <c r="I166" s="293">
        <v>0</v>
      </c>
      <c r="J166" s="808">
        <f t="shared" si="84"/>
        <v>0</v>
      </c>
      <c r="K166" s="1"/>
    </row>
    <row r="167" spans="1:15" ht="15.75" thickBot="1" x14ac:dyDescent="0.3">
      <c r="A167" s="299" t="s">
        <v>125</v>
      </c>
      <c r="B167" s="774" t="s">
        <v>523</v>
      </c>
      <c r="C167" s="284">
        <v>160886</v>
      </c>
      <c r="D167" s="284">
        <v>160886</v>
      </c>
      <c r="E167" s="284">
        <v>160886</v>
      </c>
      <c r="F167" s="753">
        <f>160886-100000</f>
        <v>60886</v>
      </c>
      <c r="G167" s="284">
        <f t="shared" ref="G167" si="111">160886-100000</f>
        <v>60886</v>
      </c>
      <c r="H167" s="753">
        <f>160886-100000-10000</f>
        <v>50886</v>
      </c>
      <c r="I167" s="284">
        <v>0</v>
      </c>
      <c r="J167" s="808">
        <f t="shared" si="84"/>
        <v>0</v>
      </c>
      <c r="K167" s="1"/>
    </row>
    <row r="168" spans="1:15" ht="15.75" thickBot="1" x14ac:dyDescent="0.3">
      <c r="A168" s="775" t="s">
        <v>134</v>
      </c>
      <c r="B168" s="407" t="s">
        <v>261</v>
      </c>
      <c r="C168" s="408">
        <v>494560</v>
      </c>
      <c r="D168" s="408">
        <v>494560</v>
      </c>
      <c r="E168" s="408">
        <v>494560</v>
      </c>
      <c r="F168" s="408">
        <v>494560</v>
      </c>
      <c r="G168" s="408">
        <v>494560</v>
      </c>
      <c r="H168" s="794">
        <f>494560+10000</f>
        <v>504560</v>
      </c>
      <c r="I168" s="408">
        <v>0</v>
      </c>
      <c r="J168" s="808">
        <f t="shared" si="84"/>
        <v>0</v>
      </c>
      <c r="K168" s="1"/>
    </row>
    <row r="169" spans="1:15" x14ac:dyDescent="0.25">
      <c r="A169" s="311"/>
      <c r="B169" s="312"/>
      <c r="C169" s="313"/>
      <c r="D169" s="313"/>
      <c r="E169" s="313"/>
      <c r="F169" s="313"/>
      <c r="G169" s="313"/>
      <c r="H169" s="313"/>
      <c r="I169" s="313"/>
      <c r="J169" s="808"/>
      <c r="K169" s="313"/>
    </row>
    <row r="170" spans="1:15" x14ac:dyDescent="0.25">
      <c r="A170" s="314"/>
      <c r="B170" s="315"/>
      <c r="C170" s="316"/>
      <c r="D170" s="316"/>
      <c r="E170" s="316"/>
      <c r="F170" s="316"/>
      <c r="G170" s="316"/>
      <c r="H170" s="316"/>
      <c r="I170" s="316"/>
      <c r="J170" s="808"/>
      <c r="K170" s="316"/>
    </row>
    <row r="171" spans="1:15" ht="18.75" thickBot="1" x14ac:dyDescent="0.3">
      <c r="A171" s="868" t="s">
        <v>195</v>
      </c>
      <c r="B171" s="869"/>
      <c r="C171" s="869"/>
      <c r="D171" s="869"/>
      <c r="E171" s="869"/>
      <c r="F171" s="869"/>
      <c r="G171" s="869"/>
      <c r="H171" s="869"/>
      <c r="I171" s="869"/>
      <c r="J171" s="808"/>
      <c r="K171" s="1"/>
    </row>
    <row r="172" spans="1:15" ht="27" customHeight="1" thickBot="1" x14ac:dyDescent="0.3">
      <c r="A172" s="864" t="s">
        <v>1</v>
      </c>
      <c r="B172" s="865"/>
      <c r="C172" s="413" t="s">
        <v>454</v>
      </c>
      <c r="D172" s="413" t="s">
        <v>496</v>
      </c>
      <c r="E172" s="413" t="s">
        <v>547</v>
      </c>
      <c r="F172" s="413" t="s">
        <v>497</v>
      </c>
      <c r="G172" s="413" t="s">
        <v>568</v>
      </c>
      <c r="H172" s="413" t="s">
        <v>569</v>
      </c>
      <c r="I172" s="413" t="s">
        <v>570</v>
      </c>
      <c r="J172" s="808"/>
      <c r="K172" s="1"/>
    </row>
    <row r="173" spans="1:15" ht="16.5" thickBot="1" x14ac:dyDescent="0.3">
      <c r="A173" s="441" t="s">
        <v>196</v>
      </c>
      <c r="B173" s="442"/>
      <c r="C173" s="443">
        <f>SUM(C174:C185)</f>
        <v>728546</v>
      </c>
      <c r="D173" s="443">
        <f>SUM(D174:D185)</f>
        <v>728546</v>
      </c>
      <c r="E173" s="443">
        <f>SUM(E174:E185)</f>
        <v>711516</v>
      </c>
      <c r="F173" s="443">
        <f>SUM(F174:F185)</f>
        <v>714937</v>
      </c>
      <c r="G173" s="443">
        <f t="shared" ref="G173:H173" si="112">SUM(G174:G185)</f>
        <v>714937</v>
      </c>
      <c r="H173" s="443">
        <f t="shared" si="112"/>
        <v>714937</v>
      </c>
      <c r="I173" s="443">
        <f>SUM(I174:I185)</f>
        <v>71164</v>
      </c>
      <c r="J173" s="808">
        <f t="shared" si="84"/>
        <v>9.9538840485245556E-2</v>
      </c>
      <c r="K173" s="27">
        <f>D173-C173</f>
        <v>0</v>
      </c>
      <c r="L173" s="27">
        <f t="shared" ref="L173:O173" si="113">E173-D173</f>
        <v>-17030</v>
      </c>
      <c r="M173" s="27">
        <f t="shared" si="113"/>
        <v>3421</v>
      </c>
      <c r="N173" s="27">
        <f t="shared" si="113"/>
        <v>0</v>
      </c>
      <c r="O173" s="27">
        <f t="shared" si="113"/>
        <v>0</v>
      </c>
    </row>
    <row r="174" spans="1:15" x14ac:dyDescent="0.25">
      <c r="A174" s="432">
        <v>453</v>
      </c>
      <c r="B174" s="433" t="s">
        <v>466</v>
      </c>
      <c r="C174" s="64">
        <f>3000+1900</f>
        <v>4900</v>
      </c>
      <c r="D174" s="64">
        <f>3000+1900</f>
        <v>4900</v>
      </c>
      <c r="E174" s="717">
        <f>3780+1810</f>
        <v>5590</v>
      </c>
      <c r="F174" s="64">
        <f>3780+1810</f>
        <v>5590</v>
      </c>
      <c r="G174" s="64">
        <f t="shared" ref="G174:H174" si="114">3780+1810</f>
        <v>5590</v>
      </c>
      <c r="H174" s="64">
        <f t="shared" si="114"/>
        <v>5590</v>
      </c>
      <c r="I174" s="64">
        <v>1970</v>
      </c>
      <c r="J174" s="808">
        <f t="shared" si="84"/>
        <v>0.35241502683363146</v>
      </c>
      <c r="K174" s="27"/>
    </row>
    <row r="175" spans="1:15" x14ac:dyDescent="0.25">
      <c r="A175" s="317">
        <v>453</v>
      </c>
      <c r="B175" s="318" t="s">
        <v>465</v>
      </c>
      <c r="C175" s="319">
        <v>1500</v>
      </c>
      <c r="D175" s="319">
        <v>1500</v>
      </c>
      <c r="E175" s="319">
        <v>1500</v>
      </c>
      <c r="F175" s="319">
        <v>1500</v>
      </c>
      <c r="G175" s="319">
        <v>1500</v>
      </c>
      <c r="H175" s="319">
        <v>1500</v>
      </c>
      <c r="I175" s="319">
        <v>0</v>
      </c>
      <c r="J175" s="808">
        <f t="shared" si="84"/>
        <v>0</v>
      </c>
      <c r="K175" s="1"/>
    </row>
    <row r="176" spans="1:15" x14ac:dyDescent="0.25">
      <c r="A176" s="317">
        <v>453</v>
      </c>
      <c r="B176" s="433" t="s">
        <v>338</v>
      </c>
      <c r="C176" s="319">
        <v>29750</v>
      </c>
      <c r="D176" s="319">
        <v>29750</v>
      </c>
      <c r="E176" s="760">
        <f>29750-17050</f>
        <v>12700</v>
      </c>
      <c r="F176" s="319">
        <f>29750-17050</f>
        <v>12700</v>
      </c>
      <c r="G176" s="319">
        <f t="shared" ref="G176:H176" si="115">29750-17050</f>
        <v>12700</v>
      </c>
      <c r="H176" s="319">
        <f t="shared" si="115"/>
        <v>12700</v>
      </c>
      <c r="I176" s="319">
        <v>12679</v>
      </c>
      <c r="J176" s="808">
        <f t="shared" si="84"/>
        <v>0.99834645669291333</v>
      </c>
      <c r="K176" s="27"/>
    </row>
    <row r="177" spans="1:15" x14ac:dyDescent="0.25">
      <c r="A177" s="317">
        <v>453</v>
      </c>
      <c r="B177" s="318" t="s">
        <v>307</v>
      </c>
      <c r="C177" s="319">
        <v>886</v>
      </c>
      <c r="D177" s="319">
        <v>886</v>
      </c>
      <c r="E177" s="319">
        <v>886</v>
      </c>
      <c r="F177" s="319">
        <v>886</v>
      </c>
      <c r="G177" s="319">
        <v>886</v>
      </c>
      <c r="H177" s="319">
        <v>886</v>
      </c>
      <c r="I177" s="319">
        <v>0</v>
      </c>
      <c r="J177" s="808">
        <f t="shared" si="84"/>
        <v>0</v>
      </c>
      <c r="K177" s="1"/>
    </row>
    <row r="178" spans="1:15" x14ac:dyDescent="0.25">
      <c r="A178" s="317">
        <v>453</v>
      </c>
      <c r="B178" s="433" t="s">
        <v>339</v>
      </c>
      <c r="C178" s="319">
        <v>2030</v>
      </c>
      <c r="D178" s="319">
        <v>2030</v>
      </c>
      <c r="E178" s="319">
        <f>2030</f>
        <v>2030</v>
      </c>
      <c r="F178" s="319">
        <v>2030</v>
      </c>
      <c r="G178" s="319">
        <v>2030</v>
      </c>
      <c r="H178" s="319">
        <v>2030</v>
      </c>
      <c r="I178" s="319">
        <v>1967</v>
      </c>
      <c r="J178" s="808">
        <f t="shared" si="84"/>
        <v>0.96896551724137936</v>
      </c>
      <c r="K178" s="27"/>
    </row>
    <row r="179" spans="1:15" ht="15.75" thickBot="1" x14ac:dyDescent="0.3">
      <c r="A179" s="320">
        <v>453</v>
      </c>
      <c r="B179" s="321" t="s">
        <v>502</v>
      </c>
      <c r="C179" s="322">
        <v>2000</v>
      </c>
      <c r="D179" s="322">
        <v>2000</v>
      </c>
      <c r="E179" s="718">
        <f>2000-670</f>
        <v>1330</v>
      </c>
      <c r="F179" s="322">
        <f>2000-670</f>
        <v>1330</v>
      </c>
      <c r="G179" s="322">
        <f t="shared" ref="G179:H179" si="116">2000-670</f>
        <v>1330</v>
      </c>
      <c r="H179" s="322">
        <f t="shared" si="116"/>
        <v>1330</v>
      </c>
      <c r="I179" s="322">
        <v>1329</v>
      </c>
      <c r="J179" s="808">
        <f t="shared" si="84"/>
        <v>0.99924812030075183</v>
      </c>
      <c r="K179" s="27">
        <f>SUM(H174:H179)</f>
        <v>24036</v>
      </c>
      <c r="L179" s="27">
        <f>SUM(I174:I179)</f>
        <v>17945</v>
      </c>
    </row>
    <row r="180" spans="1:15" x14ac:dyDescent="0.25">
      <c r="A180" s="713">
        <v>454</v>
      </c>
      <c r="B180" s="400" t="s">
        <v>342</v>
      </c>
      <c r="C180" s="714">
        <f>160000-63500-3000</f>
        <v>93500</v>
      </c>
      <c r="D180" s="714">
        <f>160000-63500-3000</f>
        <v>93500</v>
      </c>
      <c r="E180" s="714">
        <f>160000-63500-3000</f>
        <v>93500</v>
      </c>
      <c r="F180" s="714">
        <f>160000-63500-3000</f>
        <v>93500</v>
      </c>
      <c r="G180" s="714">
        <f t="shared" ref="G180:H180" si="117">160000-63500-3000</f>
        <v>93500</v>
      </c>
      <c r="H180" s="714">
        <f t="shared" si="117"/>
        <v>93500</v>
      </c>
      <c r="I180" s="714">
        <v>28855</v>
      </c>
      <c r="J180" s="808">
        <f t="shared" si="84"/>
        <v>0.30860962566844918</v>
      </c>
      <c r="K180" s="1"/>
    </row>
    <row r="181" spans="1:15" x14ac:dyDescent="0.25">
      <c r="A181" s="713">
        <v>454</v>
      </c>
      <c r="B181" s="400" t="s">
        <v>341</v>
      </c>
      <c r="C181" s="714">
        <f>575840</f>
        <v>575840</v>
      </c>
      <c r="D181" s="714">
        <f>575840</f>
        <v>575840</v>
      </c>
      <c r="E181" s="714">
        <f>575840</f>
        <v>575840</v>
      </c>
      <c r="F181" s="714">
        <f>575840</f>
        <v>575840</v>
      </c>
      <c r="G181" s="714">
        <f t="shared" ref="G181:H181" si="118">575840</f>
        <v>575840</v>
      </c>
      <c r="H181" s="714">
        <f t="shared" si="118"/>
        <v>575840</v>
      </c>
      <c r="I181" s="714">
        <v>2943</v>
      </c>
      <c r="J181" s="808">
        <f t="shared" si="84"/>
        <v>5.1107946651847737E-3</v>
      </c>
      <c r="K181" s="1"/>
    </row>
    <row r="182" spans="1:15" ht="15.75" thickBot="1" x14ac:dyDescent="0.3">
      <c r="A182" s="558">
        <v>454</v>
      </c>
      <c r="B182" s="559" t="s">
        <v>343</v>
      </c>
      <c r="C182" s="560">
        <v>0</v>
      </c>
      <c r="D182" s="560">
        <v>0</v>
      </c>
      <c r="E182" s="560">
        <v>0</v>
      </c>
      <c r="F182" s="560">
        <v>0</v>
      </c>
      <c r="G182" s="560">
        <v>0</v>
      </c>
      <c r="H182" s="560">
        <v>0</v>
      </c>
      <c r="I182" s="560">
        <v>0</v>
      </c>
      <c r="J182" s="808">
        <v>0</v>
      </c>
      <c r="K182" s="27">
        <f>SUM(H180:H182)</f>
        <v>669340</v>
      </c>
      <c r="L182" s="27">
        <f>SUM(I180:I182)</f>
        <v>31798</v>
      </c>
    </row>
    <row r="183" spans="1:15" x14ac:dyDescent="0.25">
      <c r="A183" s="556">
        <v>456</v>
      </c>
      <c r="B183" s="400" t="s">
        <v>308</v>
      </c>
      <c r="C183" s="557">
        <v>18000</v>
      </c>
      <c r="D183" s="557">
        <v>18000</v>
      </c>
      <c r="E183" s="557">
        <v>18000</v>
      </c>
      <c r="F183" s="748">
        <f>18000+3421</f>
        <v>21421</v>
      </c>
      <c r="G183" s="557">
        <f t="shared" ref="G183:H183" si="119">18000+3421</f>
        <v>21421</v>
      </c>
      <c r="H183" s="557">
        <f t="shared" si="119"/>
        <v>21421</v>
      </c>
      <c r="I183" s="557">
        <v>21421</v>
      </c>
      <c r="J183" s="808">
        <f t="shared" si="84"/>
        <v>1</v>
      </c>
      <c r="K183" s="1"/>
    </row>
    <row r="184" spans="1:15" x14ac:dyDescent="0.25">
      <c r="A184" s="432">
        <v>456</v>
      </c>
      <c r="B184" s="433" t="s">
        <v>309</v>
      </c>
      <c r="C184" s="64">
        <v>40</v>
      </c>
      <c r="D184" s="64">
        <v>40</v>
      </c>
      <c r="E184" s="64">
        <v>40</v>
      </c>
      <c r="F184" s="64">
        <v>40</v>
      </c>
      <c r="G184" s="64">
        <v>40</v>
      </c>
      <c r="H184" s="64">
        <v>40</v>
      </c>
      <c r="I184" s="64">
        <v>0</v>
      </c>
      <c r="J184" s="808">
        <f t="shared" si="84"/>
        <v>0</v>
      </c>
      <c r="K184" s="27"/>
      <c r="L184" s="458"/>
    </row>
    <row r="185" spans="1:15" ht="15.75" thickBot="1" x14ac:dyDescent="0.3">
      <c r="A185" s="713">
        <v>456</v>
      </c>
      <c r="B185" s="400" t="s">
        <v>344</v>
      </c>
      <c r="C185" s="714">
        <v>100</v>
      </c>
      <c r="D185" s="714">
        <v>100</v>
      </c>
      <c r="E185" s="714">
        <v>100</v>
      </c>
      <c r="F185" s="714">
        <v>100</v>
      </c>
      <c r="G185" s="714">
        <v>100</v>
      </c>
      <c r="H185" s="714">
        <v>100</v>
      </c>
      <c r="I185" s="714">
        <v>0</v>
      </c>
      <c r="J185" s="808">
        <f t="shared" si="84"/>
        <v>0</v>
      </c>
      <c r="K185" s="27">
        <f>SUM(H183:H185)</f>
        <v>21561</v>
      </c>
      <c r="L185" s="27">
        <f>SUM(I183:I185)</f>
        <v>21421</v>
      </c>
    </row>
    <row r="186" spans="1:15" ht="16.5" thickBot="1" x14ac:dyDescent="0.3">
      <c r="A186" s="441" t="s">
        <v>198</v>
      </c>
      <c r="B186" s="442"/>
      <c r="C186" s="443">
        <f t="shared" ref="C186:I186" si="120">SUM(C187:C191)</f>
        <v>19140</v>
      </c>
      <c r="D186" s="443">
        <f t="shared" ref="D186:F186" si="121">SUM(D187:D191)</f>
        <v>19140</v>
      </c>
      <c r="E186" s="443">
        <f t="shared" ref="E186" si="122">SUM(E187:E191)</f>
        <v>19140</v>
      </c>
      <c r="F186" s="443">
        <f t="shared" si="121"/>
        <v>22561</v>
      </c>
      <c r="G186" s="443">
        <f t="shared" ref="G186:H186" si="123">SUM(G187:G191)</f>
        <v>22561</v>
      </c>
      <c r="H186" s="443">
        <f t="shared" si="123"/>
        <v>22561</v>
      </c>
      <c r="I186" s="443">
        <f t="shared" si="120"/>
        <v>18248</v>
      </c>
      <c r="J186" s="808">
        <f t="shared" si="84"/>
        <v>0.8088293958601126</v>
      </c>
      <c r="K186" s="27">
        <f>D186-C186</f>
        <v>0</v>
      </c>
      <c r="L186" s="27">
        <f t="shared" ref="L186:O186" si="124">E186-D186</f>
        <v>0</v>
      </c>
      <c r="M186" s="27">
        <f t="shared" si="124"/>
        <v>3421</v>
      </c>
      <c r="N186" s="27">
        <f t="shared" si="124"/>
        <v>0</v>
      </c>
      <c r="O186" s="27">
        <f t="shared" si="124"/>
        <v>0</v>
      </c>
    </row>
    <row r="187" spans="1:15" x14ac:dyDescent="0.25">
      <c r="A187" s="323">
        <v>819</v>
      </c>
      <c r="B187" s="324" t="s">
        <v>199</v>
      </c>
      <c r="C187" s="205">
        <v>100</v>
      </c>
      <c r="D187" s="205">
        <v>100</v>
      </c>
      <c r="E187" s="205">
        <v>100</v>
      </c>
      <c r="F187" s="205">
        <v>100</v>
      </c>
      <c r="G187" s="205">
        <v>100</v>
      </c>
      <c r="H187" s="205">
        <v>100</v>
      </c>
      <c r="I187" s="205">
        <v>0</v>
      </c>
      <c r="J187" s="808">
        <f t="shared" si="84"/>
        <v>0</v>
      </c>
      <c r="K187" s="1"/>
    </row>
    <row r="188" spans="1:15" x14ac:dyDescent="0.25">
      <c r="A188" s="325">
        <v>819</v>
      </c>
      <c r="B188" s="326" t="s">
        <v>310</v>
      </c>
      <c r="C188" s="56">
        <v>40</v>
      </c>
      <c r="D188" s="56">
        <v>40</v>
      </c>
      <c r="E188" s="56">
        <v>40</v>
      </c>
      <c r="F188" s="56">
        <v>40</v>
      </c>
      <c r="G188" s="56">
        <v>40</v>
      </c>
      <c r="H188" s="56">
        <v>40</v>
      </c>
      <c r="I188" s="56">
        <v>0</v>
      </c>
      <c r="J188" s="808">
        <f t="shared" si="84"/>
        <v>0</v>
      </c>
      <c r="K188" s="1"/>
    </row>
    <row r="189" spans="1:15" ht="15.75" thickBot="1" x14ac:dyDescent="0.3">
      <c r="A189" s="776">
        <v>819</v>
      </c>
      <c r="B189" s="777" t="s">
        <v>311</v>
      </c>
      <c r="C189" s="778">
        <v>18000</v>
      </c>
      <c r="D189" s="778">
        <v>18000</v>
      </c>
      <c r="E189" s="778">
        <v>18000</v>
      </c>
      <c r="F189" s="779">
        <f>18000+3421</f>
        <v>21421</v>
      </c>
      <c r="G189" s="778">
        <f t="shared" ref="G189:H189" si="125">18000+3421</f>
        <v>21421</v>
      </c>
      <c r="H189" s="778">
        <f t="shared" si="125"/>
        <v>21421</v>
      </c>
      <c r="I189" s="778">
        <v>18000</v>
      </c>
      <c r="J189" s="808">
        <f t="shared" si="84"/>
        <v>0.8402969049064003</v>
      </c>
      <c r="K189" s="27">
        <f>SUM(C187:C189)</f>
        <v>18140</v>
      </c>
      <c r="L189" s="27">
        <f>SUM(D187:D189)</f>
        <v>18140</v>
      </c>
      <c r="M189" s="27">
        <f t="shared" ref="M189" si="126">SUM(F187:F189)</f>
        <v>21561</v>
      </c>
    </row>
    <row r="190" spans="1:15" x14ac:dyDescent="0.25">
      <c r="A190" s="325">
        <v>821</v>
      </c>
      <c r="B190" s="326" t="s">
        <v>268</v>
      </c>
      <c r="C190" s="56">
        <v>0</v>
      </c>
      <c r="D190" s="56">
        <v>0</v>
      </c>
      <c r="E190" s="56">
        <v>0</v>
      </c>
      <c r="F190" s="56">
        <v>0</v>
      </c>
      <c r="G190" s="56">
        <v>0</v>
      </c>
      <c r="H190" s="56">
        <v>0</v>
      </c>
      <c r="I190" s="56">
        <v>0</v>
      </c>
      <c r="J190" s="808">
        <v>0</v>
      </c>
      <c r="K190" s="1"/>
    </row>
    <row r="191" spans="1:15" ht="15.75" thickBot="1" x14ac:dyDescent="0.3">
      <c r="A191" s="327">
        <v>821</v>
      </c>
      <c r="B191" s="328" t="s">
        <v>200</v>
      </c>
      <c r="C191" s="128">
        <v>1000</v>
      </c>
      <c r="D191" s="128">
        <v>1000</v>
      </c>
      <c r="E191" s="128">
        <v>1000</v>
      </c>
      <c r="F191" s="128">
        <v>1000</v>
      </c>
      <c r="G191" s="128">
        <v>1000</v>
      </c>
      <c r="H191" s="128">
        <v>1000</v>
      </c>
      <c r="I191" s="128">
        <v>248</v>
      </c>
      <c r="J191" s="808">
        <f t="shared" si="84"/>
        <v>0.248</v>
      </c>
      <c r="K191" s="1"/>
    </row>
    <row r="192" spans="1:15" x14ac:dyDescent="0.25">
      <c r="A192" s="314"/>
      <c r="B192" s="329"/>
      <c r="C192" s="161"/>
      <c r="D192" s="161"/>
      <c r="E192" s="161"/>
      <c r="F192" s="161"/>
      <c r="G192" s="161"/>
      <c r="H192" s="161"/>
      <c r="I192" s="161"/>
      <c r="J192" s="161"/>
      <c r="K192" s="161"/>
    </row>
    <row r="193" spans="1:18" ht="15.75" x14ac:dyDescent="0.25">
      <c r="A193" s="105"/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</row>
    <row r="194" spans="1:18" ht="18.75" thickBot="1" x14ac:dyDescent="0.3">
      <c r="A194" s="870" t="s">
        <v>201</v>
      </c>
      <c r="B194" s="871"/>
      <c r="C194" s="871"/>
      <c r="D194" s="871"/>
      <c r="E194" s="871"/>
      <c r="F194" s="871"/>
      <c r="G194" s="871"/>
      <c r="H194" s="871"/>
      <c r="I194" s="871"/>
      <c r="J194" s="809"/>
      <c r="K194" s="1"/>
    </row>
    <row r="195" spans="1:18" ht="27.75" customHeight="1" thickBot="1" x14ac:dyDescent="0.3">
      <c r="A195" s="864" t="s">
        <v>1</v>
      </c>
      <c r="B195" s="865"/>
      <c r="C195" s="413" t="s">
        <v>454</v>
      </c>
      <c r="D195" s="413" t="s">
        <v>496</v>
      </c>
      <c r="E195" s="413" t="s">
        <v>547</v>
      </c>
      <c r="F195" s="413" t="s">
        <v>497</v>
      </c>
      <c r="G195" s="413" t="s">
        <v>568</v>
      </c>
      <c r="H195" s="413" t="s">
        <v>569</v>
      </c>
      <c r="I195" s="413" t="s">
        <v>570</v>
      </c>
      <c r="J195" s="810"/>
      <c r="K195" s="1"/>
    </row>
    <row r="196" spans="1:18" ht="15.75" x14ac:dyDescent="0.25">
      <c r="A196" s="330" t="s">
        <v>202</v>
      </c>
      <c r="B196" s="29"/>
      <c r="C196" s="331">
        <f t="shared" ref="C196:I196" si="127">C76</f>
        <v>2548280</v>
      </c>
      <c r="D196" s="331">
        <f t="shared" si="127"/>
        <v>2548360</v>
      </c>
      <c r="E196" s="331">
        <f t="shared" si="127"/>
        <v>2656610</v>
      </c>
      <c r="F196" s="331">
        <f t="shared" si="127"/>
        <v>2657110</v>
      </c>
      <c r="G196" s="331">
        <f t="shared" si="127"/>
        <v>2718695</v>
      </c>
      <c r="H196" s="331">
        <f t="shared" si="127"/>
        <v>2756505</v>
      </c>
      <c r="I196" s="331">
        <f t="shared" si="127"/>
        <v>762775</v>
      </c>
      <c r="J196" s="806"/>
      <c r="K196" s="1"/>
    </row>
    <row r="197" spans="1:18" ht="15.75" x14ac:dyDescent="0.25">
      <c r="A197" s="332" t="s">
        <v>203</v>
      </c>
      <c r="B197" s="333"/>
      <c r="C197" s="334">
        <f>C141</f>
        <v>2680960</v>
      </c>
      <c r="D197" s="334">
        <f>D141</f>
        <v>2681040</v>
      </c>
      <c r="E197" s="334">
        <f>E141</f>
        <v>2772260</v>
      </c>
      <c r="F197" s="334">
        <f>F141</f>
        <v>2772760</v>
      </c>
      <c r="G197" s="334">
        <f t="shared" ref="G197:H197" si="128">G141</f>
        <v>2834345</v>
      </c>
      <c r="H197" s="334">
        <f t="shared" si="128"/>
        <v>2872155</v>
      </c>
      <c r="I197" s="334">
        <f>I141</f>
        <v>636671</v>
      </c>
      <c r="J197" s="806"/>
      <c r="K197" s="1"/>
    </row>
    <row r="198" spans="1:18" ht="15.75" x14ac:dyDescent="0.25">
      <c r="A198" s="872" t="s">
        <v>204</v>
      </c>
      <c r="B198" s="873"/>
      <c r="C198" s="335">
        <f t="shared" ref="C198:I198" si="129">C196-C197</f>
        <v>-132680</v>
      </c>
      <c r="D198" s="335">
        <f t="shared" ref="D198:F198" si="130">D196-D197</f>
        <v>-132680</v>
      </c>
      <c r="E198" s="335">
        <f t="shared" ref="E198" si="131">E196-E197</f>
        <v>-115650</v>
      </c>
      <c r="F198" s="335">
        <f t="shared" si="130"/>
        <v>-115650</v>
      </c>
      <c r="G198" s="335">
        <f t="shared" ref="G198:H198" si="132">G196-G197</f>
        <v>-115650</v>
      </c>
      <c r="H198" s="335">
        <f t="shared" si="132"/>
        <v>-115650</v>
      </c>
      <c r="I198" s="335">
        <f t="shared" si="129"/>
        <v>126104</v>
      </c>
      <c r="J198" s="811"/>
      <c r="K198" s="1"/>
    </row>
    <row r="199" spans="1:18" ht="15.75" x14ac:dyDescent="0.25">
      <c r="A199" s="332" t="s">
        <v>205</v>
      </c>
      <c r="B199" s="18"/>
      <c r="C199" s="334">
        <f>C146</f>
        <v>869220</v>
      </c>
      <c r="D199" s="334">
        <f>D146</f>
        <v>869220</v>
      </c>
      <c r="E199" s="334">
        <f>E146</f>
        <v>869220</v>
      </c>
      <c r="F199" s="334">
        <f>F146</f>
        <v>1047220</v>
      </c>
      <c r="G199" s="334">
        <f t="shared" ref="G199:H199" si="133">G146</f>
        <v>1047220</v>
      </c>
      <c r="H199" s="334">
        <f t="shared" si="133"/>
        <v>1047220</v>
      </c>
      <c r="I199" s="334">
        <f>I146</f>
        <v>0</v>
      </c>
      <c r="J199" s="806"/>
      <c r="K199" s="1"/>
    </row>
    <row r="200" spans="1:18" ht="15.75" x14ac:dyDescent="0.25">
      <c r="A200" s="332" t="s">
        <v>206</v>
      </c>
      <c r="B200" s="18"/>
      <c r="C200" s="20">
        <f>C154</f>
        <v>1445946</v>
      </c>
      <c r="D200" s="20">
        <f>D154</f>
        <v>1445946</v>
      </c>
      <c r="E200" s="20">
        <f>E154</f>
        <v>1445946</v>
      </c>
      <c r="F200" s="20">
        <f>F154</f>
        <v>1623946</v>
      </c>
      <c r="G200" s="20">
        <f t="shared" ref="G200:H200" si="134">G154</f>
        <v>1623946</v>
      </c>
      <c r="H200" s="20">
        <f t="shared" si="134"/>
        <v>1623946</v>
      </c>
      <c r="I200" s="20">
        <f>I154</f>
        <v>2943</v>
      </c>
      <c r="J200" s="807"/>
      <c r="K200" s="1"/>
    </row>
    <row r="201" spans="1:18" ht="15.75" x14ac:dyDescent="0.25">
      <c r="A201" s="872" t="s">
        <v>207</v>
      </c>
      <c r="B201" s="873"/>
      <c r="C201" s="335">
        <f t="shared" ref="C201:I201" si="135">C199-C200</f>
        <v>-576726</v>
      </c>
      <c r="D201" s="335">
        <f t="shared" ref="D201:F201" si="136">D199-D200</f>
        <v>-576726</v>
      </c>
      <c r="E201" s="335">
        <f t="shared" ref="E201" si="137">E199-E200</f>
        <v>-576726</v>
      </c>
      <c r="F201" s="335">
        <f t="shared" si="136"/>
        <v>-576726</v>
      </c>
      <c r="G201" s="335">
        <f t="shared" ref="G201:H201" si="138">G199-G200</f>
        <v>-576726</v>
      </c>
      <c r="H201" s="335">
        <f t="shared" si="138"/>
        <v>-576726</v>
      </c>
      <c r="I201" s="335">
        <f t="shared" si="135"/>
        <v>-2943</v>
      </c>
      <c r="J201" s="811"/>
      <c r="K201" s="1"/>
    </row>
    <row r="202" spans="1:18" ht="15.75" x14ac:dyDescent="0.25">
      <c r="A202" s="336" t="s">
        <v>208</v>
      </c>
      <c r="B202" s="337"/>
      <c r="C202" s="338">
        <f>C173</f>
        <v>728546</v>
      </c>
      <c r="D202" s="338">
        <f>D173</f>
        <v>728546</v>
      </c>
      <c r="E202" s="338">
        <f>E173</f>
        <v>711516</v>
      </c>
      <c r="F202" s="338">
        <f>F173</f>
        <v>714937</v>
      </c>
      <c r="G202" s="338">
        <f t="shared" ref="G202:H202" si="139">G173</f>
        <v>714937</v>
      </c>
      <c r="H202" s="338">
        <f t="shared" si="139"/>
        <v>714937</v>
      </c>
      <c r="I202" s="338">
        <f>I173</f>
        <v>71164</v>
      </c>
      <c r="J202" s="806"/>
      <c r="K202" s="1"/>
    </row>
    <row r="203" spans="1:18" ht="15.75" x14ac:dyDescent="0.25">
      <c r="A203" s="336" t="s">
        <v>209</v>
      </c>
      <c r="B203" s="337"/>
      <c r="C203" s="338">
        <f t="shared" ref="C203:I203" si="140">C186</f>
        <v>19140</v>
      </c>
      <c r="D203" s="338">
        <f t="shared" ref="D203:F203" si="141">D186</f>
        <v>19140</v>
      </c>
      <c r="E203" s="338">
        <f t="shared" ref="E203" si="142">E186</f>
        <v>19140</v>
      </c>
      <c r="F203" s="338">
        <f t="shared" si="141"/>
        <v>22561</v>
      </c>
      <c r="G203" s="338">
        <f t="shared" ref="G203:H203" si="143">G186</f>
        <v>22561</v>
      </c>
      <c r="H203" s="338">
        <f t="shared" si="143"/>
        <v>22561</v>
      </c>
      <c r="I203" s="338">
        <f t="shared" si="140"/>
        <v>18248</v>
      </c>
      <c r="J203" s="806"/>
      <c r="K203" s="1"/>
    </row>
    <row r="204" spans="1:18" ht="16.5" thickBot="1" x14ac:dyDescent="0.3">
      <c r="A204" s="858" t="s">
        <v>210</v>
      </c>
      <c r="B204" s="859"/>
      <c r="C204" s="339">
        <f t="shared" ref="C204:I204" si="144">C202-C203</f>
        <v>709406</v>
      </c>
      <c r="D204" s="339">
        <f t="shared" ref="D204:F204" si="145">D202-D203</f>
        <v>709406</v>
      </c>
      <c r="E204" s="339">
        <f t="shared" ref="E204" si="146">E202-E203</f>
        <v>692376</v>
      </c>
      <c r="F204" s="339">
        <f t="shared" si="145"/>
        <v>692376</v>
      </c>
      <c r="G204" s="339">
        <f t="shared" ref="G204:H204" si="147">G202-G203</f>
        <v>692376</v>
      </c>
      <c r="H204" s="339">
        <f t="shared" si="147"/>
        <v>692376</v>
      </c>
      <c r="I204" s="339">
        <f t="shared" si="144"/>
        <v>52916</v>
      </c>
      <c r="J204" s="811"/>
      <c r="K204" s="1"/>
    </row>
    <row r="205" spans="1:18" ht="16.5" thickBot="1" x14ac:dyDescent="0.3">
      <c r="A205" s="340" t="s">
        <v>211</v>
      </c>
      <c r="B205" s="341"/>
      <c r="C205" s="342">
        <f t="shared" ref="C205:I205" si="148">C198+C201+C204</f>
        <v>0</v>
      </c>
      <c r="D205" s="342">
        <f t="shared" ref="D205:F205" si="149">D198+D201+D204</f>
        <v>0</v>
      </c>
      <c r="E205" s="342">
        <f t="shared" ref="E205" si="150">E198+E201+E204</f>
        <v>0</v>
      </c>
      <c r="F205" s="342">
        <f t="shared" si="149"/>
        <v>0</v>
      </c>
      <c r="G205" s="342">
        <f t="shared" ref="G205:H205" si="151">G198+G201+G204</f>
        <v>0</v>
      </c>
      <c r="H205" s="342">
        <f t="shared" si="151"/>
        <v>0</v>
      </c>
      <c r="I205" s="342">
        <f t="shared" si="148"/>
        <v>176077</v>
      </c>
      <c r="J205" s="811"/>
      <c r="K205" s="1"/>
    </row>
    <row r="206" spans="1:1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8" ht="16.5" x14ac:dyDescent="0.3">
      <c r="A207" s="1"/>
      <c r="B207" s="704" t="s">
        <v>457</v>
      </c>
      <c r="C207" s="705">
        <f t="shared" ref="C207:I208" si="152">C196+C199+C202</f>
        <v>4146046</v>
      </c>
      <c r="D207" s="705">
        <f t="shared" ref="D207:F207" si="153">D196+D199+D202</f>
        <v>4146126</v>
      </c>
      <c r="E207" s="705">
        <f t="shared" ref="E207" si="154">E196+E199+E202</f>
        <v>4237346</v>
      </c>
      <c r="F207" s="705">
        <f t="shared" si="153"/>
        <v>4419267</v>
      </c>
      <c r="G207" s="705">
        <f t="shared" ref="G207:H207" si="155">G196+G199+G202</f>
        <v>4480852</v>
      </c>
      <c r="H207" s="705">
        <f t="shared" si="155"/>
        <v>4518662</v>
      </c>
      <c r="I207" s="705">
        <f t="shared" si="152"/>
        <v>833939</v>
      </c>
      <c r="J207" s="705"/>
      <c r="K207" s="1"/>
      <c r="L207" s="458">
        <f t="shared" ref="L207:L208" si="156">D207-C207</f>
        <v>80</v>
      </c>
      <c r="M207" s="458">
        <f t="shared" ref="M207:M208" si="157">E207-D207</f>
        <v>91220</v>
      </c>
      <c r="N207" s="458">
        <f t="shared" ref="N207:N208" si="158">F207-E207</f>
        <v>181921</v>
      </c>
      <c r="O207" s="458">
        <f t="shared" ref="O207:O208" si="159">G207-F207</f>
        <v>61585</v>
      </c>
      <c r="P207" s="458">
        <f t="shared" ref="P207:P208" si="160">H207-G207</f>
        <v>37810</v>
      </c>
      <c r="Q207" s="458"/>
      <c r="R207" s="458"/>
    </row>
    <row r="208" spans="1:18" ht="16.5" x14ac:dyDescent="0.3">
      <c r="A208" s="1"/>
      <c r="B208" s="704" t="s">
        <v>458</v>
      </c>
      <c r="C208" s="705">
        <f t="shared" si="152"/>
        <v>4146046</v>
      </c>
      <c r="D208" s="705">
        <f t="shared" ref="D208:F208" si="161">D197+D200+D203</f>
        <v>4146126</v>
      </c>
      <c r="E208" s="705">
        <f t="shared" ref="E208" si="162">E197+E200+E203</f>
        <v>4237346</v>
      </c>
      <c r="F208" s="705">
        <f t="shared" si="161"/>
        <v>4419267</v>
      </c>
      <c r="G208" s="705">
        <f t="shared" ref="G208:H208" si="163">G197+G200+G203</f>
        <v>4480852</v>
      </c>
      <c r="H208" s="705">
        <f t="shared" si="163"/>
        <v>4518662</v>
      </c>
      <c r="I208" s="705">
        <f t="shared" si="152"/>
        <v>657862</v>
      </c>
      <c r="J208" s="705"/>
      <c r="K208" s="1"/>
      <c r="L208" s="458">
        <f t="shared" si="156"/>
        <v>80</v>
      </c>
      <c r="M208" s="458">
        <f t="shared" si="157"/>
        <v>91220</v>
      </c>
      <c r="N208" s="458">
        <f t="shared" si="158"/>
        <v>181921</v>
      </c>
      <c r="O208" s="458">
        <f t="shared" si="159"/>
        <v>61585</v>
      </c>
      <c r="P208" s="458">
        <f t="shared" si="160"/>
        <v>37810</v>
      </c>
      <c r="Q208" s="458"/>
      <c r="R208" s="458"/>
    </row>
    <row r="209" spans="1:18" ht="16.5" x14ac:dyDescent="0.3">
      <c r="A209" s="1"/>
      <c r="B209" s="704"/>
      <c r="C209" s="705"/>
      <c r="D209" s="705"/>
      <c r="E209" s="705"/>
      <c r="F209" s="705"/>
      <c r="G209" s="705"/>
      <c r="H209" s="705"/>
      <c r="I209" s="705"/>
      <c r="J209" s="705"/>
      <c r="K209" s="1"/>
      <c r="L209" s="458"/>
      <c r="M209" s="458"/>
      <c r="N209" s="458"/>
      <c r="O209" s="458"/>
      <c r="P209" s="458"/>
      <c r="Q209" s="458"/>
      <c r="R209" s="458"/>
    </row>
    <row r="210" spans="1:18" ht="16.5" x14ac:dyDescent="0.3">
      <c r="A210" s="1"/>
      <c r="B210" s="704" t="s">
        <v>459</v>
      </c>
      <c r="C210" s="705">
        <f t="shared" ref="C210:I210" si="164">C207-C75</f>
        <v>4130016</v>
      </c>
      <c r="D210" s="705">
        <f t="shared" si="164"/>
        <v>4130096</v>
      </c>
      <c r="E210" s="705">
        <f t="shared" si="164"/>
        <v>4221316</v>
      </c>
      <c r="F210" s="705">
        <f t="shared" si="164"/>
        <v>4403237</v>
      </c>
      <c r="G210" s="705">
        <f t="shared" si="164"/>
        <v>4464822</v>
      </c>
      <c r="H210" s="705">
        <f t="shared" si="164"/>
        <v>4502632</v>
      </c>
      <c r="I210" s="705">
        <f t="shared" si="164"/>
        <v>827423</v>
      </c>
      <c r="J210" s="705"/>
      <c r="K210" s="1"/>
      <c r="L210" s="458">
        <f t="shared" ref="L210:L211" si="165">D210-C210</f>
        <v>80</v>
      </c>
      <c r="M210" s="458">
        <f t="shared" ref="M210:M211" si="166">E210-D210</f>
        <v>91220</v>
      </c>
      <c r="N210" s="458">
        <f t="shared" ref="N210:N211" si="167">F210-E210</f>
        <v>181921</v>
      </c>
      <c r="O210" s="458">
        <f t="shared" ref="O210:O211" si="168">G210-F210</f>
        <v>61585</v>
      </c>
      <c r="P210" s="458">
        <f t="shared" ref="P210:P211" si="169">H210-G210</f>
        <v>37810</v>
      </c>
      <c r="Q210" s="458"/>
      <c r="R210" s="458"/>
    </row>
    <row r="211" spans="1:18" ht="16.5" x14ac:dyDescent="0.3">
      <c r="A211" s="1"/>
      <c r="B211" s="704" t="s">
        <v>460</v>
      </c>
      <c r="C211" s="705">
        <f>C208-C140</f>
        <v>3231446</v>
      </c>
      <c r="D211" s="705">
        <f>D208-D140</f>
        <v>3231526</v>
      </c>
      <c r="E211" s="705">
        <f>E208-E140</f>
        <v>3264747</v>
      </c>
      <c r="F211" s="705">
        <f>F208-F140</f>
        <v>3446668</v>
      </c>
      <c r="G211" s="705">
        <f t="shared" ref="G211:H211" si="170">G208-G140</f>
        <v>3508253</v>
      </c>
      <c r="H211" s="705">
        <f t="shared" si="170"/>
        <v>3546063</v>
      </c>
      <c r="I211" s="705">
        <f>I208-I140</f>
        <v>400413</v>
      </c>
      <c r="J211" s="705"/>
      <c r="K211" s="1"/>
      <c r="L211" s="458">
        <f t="shared" si="165"/>
        <v>80</v>
      </c>
      <c r="M211" s="458">
        <f t="shared" si="166"/>
        <v>33221</v>
      </c>
      <c r="N211" s="458">
        <f t="shared" si="167"/>
        <v>181921</v>
      </c>
      <c r="O211" s="458">
        <f t="shared" si="168"/>
        <v>61585</v>
      </c>
      <c r="P211" s="458">
        <f t="shared" si="169"/>
        <v>37810</v>
      </c>
      <c r="Q211" s="458"/>
      <c r="R211" s="458"/>
    </row>
    <row r="212" spans="1:18" ht="16.5" x14ac:dyDescent="0.3">
      <c r="A212" s="1"/>
      <c r="B212" s="704"/>
      <c r="C212" s="705"/>
      <c r="D212" s="705"/>
      <c r="E212" s="705"/>
      <c r="F212" s="705"/>
      <c r="G212" s="705"/>
      <c r="H212" s="705"/>
      <c r="I212" s="705"/>
      <c r="J212" s="705"/>
      <c r="K212" s="1"/>
      <c r="L212" s="458"/>
      <c r="M212" s="458"/>
      <c r="N212" s="458"/>
      <c r="O212" s="458"/>
      <c r="P212" s="458"/>
      <c r="Q212" s="458"/>
      <c r="R212" s="458"/>
    </row>
    <row r="213" spans="1:18" ht="16.5" x14ac:dyDescent="0.3">
      <c r="A213" s="1"/>
      <c r="B213" s="706" t="s">
        <v>461</v>
      </c>
      <c r="C213" s="707">
        <f t="shared" ref="C213:I214" si="171">C207-C210</f>
        <v>16030</v>
      </c>
      <c r="D213" s="707">
        <f t="shared" ref="D213:F213" si="172">D207-D210</f>
        <v>16030</v>
      </c>
      <c r="E213" s="707">
        <f t="shared" ref="E213" si="173">E207-E210</f>
        <v>16030</v>
      </c>
      <c r="F213" s="707">
        <f t="shared" si="172"/>
        <v>16030</v>
      </c>
      <c r="G213" s="707">
        <f t="shared" ref="G213:H213" si="174">G207-G210</f>
        <v>16030</v>
      </c>
      <c r="H213" s="707">
        <f t="shared" si="174"/>
        <v>16030</v>
      </c>
      <c r="I213" s="707">
        <f t="shared" si="171"/>
        <v>6516</v>
      </c>
      <c r="J213" s="707"/>
      <c r="K213" s="1"/>
      <c r="L213" s="458">
        <f t="shared" ref="L213:L215" si="175">D213-C213</f>
        <v>0</v>
      </c>
      <c r="M213" s="458">
        <f t="shared" ref="M213:M215" si="176">E213-D213</f>
        <v>0</v>
      </c>
      <c r="N213" s="458">
        <f t="shared" ref="N213:N215" si="177">F213-E213</f>
        <v>0</v>
      </c>
      <c r="O213" s="458">
        <f t="shared" ref="O213:O215" si="178">G213-F213</f>
        <v>0</v>
      </c>
      <c r="P213" s="458">
        <f t="shared" ref="P213:P215" si="179">H213-G213</f>
        <v>0</v>
      </c>
      <c r="Q213" s="458"/>
      <c r="R213" s="458"/>
    </row>
    <row r="214" spans="1:18" ht="16.5" x14ac:dyDescent="0.3">
      <c r="A214" s="104"/>
      <c r="B214" s="706" t="s">
        <v>462</v>
      </c>
      <c r="C214" s="707">
        <f t="shared" si="171"/>
        <v>914600</v>
      </c>
      <c r="D214" s="707">
        <f t="shared" ref="D214:F214" si="180">D208-D211</f>
        <v>914600</v>
      </c>
      <c r="E214" s="707">
        <f t="shared" ref="E214" si="181">E208-E211</f>
        <v>972599</v>
      </c>
      <c r="F214" s="707">
        <f t="shared" si="180"/>
        <v>972599</v>
      </c>
      <c r="G214" s="707">
        <f t="shared" ref="G214:H214" si="182">G208-G211</f>
        <v>972599</v>
      </c>
      <c r="H214" s="707">
        <f t="shared" si="182"/>
        <v>972599</v>
      </c>
      <c r="I214" s="707">
        <f t="shared" si="171"/>
        <v>257449</v>
      </c>
      <c r="J214" s="707"/>
      <c r="K214" s="1"/>
      <c r="L214" s="458">
        <f t="shared" si="175"/>
        <v>0</v>
      </c>
      <c r="M214" s="458">
        <f t="shared" si="176"/>
        <v>57999</v>
      </c>
      <c r="N214" s="458">
        <f t="shared" si="177"/>
        <v>0</v>
      </c>
      <c r="O214" s="458">
        <f t="shared" si="178"/>
        <v>0</v>
      </c>
      <c r="P214" s="458">
        <f t="shared" si="179"/>
        <v>0</v>
      </c>
      <c r="Q214" s="458"/>
      <c r="R214" s="458"/>
    </row>
    <row r="215" spans="1:18" ht="16.5" x14ac:dyDescent="0.3">
      <c r="A215" s="1"/>
      <c r="B215" s="704" t="s">
        <v>365</v>
      </c>
      <c r="C215" s="707">
        <f t="shared" ref="C215:I215" si="183">C214-C213+C205</f>
        <v>898570</v>
      </c>
      <c r="D215" s="707">
        <f t="shared" ref="D215:F215" si="184">D214-D213+D205</f>
        <v>898570</v>
      </c>
      <c r="E215" s="707">
        <f t="shared" ref="E215" si="185">E214-E213+E205</f>
        <v>956569</v>
      </c>
      <c r="F215" s="707">
        <f t="shared" si="184"/>
        <v>956569</v>
      </c>
      <c r="G215" s="707">
        <f t="shared" ref="G215:H215" si="186">G214-G213+G205</f>
        <v>956569</v>
      </c>
      <c r="H215" s="707">
        <f t="shared" si="186"/>
        <v>956569</v>
      </c>
      <c r="I215" s="707">
        <f t="shared" si="183"/>
        <v>427010</v>
      </c>
      <c r="J215" s="707"/>
      <c r="K215" s="1"/>
      <c r="L215" s="458">
        <f t="shared" si="175"/>
        <v>0</v>
      </c>
      <c r="M215" s="458">
        <f t="shared" si="176"/>
        <v>57999</v>
      </c>
      <c r="N215" s="458">
        <f t="shared" si="177"/>
        <v>0</v>
      </c>
      <c r="O215" s="458">
        <f t="shared" si="178"/>
        <v>0</v>
      </c>
      <c r="P215" s="458">
        <f t="shared" si="179"/>
        <v>0</v>
      </c>
      <c r="Q215" s="458"/>
      <c r="R215" s="458"/>
    </row>
    <row r="216" spans="1:18" x14ac:dyDescent="0.25">
      <c r="A216" s="1"/>
      <c r="B216" s="1"/>
      <c r="C216" s="531"/>
      <c r="D216" s="531"/>
      <c r="E216" s="531"/>
      <c r="F216" s="531"/>
      <c r="G216" s="531"/>
      <c r="H216" s="531"/>
      <c r="I216" s="531"/>
      <c r="J216" s="531"/>
      <c r="K216" s="1"/>
    </row>
    <row r="217" spans="1:18" x14ac:dyDescent="0.25">
      <c r="A217" s="1"/>
      <c r="B217" s="345" t="s">
        <v>216</v>
      </c>
      <c r="C217" s="554"/>
      <c r="D217" s="345"/>
      <c r="E217" s="345"/>
      <c r="F217" s="345"/>
      <c r="G217" s="345"/>
      <c r="H217" s="345"/>
      <c r="I217" s="345"/>
      <c r="J217" s="345"/>
      <c r="K217" s="1"/>
    </row>
    <row r="218" spans="1:18" x14ac:dyDescent="0.25">
      <c r="A218" s="1"/>
      <c r="B218" s="345" t="s">
        <v>455</v>
      </c>
      <c r="C218" s="345"/>
      <c r="D218" s="345"/>
      <c r="E218" s="345"/>
      <c r="F218" s="345"/>
      <c r="G218" s="345"/>
      <c r="H218" s="345"/>
      <c r="I218" s="345"/>
      <c r="J218" s="345"/>
      <c r="K218" s="1"/>
    </row>
    <row r="219" spans="1:18" x14ac:dyDescent="0.25">
      <c r="A219" s="1"/>
      <c r="B219" s="345"/>
      <c r="C219" s="345"/>
      <c r="D219" s="345"/>
      <c r="E219" s="345"/>
      <c r="F219" s="345"/>
      <c r="G219" s="345"/>
      <c r="H219" s="345"/>
      <c r="I219" s="345"/>
      <c r="J219" s="345"/>
      <c r="K219" s="1"/>
    </row>
    <row r="220" spans="1:18" x14ac:dyDescent="0.25">
      <c r="A220" s="1"/>
      <c r="B220" s="347" t="s">
        <v>456</v>
      </c>
      <c r="C220" s="345"/>
      <c r="D220" s="345"/>
      <c r="E220" s="345"/>
      <c r="F220" s="345"/>
      <c r="G220" s="345"/>
      <c r="H220" s="345"/>
      <c r="I220" s="345"/>
      <c r="J220" s="345"/>
      <c r="K220" s="1"/>
    </row>
    <row r="221" spans="1:18" x14ac:dyDescent="0.25">
      <c r="A221" s="1"/>
      <c r="B221" s="347"/>
      <c r="C221" s="345"/>
      <c r="D221" s="345"/>
      <c r="E221" s="345"/>
      <c r="F221" s="345"/>
      <c r="G221" s="345"/>
      <c r="H221" s="345"/>
      <c r="I221" s="345"/>
      <c r="J221" s="345"/>
      <c r="K221" s="1"/>
    </row>
    <row r="222" spans="1:18" x14ac:dyDescent="0.25">
      <c r="A222" s="1"/>
      <c r="B222" s="346" t="s">
        <v>608</v>
      </c>
      <c r="C222" s="345"/>
      <c r="D222" s="345"/>
      <c r="E222" s="345"/>
      <c r="F222" s="345"/>
      <c r="G222" s="345"/>
      <c r="H222" s="345"/>
      <c r="I222" s="345"/>
      <c r="J222" s="345"/>
      <c r="K222" s="1"/>
    </row>
    <row r="223" spans="1:18" x14ac:dyDescent="0.25">
      <c r="A223" s="1"/>
      <c r="B223" s="345" t="s">
        <v>619</v>
      </c>
      <c r="C223" s="345"/>
      <c r="D223" s="345"/>
      <c r="E223" s="345"/>
      <c r="F223" s="345"/>
      <c r="G223" s="345"/>
      <c r="H223" s="345"/>
      <c r="I223" s="345"/>
      <c r="J223" s="345"/>
      <c r="K223" s="1"/>
    </row>
    <row r="224" spans="1:18" x14ac:dyDescent="0.25">
      <c r="A224" s="1"/>
      <c r="B224" s="345" t="s">
        <v>620</v>
      </c>
      <c r="C224" s="345"/>
      <c r="D224" s="345"/>
      <c r="E224" s="345"/>
      <c r="F224" s="345"/>
      <c r="G224" s="345"/>
      <c r="H224" s="345"/>
      <c r="I224" s="345"/>
      <c r="J224" s="345"/>
      <c r="K224" s="1"/>
    </row>
    <row r="225" spans="1:11" x14ac:dyDescent="0.25">
      <c r="A225" s="1"/>
      <c r="B225" s="345"/>
      <c r="C225" s="345"/>
      <c r="D225" s="345"/>
      <c r="E225" s="345"/>
      <c r="F225" s="345"/>
      <c r="G225" s="345"/>
      <c r="H225" s="345"/>
      <c r="I225" s="345"/>
      <c r="J225" s="345"/>
      <c r="K225" s="1"/>
    </row>
    <row r="226" spans="1:11" x14ac:dyDescent="0.25">
      <c r="A226" s="1"/>
      <c r="B226" s="347" t="s">
        <v>567</v>
      </c>
      <c r="C226" s="345"/>
      <c r="D226" s="345"/>
      <c r="E226" s="345"/>
      <c r="F226" s="345"/>
      <c r="G226" s="345"/>
      <c r="H226" s="345"/>
      <c r="I226" s="345"/>
      <c r="J226" s="345"/>
      <c r="K226" s="1"/>
    </row>
    <row r="227" spans="1:11" x14ac:dyDescent="0.25">
      <c r="A227" s="1"/>
      <c r="B227" s="347" t="s">
        <v>626</v>
      </c>
      <c r="C227" s="345"/>
      <c r="D227" s="345"/>
      <c r="E227" s="345"/>
      <c r="F227" s="345"/>
      <c r="G227" s="345"/>
      <c r="H227" s="345"/>
      <c r="I227" s="345"/>
      <c r="J227" s="345"/>
      <c r="K227" s="1"/>
    </row>
    <row r="228" spans="1:11" x14ac:dyDescent="0.25">
      <c r="A228" s="1"/>
      <c r="B228" s="345"/>
      <c r="C228" s="345"/>
      <c r="D228" s="345"/>
      <c r="E228" s="345"/>
      <c r="F228" s="345"/>
      <c r="G228" s="345"/>
      <c r="H228" s="345"/>
      <c r="I228" s="345"/>
      <c r="J228" s="345"/>
      <c r="K228" s="1"/>
    </row>
    <row r="229" spans="1:11" x14ac:dyDescent="0.25">
      <c r="A229" s="1"/>
      <c r="B229" s="344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/>
      <c r="B230" s="344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/>
      <c r="B231" s="344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/>
      <c r="B232" s="344"/>
      <c r="C232" s="1"/>
      <c r="D232" s="1"/>
      <c r="E232" s="1"/>
      <c r="F232" s="1"/>
      <c r="G232" s="1"/>
      <c r="H232" s="1"/>
      <c r="I232" s="1"/>
      <c r="J232" s="1"/>
      <c r="K232" s="1"/>
    </row>
  </sheetData>
  <mergeCells count="24">
    <mergeCell ref="A198:B198"/>
    <mergeCell ref="A201:B201"/>
    <mergeCell ref="A204:B204"/>
    <mergeCell ref="A171:I171"/>
    <mergeCell ref="A194:I194"/>
    <mergeCell ref="A172:B172"/>
    <mergeCell ref="A195:B195"/>
    <mergeCell ref="A144:I144"/>
    <mergeCell ref="A140:B140"/>
    <mergeCell ref="A145:B145"/>
    <mergeCell ref="A146:B146"/>
    <mergeCell ref="A154:B154"/>
    <mergeCell ref="A139:B139"/>
    <mergeCell ref="A1:I1"/>
    <mergeCell ref="A2:B2"/>
    <mergeCell ref="A3:B3"/>
    <mergeCell ref="A11:B11"/>
    <mergeCell ref="A72:B72"/>
    <mergeCell ref="A74:B74"/>
    <mergeCell ref="A75:B75"/>
    <mergeCell ref="A79:I79"/>
    <mergeCell ref="A80:B80"/>
    <mergeCell ref="A96:B96"/>
    <mergeCell ref="A135:B135"/>
  </mergeCells>
  <pageMargins left="0.7" right="0.7" top="0.75" bottom="0.75" header="0.3" footer="0.3"/>
  <pageSetup paperSize="9" scale="37" fitToHeight="0" orientation="portrait" r:id="rId1"/>
  <headerFooter>
    <oddHeader xml:space="preserve">&amp;CRozpočet obce Heľpa na rok 2023
2.zmena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workbookViewId="0">
      <selection activeCell="H29" sqref="H29"/>
    </sheetView>
  </sheetViews>
  <sheetFormatPr defaultRowHeight="15" x14ac:dyDescent="0.25"/>
  <cols>
    <col min="2" max="2" width="56.5703125" customWidth="1"/>
    <col min="3" max="7" width="12.7109375" customWidth="1"/>
  </cols>
  <sheetData>
    <row r="1" spans="1:9" ht="18.75" thickBot="1" x14ac:dyDescent="0.3">
      <c r="A1" s="876" t="s">
        <v>0</v>
      </c>
      <c r="B1" s="877"/>
      <c r="C1" s="877"/>
      <c r="D1" s="877"/>
      <c r="E1" s="877"/>
      <c r="F1" s="877"/>
      <c r="G1" s="877"/>
      <c r="H1" s="1"/>
    </row>
    <row r="2" spans="1:9" ht="15.75" thickBot="1" x14ac:dyDescent="0.3">
      <c r="A2" s="878" t="s">
        <v>1</v>
      </c>
      <c r="B2" s="879"/>
      <c r="C2" s="413" t="s">
        <v>454</v>
      </c>
      <c r="D2" s="413" t="s">
        <v>496</v>
      </c>
      <c r="E2" s="413" t="s">
        <v>547</v>
      </c>
      <c r="F2" s="413" t="s">
        <v>497</v>
      </c>
      <c r="G2" s="413" t="s">
        <v>646</v>
      </c>
      <c r="H2" s="1"/>
    </row>
    <row r="3" spans="1:9" ht="15.75" thickBot="1" x14ac:dyDescent="0.3">
      <c r="A3" s="880" t="s">
        <v>4</v>
      </c>
      <c r="B3" s="881"/>
      <c r="C3" s="2">
        <f t="shared" ref="C3:G3" si="0">SUM(C4:C10)</f>
        <v>1452500</v>
      </c>
      <c r="D3" s="2">
        <f t="shared" si="0"/>
        <v>1452500</v>
      </c>
      <c r="E3" s="2">
        <f t="shared" si="0"/>
        <v>1452500</v>
      </c>
      <c r="F3" s="2">
        <f t="shared" si="0"/>
        <v>1452500</v>
      </c>
      <c r="G3" s="2">
        <f t="shared" si="0"/>
        <v>170148</v>
      </c>
      <c r="H3" s="1"/>
    </row>
    <row r="4" spans="1:9" ht="15.75" thickBot="1" x14ac:dyDescent="0.3">
      <c r="A4" s="3">
        <v>111</v>
      </c>
      <c r="B4" s="124" t="s">
        <v>5</v>
      </c>
      <c r="C4" s="6">
        <v>1368000</v>
      </c>
      <c r="D4" s="6">
        <v>1368000</v>
      </c>
      <c r="E4" s="6">
        <v>1368000</v>
      </c>
      <c r="F4" s="6">
        <v>1368000</v>
      </c>
      <c r="G4" s="6">
        <v>157847</v>
      </c>
      <c r="H4" s="1"/>
    </row>
    <row r="5" spans="1:9" ht="15.75" thickBot="1" x14ac:dyDescent="0.3">
      <c r="A5" s="7">
        <v>121</v>
      </c>
      <c r="B5" s="350" t="s">
        <v>6</v>
      </c>
      <c r="C5" s="11">
        <v>43200</v>
      </c>
      <c r="D5" s="11">
        <v>43200</v>
      </c>
      <c r="E5" s="11">
        <v>43200</v>
      </c>
      <c r="F5" s="11">
        <v>43200</v>
      </c>
      <c r="G5" s="11">
        <v>5940</v>
      </c>
      <c r="H5" s="1"/>
    </row>
    <row r="6" spans="1:9" x14ac:dyDescent="0.25">
      <c r="A6" s="12">
        <v>133</v>
      </c>
      <c r="B6" s="351" t="s">
        <v>7</v>
      </c>
      <c r="C6" s="16">
        <v>1100</v>
      </c>
      <c r="D6" s="16">
        <v>1100</v>
      </c>
      <c r="E6" s="16">
        <v>1100</v>
      </c>
      <c r="F6" s="16">
        <v>1100</v>
      </c>
      <c r="G6" s="16">
        <v>339</v>
      </c>
      <c r="H6" s="1"/>
    </row>
    <row r="7" spans="1:9" x14ac:dyDescent="0.25">
      <c r="A7" s="17">
        <v>133</v>
      </c>
      <c r="B7" s="352" t="s">
        <v>8</v>
      </c>
      <c r="C7" s="21">
        <v>200</v>
      </c>
      <c r="D7" s="21">
        <v>200</v>
      </c>
      <c r="E7" s="21">
        <v>200</v>
      </c>
      <c r="F7" s="21">
        <v>200</v>
      </c>
      <c r="G7" s="21">
        <v>0</v>
      </c>
      <c r="H7" s="1"/>
    </row>
    <row r="8" spans="1:9" x14ac:dyDescent="0.25">
      <c r="A8" s="17">
        <v>133</v>
      </c>
      <c r="B8" s="352" t="s">
        <v>9</v>
      </c>
      <c r="C8" s="21">
        <v>2000</v>
      </c>
      <c r="D8" s="21">
        <v>2000</v>
      </c>
      <c r="E8" s="21">
        <v>2000</v>
      </c>
      <c r="F8" s="21">
        <v>2000</v>
      </c>
      <c r="G8" s="21">
        <v>136</v>
      </c>
      <c r="H8" s="1"/>
    </row>
    <row r="9" spans="1:9" x14ac:dyDescent="0.25">
      <c r="A9" s="17">
        <v>133</v>
      </c>
      <c r="B9" s="352" t="s">
        <v>10</v>
      </c>
      <c r="C9" s="21">
        <v>6000</v>
      </c>
      <c r="D9" s="21">
        <v>6000</v>
      </c>
      <c r="E9" s="21">
        <v>6000</v>
      </c>
      <c r="F9" s="21">
        <v>6000</v>
      </c>
      <c r="G9" s="21">
        <v>90</v>
      </c>
      <c r="H9" s="1"/>
    </row>
    <row r="10" spans="1:9" ht="15.75" thickBot="1" x14ac:dyDescent="0.3">
      <c r="A10" s="22">
        <v>133</v>
      </c>
      <c r="B10" s="353" t="s">
        <v>11</v>
      </c>
      <c r="C10" s="26">
        <v>32000</v>
      </c>
      <c r="D10" s="26">
        <v>32000</v>
      </c>
      <c r="E10" s="26">
        <v>32000</v>
      </c>
      <c r="F10" s="26">
        <v>32000</v>
      </c>
      <c r="G10" s="26">
        <v>5796</v>
      </c>
      <c r="H10" s="27"/>
    </row>
    <row r="11" spans="1:9" ht="15.75" thickBot="1" x14ac:dyDescent="0.3">
      <c r="A11" s="880" t="s">
        <v>12</v>
      </c>
      <c r="B11" s="881"/>
      <c r="C11" s="354">
        <f>SUM(C12:C31)</f>
        <v>245915</v>
      </c>
      <c r="D11" s="354">
        <f>SUM(D12:D31)</f>
        <v>245915</v>
      </c>
      <c r="E11" s="354">
        <f>SUM(E12:E31)</f>
        <v>245915</v>
      </c>
      <c r="F11" s="354">
        <f>SUM(F12:F31)</f>
        <v>246415</v>
      </c>
      <c r="G11" s="354">
        <f>SUM(G12:G31)</f>
        <v>15459</v>
      </c>
      <c r="H11" s="1"/>
    </row>
    <row r="12" spans="1:9" x14ac:dyDescent="0.25">
      <c r="A12" s="28">
        <v>212</v>
      </c>
      <c r="B12" s="29" t="s">
        <v>13</v>
      </c>
      <c r="C12" s="32">
        <v>1294</v>
      </c>
      <c r="D12" s="32">
        <v>1294</v>
      </c>
      <c r="E12" s="32">
        <v>1294</v>
      </c>
      <c r="F12" s="740">
        <f>1294+119</f>
        <v>1413</v>
      </c>
      <c r="G12" s="32">
        <v>136</v>
      </c>
      <c r="H12" s="1"/>
    </row>
    <row r="13" spans="1:9" x14ac:dyDescent="0.25">
      <c r="A13" s="12">
        <v>212</v>
      </c>
      <c r="B13" s="13" t="s">
        <v>14</v>
      </c>
      <c r="C13" s="16">
        <v>1000</v>
      </c>
      <c r="D13" s="16">
        <v>1000</v>
      </c>
      <c r="E13" s="16">
        <v>1000</v>
      </c>
      <c r="F13" s="16">
        <v>1000</v>
      </c>
      <c r="G13" s="16">
        <v>0</v>
      </c>
      <c r="H13" s="27"/>
    </row>
    <row r="14" spans="1:9" x14ac:dyDescent="0.25">
      <c r="A14" s="17">
        <v>212</v>
      </c>
      <c r="B14" s="18" t="s">
        <v>15</v>
      </c>
      <c r="C14" s="33">
        <v>3713</v>
      </c>
      <c r="D14" s="33">
        <v>3713</v>
      </c>
      <c r="E14" s="33">
        <v>3713</v>
      </c>
      <c r="F14" s="715">
        <f>3713-119</f>
        <v>3594</v>
      </c>
      <c r="G14" s="33">
        <v>237</v>
      </c>
      <c r="H14" s="1"/>
    </row>
    <row r="15" spans="1:9" x14ac:dyDescent="0.25">
      <c r="A15" s="17">
        <v>212</v>
      </c>
      <c r="B15" s="18" t="s">
        <v>16</v>
      </c>
      <c r="C15" s="21">
        <v>19848</v>
      </c>
      <c r="D15" s="21">
        <v>19848</v>
      </c>
      <c r="E15" s="21">
        <v>19848</v>
      </c>
      <c r="F15" s="21">
        <v>19848</v>
      </c>
      <c r="G15" s="21">
        <v>1850</v>
      </c>
      <c r="H15" s="27"/>
    </row>
    <row r="16" spans="1:9" ht="15.75" thickBot="1" x14ac:dyDescent="0.3">
      <c r="A16" s="35">
        <v>212</v>
      </c>
      <c r="B16" s="36" t="s">
        <v>17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458">
        <f>SUM(C12:C16)</f>
        <v>25855</v>
      </c>
      <c r="I16" s="458">
        <f>SUM(G12:G16)</f>
        <v>2223</v>
      </c>
    </row>
    <row r="17" spans="1:9" ht="15.75" thickBot="1" x14ac:dyDescent="0.3">
      <c r="A17" s="7">
        <v>221</v>
      </c>
      <c r="B17" s="8" t="s">
        <v>18</v>
      </c>
      <c r="C17" s="41">
        <v>5100</v>
      </c>
      <c r="D17" s="41">
        <v>5100</v>
      </c>
      <c r="E17" s="41">
        <v>5100</v>
      </c>
      <c r="F17" s="41">
        <v>5100</v>
      </c>
      <c r="G17" s="41">
        <v>383</v>
      </c>
      <c r="H17" s="1"/>
    </row>
    <row r="18" spans="1:9" ht="15.75" thickBot="1" x14ac:dyDescent="0.3">
      <c r="A18" s="35">
        <v>222</v>
      </c>
      <c r="B18" s="36" t="s">
        <v>19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1"/>
    </row>
    <row r="19" spans="1:9" x14ac:dyDescent="0.25">
      <c r="A19" s="12">
        <v>223</v>
      </c>
      <c r="B19" s="13" t="s">
        <v>20</v>
      </c>
      <c r="C19" s="16">
        <v>750</v>
      </c>
      <c r="D19" s="16">
        <v>750</v>
      </c>
      <c r="E19" s="16">
        <v>750</v>
      </c>
      <c r="F19" s="16">
        <v>750</v>
      </c>
      <c r="G19" s="16">
        <v>16</v>
      </c>
      <c r="H19" s="1"/>
    </row>
    <row r="20" spans="1:9" x14ac:dyDescent="0.25">
      <c r="A20" s="17">
        <v>223</v>
      </c>
      <c r="B20" s="18" t="s">
        <v>21</v>
      </c>
      <c r="C20" s="21">
        <f t="shared" ref="C20:F20" si="1">19000+3000</f>
        <v>22000</v>
      </c>
      <c r="D20" s="21">
        <f t="shared" si="1"/>
        <v>22000</v>
      </c>
      <c r="E20" s="21">
        <f t="shared" si="1"/>
        <v>22000</v>
      </c>
      <c r="F20" s="21">
        <f t="shared" si="1"/>
        <v>22000</v>
      </c>
      <c r="G20" s="21">
        <v>1107</v>
      </c>
      <c r="H20" s="1"/>
    </row>
    <row r="21" spans="1:9" x14ac:dyDescent="0.25">
      <c r="A21" s="17">
        <v>223</v>
      </c>
      <c r="B21" s="18" t="s">
        <v>22</v>
      </c>
      <c r="C21" s="21">
        <v>50</v>
      </c>
      <c r="D21" s="21">
        <v>50</v>
      </c>
      <c r="E21" s="21">
        <v>50</v>
      </c>
      <c r="F21" s="21">
        <v>50</v>
      </c>
      <c r="G21" s="21">
        <v>0</v>
      </c>
      <c r="H21" s="1"/>
    </row>
    <row r="22" spans="1:9" x14ac:dyDescent="0.25">
      <c r="A22" s="17">
        <v>223</v>
      </c>
      <c r="B22" s="18" t="s">
        <v>23</v>
      </c>
      <c r="C22" s="21">
        <v>2000</v>
      </c>
      <c r="D22" s="21">
        <v>2000</v>
      </c>
      <c r="E22" s="21">
        <v>2000</v>
      </c>
      <c r="F22" s="786">
        <f>2000+500</f>
        <v>2500</v>
      </c>
      <c r="G22" s="21">
        <v>0</v>
      </c>
      <c r="H22" s="1"/>
    </row>
    <row r="23" spans="1:9" x14ac:dyDescent="0.25">
      <c r="A23" s="17">
        <v>223</v>
      </c>
      <c r="B23" s="18" t="s">
        <v>24</v>
      </c>
      <c r="C23" s="21">
        <v>1000</v>
      </c>
      <c r="D23" s="21">
        <v>1000</v>
      </c>
      <c r="E23" s="21">
        <v>1000</v>
      </c>
      <c r="F23" s="21">
        <v>1000</v>
      </c>
      <c r="G23" s="21">
        <v>68</v>
      </c>
      <c r="H23" s="1"/>
    </row>
    <row r="24" spans="1:9" x14ac:dyDescent="0.25">
      <c r="A24" s="17">
        <v>223</v>
      </c>
      <c r="B24" s="18" t="s">
        <v>26</v>
      </c>
      <c r="C24" s="21">
        <v>1000</v>
      </c>
      <c r="D24" s="21">
        <v>1000</v>
      </c>
      <c r="E24" s="21">
        <v>1000</v>
      </c>
      <c r="F24" s="21">
        <v>1000</v>
      </c>
      <c r="G24" s="21">
        <v>10</v>
      </c>
      <c r="H24" s="1"/>
    </row>
    <row r="25" spans="1:9" x14ac:dyDescent="0.25">
      <c r="A25" s="17">
        <v>223</v>
      </c>
      <c r="B25" s="18" t="s">
        <v>27</v>
      </c>
      <c r="C25" s="21">
        <v>40000</v>
      </c>
      <c r="D25" s="21">
        <v>40000</v>
      </c>
      <c r="E25" s="21">
        <v>40000</v>
      </c>
      <c r="F25" s="21">
        <v>40000</v>
      </c>
      <c r="G25" s="21">
        <v>3126</v>
      </c>
      <c r="H25" s="1"/>
    </row>
    <row r="26" spans="1:9" x14ac:dyDescent="0.25">
      <c r="A26" s="17">
        <v>223</v>
      </c>
      <c r="B26" s="18" t="s">
        <v>29</v>
      </c>
      <c r="C26" s="21">
        <v>59000</v>
      </c>
      <c r="D26" s="21">
        <v>59000</v>
      </c>
      <c r="E26" s="21">
        <v>59000</v>
      </c>
      <c r="F26" s="21">
        <v>59000</v>
      </c>
      <c r="G26" s="21">
        <v>3223</v>
      </c>
      <c r="H26" s="1"/>
    </row>
    <row r="27" spans="1:9" x14ac:dyDescent="0.25">
      <c r="A27" s="17">
        <v>223</v>
      </c>
      <c r="B27" s="18" t="s">
        <v>30</v>
      </c>
      <c r="C27" s="21">
        <v>60</v>
      </c>
      <c r="D27" s="21">
        <v>60</v>
      </c>
      <c r="E27" s="21">
        <v>60</v>
      </c>
      <c r="F27" s="21">
        <v>60</v>
      </c>
      <c r="G27" s="21">
        <v>0</v>
      </c>
      <c r="H27" s="27"/>
    </row>
    <row r="28" spans="1:9" x14ac:dyDescent="0.25">
      <c r="A28" s="17">
        <v>223</v>
      </c>
      <c r="B28" s="18" t="s">
        <v>263</v>
      </c>
      <c r="C28" s="21">
        <v>2600</v>
      </c>
      <c r="D28" s="21">
        <v>2600</v>
      </c>
      <c r="E28" s="21">
        <v>2600</v>
      </c>
      <c r="F28" s="21">
        <v>2600</v>
      </c>
      <c r="G28" s="21">
        <v>0</v>
      </c>
      <c r="H28" s="27"/>
    </row>
    <row r="29" spans="1:9" x14ac:dyDescent="0.25">
      <c r="A29" s="17">
        <v>223</v>
      </c>
      <c r="B29" s="18" t="s">
        <v>32</v>
      </c>
      <c r="C29" s="21">
        <v>2400</v>
      </c>
      <c r="D29" s="21">
        <v>2400</v>
      </c>
      <c r="E29" s="21">
        <v>2400</v>
      </c>
      <c r="F29" s="21">
        <v>2400</v>
      </c>
      <c r="G29" s="21">
        <v>192</v>
      </c>
      <c r="H29" s="1"/>
    </row>
    <row r="30" spans="1:9" x14ac:dyDescent="0.25">
      <c r="A30" s="43">
        <v>223</v>
      </c>
      <c r="B30" s="44" t="s">
        <v>33</v>
      </c>
      <c r="C30" s="46">
        <v>84000</v>
      </c>
      <c r="D30" s="46">
        <v>84000</v>
      </c>
      <c r="E30" s="46">
        <v>84000</v>
      </c>
      <c r="F30" s="46">
        <v>84000</v>
      </c>
      <c r="G30" s="46">
        <v>5111</v>
      </c>
      <c r="H30" s="27"/>
    </row>
    <row r="31" spans="1:9" ht="15.75" thickBot="1" x14ac:dyDescent="0.3">
      <c r="A31" s="22">
        <v>223</v>
      </c>
      <c r="B31" s="23" t="s">
        <v>34</v>
      </c>
      <c r="C31" s="48">
        <v>100</v>
      </c>
      <c r="D31" s="48">
        <v>100</v>
      </c>
      <c r="E31" s="48">
        <v>100</v>
      </c>
      <c r="F31" s="48">
        <v>100</v>
      </c>
      <c r="G31" s="48">
        <v>0</v>
      </c>
      <c r="H31" s="27">
        <f>SUM(C19:C31)</f>
        <v>214960</v>
      </c>
      <c r="I31" s="27">
        <f>SUM(G19:G31)</f>
        <v>12853</v>
      </c>
    </row>
    <row r="32" spans="1:9" ht="15.75" thickBot="1" x14ac:dyDescent="0.3">
      <c r="A32" s="816" t="s">
        <v>35</v>
      </c>
      <c r="B32" s="817"/>
      <c r="C32" s="2">
        <f t="shared" ref="C32:G32" si="2">SUM(C33)</f>
        <v>50</v>
      </c>
      <c r="D32" s="2">
        <f t="shared" si="2"/>
        <v>50</v>
      </c>
      <c r="E32" s="2">
        <f t="shared" si="2"/>
        <v>50</v>
      </c>
      <c r="F32" s="2">
        <f t="shared" si="2"/>
        <v>50</v>
      </c>
      <c r="G32" s="2">
        <f t="shared" si="2"/>
        <v>1</v>
      </c>
      <c r="H32" s="1"/>
    </row>
    <row r="33" spans="1:9" ht="15.75" thickBot="1" x14ac:dyDescent="0.3">
      <c r="A33" s="51">
        <v>240</v>
      </c>
      <c r="B33" s="47" t="s">
        <v>36</v>
      </c>
      <c r="C33" s="38">
        <v>50</v>
      </c>
      <c r="D33" s="38">
        <v>50</v>
      </c>
      <c r="E33" s="38">
        <v>50</v>
      </c>
      <c r="F33" s="38">
        <v>50</v>
      </c>
      <c r="G33" s="38">
        <v>1</v>
      </c>
      <c r="H33" s="1"/>
    </row>
    <row r="34" spans="1:9" ht="15.75" thickBot="1" x14ac:dyDescent="0.3">
      <c r="A34" s="816" t="s">
        <v>37</v>
      </c>
      <c r="B34" s="817"/>
      <c r="C34" s="354">
        <f t="shared" ref="C34:G34" si="3">SUM(C35:C41)</f>
        <v>71875</v>
      </c>
      <c r="D34" s="354">
        <f t="shared" si="3"/>
        <v>71875</v>
      </c>
      <c r="E34" s="354">
        <f t="shared" si="3"/>
        <v>71875</v>
      </c>
      <c r="F34" s="354">
        <f t="shared" si="3"/>
        <v>71875</v>
      </c>
      <c r="G34" s="354">
        <f t="shared" si="3"/>
        <v>4570</v>
      </c>
      <c r="H34" s="1"/>
    </row>
    <row r="35" spans="1:9" x14ac:dyDescent="0.25">
      <c r="A35" s="52">
        <v>292</v>
      </c>
      <c r="B35" s="53" t="s">
        <v>38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1"/>
    </row>
    <row r="36" spans="1:9" x14ac:dyDescent="0.25">
      <c r="A36" s="52">
        <v>292</v>
      </c>
      <c r="B36" s="53" t="s">
        <v>39</v>
      </c>
      <c r="C36" s="55">
        <v>200</v>
      </c>
      <c r="D36" s="55">
        <v>200</v>
      </c>
      <c r="E36" s="55">
        <v>200</v>
      </c>
      <c r="F36" s="55">
        <v>200</v>
      </c>
      <c r="G36" s="55">
        <v>0</v>
      </c>
      <c r="H36" s="1"/>
    </row>
    <row r="37" spans="1:9" x14ac:dyDescent="0.25">
      <c r="A37" s="57">
        <v>292</v>
      </c>
      <c r="B37" s="58" t="s">
        <v>40</v>
      </c>
      <c r="C37" s="61">
        <v>1000</v>
      </c>
      <c r="D37" s="61">
        <v>1000</v>
      </c>
      <c r="E37" s="61">
        <v>1000</v>
      </c>
      <c r="F37" s="61">
        <v>1000</v>
      </c>
      <c r="G37" s="61">
        <v>743</v>
      </c>
      <c r="H37" s="1"/>
    </row>
    <row r="38" spans="1:9" x14ac:dyDescent="0.25">
      <c r="A38" s="57">
        <v>292</v>
      </c>
      <c r="B38" s="58" t="s">
        <v>41</v>
      </c>
      <c r="C38" s="60">
        <v>500</v>
      </c>
      <c r="D38" s="60">
        <v>500</v>
      </c>
      <c r="E38" s="60">
        <v>500</v>
      </c>
      <c r="F38" s="60">
        <v>500</v>
      </c>
      <c r="G38" s="60">
        <v>0</v>
      </c>
      <c r="H38" s="1"/>
    </row>
    <row r="39" spans="1:9" x14ac:dyDescent="0.25">
      <c r="A39" s="57">
        <v>292</v>
      </c>
      <c r="B39" s="18" t="s">
        <v>42</v>
      </c>
      <c r="C39" s="64">
        <v>340</v>
      </c>
      <c r="D39" s="64">
        <v>340</v>
      </c>
      <c r="E39" s="64">
        <v>340</v>
      </c>
      <c r="F39" s="64">
        <v>340</v>
      </c>
      <c r="G39" s="64">
        <v>0</v>
      </c>
      <c r="H39" s="1"/>
    </row>
    <row r="40" spans="1:9" x14ac:dyDescent="0.25">
      <c r="A40" s="57">
        <v>292</v>
      </c>
      <c r="B40" s="58" t="s">
        <v>220</v>
      </c>
      <c r="C40" s="60">
        <v>69785</v>
      </c>
      <c r="D40" s="60">
        <v>69785</v>
      </c>
      <c r="E40" s="60">
        <v>69785</v>
      </c>
      <c r="F40" s="60">
        <f>69785</f>
        <v>69785</v>
      </c>
      <c r="G40" s="60">
        <v>3827</v>
      </c>
      <c r="H40" s="27">
        <f>SUM(C39:C40)</f>
        <v>70125</v>
      </c>
      <c r="I40" s="27">
        <f t="shared" ref="I40" si="4">SUM(D39:D40)</f>
        <v>70125</v>
      </c>
    </row>
    <row r="41" spans="1:9" ht="15.75" thickBot="1" x14ac:dyDescent="0.3">
      <c r="A41" s="57">
        <v>292</v>
      </c>
      <c r="B41" s="58" t="s">
        <v>345</v>
      </c>
      <c r="C41" s="60">
        <v>50</v>
      </c>
      <c r="D41" s="60">
        <v>50</v>
      </c>
      <c r="E41" s="60">
        <v>50</v>
      </c>
      <c r="F41" s="60">
        <v>50</v>
      </c>
      <c r="G41" s="60">
        <v>0</v>
      </c>
      <c r="H41" s="1"/>
    </row>
    <row r="42" spans="1:9" ht="15.75" thickBot="1" x14ac:dyDescent="0.3">
      <c r="A42" s="65" t="s">
        <v>43</v>
      </c>
      <c r="B42" s="358"/>
      <c r="C42" s="354">
        <f>SUM(C43:C66)</f>
        <v>761910</v>
      </c>
      <c r="D42" s="354">
        <f>SUM(D43:D66)</f>
        <v>761990</v>
      </c>
      <c r="E42" s="354">
        <f>SUM(E43:E66)</f>
        <v>870240</v>
      </c>
      <c r="F42" s="354">
        <f>SUM(F43:F66)</f>
        <v>870240</v>
      </c>
      <c r="G42" s="354">
        <f>SUM(G43:G66)</f>
        <v>88101</v>
      </c>
      <c r="H42" s="1"/>
    </row>
    <row r="43" spans="1:9" x14ac:dyDescent="0.25">
      <c r="A43" s="67">
        <v>311</v>
      </c>
      <c r="B43" s="359" t="s">
        <v>44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1"/>
    </row>
    <row r="44" spans="1:9" x14ac:dyDescent="0.25">
      <c r="A44" s="67">
        <v>312</v>
      </c>
      <c r="B44" s="359" t="s">
        <v>335</v>
      </c>
      <c r="C44" s="68">
        <v>2000</v>
      </c>
      <c r="D44" s="708">
        <f>2000-2000</f>
        <v>0</v>
      </c>
      <c r="E44" s="68">
        <f>2000-2000</f>
        <v>0</v>
      </c>
      <c r="F44" s="68">
        <v>0</v>
      </c>
      <c r="G44" s="68">
        <v>0</v>
      </c>
      <c r="H44" s="1"/>
    </row>
    <row r="45" spans="1:9" x14ac:dyDescent="0.25">
      <c r="A45" s="71">
        <v>312</v>
      </c>
      <c r="B45" s="352" t="s">
        <v>228</v>
      </c>
      <c r="C45" s="16">
        <f>7600+500</f>
        <v>8100</v>
      </c>
      <c r="D45" s="16">
        <f>7600+500</f>
        <v>8100</v>
      </c>
      <c r="E45" s="709">
        <f>7600+500+170</f>
        <v>8270</v>
      </c>
      <c r="F45" s="16">
        <f>7600+500+170</f>
        <v>8270</v>
      </c>
      <c r="G45" s="16">
        <v>4201</v>
      </c>
      <c r="H45" s="1"/>
    </row>
    <row r="46" spans="1:9" x14ac:dyDescent="0.25">
      <c r="A46" s="71">
        <v>312</v>
      </c>
      <c r="B46" s="352" t="s">
        <v>229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"/>
    </row>
    <row r="47" spans="1:9" x14ac:dyDescent="0.25">
      <c r="A47" s="71">
        <v>312</v>
      </c>
      <c r="B47" s="118" t="s">
        <v>50</v>
      </c>
      <c r="C47" s="73">
        <v>2040</v>
      </c>
      <c r="D47" s="73">
        <v>2040</v>
      </c>
      <c r="E47" s="73">
        <v>2040</v>
      </c>
      <c r="F47" s="73">
        <v>2040</v>
      </c>
      <c r="G47" s="73">
        <v>0</v>
      </c>
      <c r="H47" s="1"/>
    </row>
    <row r="48" spans="1:9" x14ac:dyDescent="0.25">
      <c r="A48" s="71">
        <v>312</v>
      </c>
      <c r="B48" s="351" t="s">
        <v>463</v>
      </c>
      <c r="C48" s="73">
        <v>14170</v>
      </c>
      <c r="D48" s="73">
        <v>14170</v>
      </c>
      <c r="E48" s="73">
        <v>14170</v>
      </c>
      <c r="F48" s="73">
        <v>14170</v>
      </c>
      <c r="G48" s="73">
        <v>0</v>
      </c>
      <c r="H48" s="27"/>
    </row>
    <row r="49" spans="1:9" ht="15.75" thickBot="1" x14ac:dyDescent="0.3">
      <c r="A49" s="74">
        <v>312</v>
      </c>
      <c r="B49" s="82" t="s">
        <v>53</v>
      </c>
      <c r="C49" s="75">
        <v>40</v>
      </c>
      <c r="D49" s="75">
        <f>40</f>
        <v>40</v>
      </c>
      <c r="E49" s="759">
        <f>40+1</f>
        <v>41</v>
      </c>
      <c r="F49" s="75">
        <f>40+1</f>
        <v>41</v>
      </c>
      <c r="G49" s="75">
        <v>0</v>
      </c>
      <c r="H49" s="27"/>
    </row>
    <row r="50" spans="1:9" ht="15.75" thickBot="1" x14ac:dyDescent="0.3">
      <c r="A50" s="348">
        <v>312</v>
      </c>
      <c r="B50" s="360" t="s">
        <v>464</v>
      </c>
      <c r="C50" s="349">
        <v>3000</v>
      </c>
      <c r="D50" s="349">
        <v>3000</v>
      </c>
      <c r="E50" s="349">
        <v>3000</v>
      </c>
      <c r="F50" s="349">
        <v>3000</v>
      </c>
      <c r="G50" s="349">
        <v>0</v>
      </c>
      <c r="H50" s="27"/>
    </row>
    <row r="51" spans="1:9" x14ac:dyDescent="0.25">
      <c r="A51" s="71">
        <v>312</v>
      </c>
      <c r="B51" s="85" t="s">
        <v>54</v>
      </c>
      <c r="C51" s="16">
        <v>20100</v>
      </c>
      <c r="D51" s="16">
        <v>20100</v>
      </c>
      <c r="E51" s="16">
        <v>20100</v>
      </c>
      <c r="F51" s="16">
        <v>20100</v>
      </c>
      <c r="G51" s="16">
        <v>0</v>
      </c>
      <c r="H51" s="1"/>
    </row>
    <row r="52" spans="1:9" x14ac:dyDescent="0.25">
      <c r="A52" s="71">
        <v>312</v>
      </c>
      <c r="B52" s="118" t="s">
        <v>55</v>
      </c>
      <c r="C52" s="16">
        <v>12500</v>
      </c>
      <c r="D52" s="16">
        <v>12500</v>
      </c>
      <c r="E52" s="16">
        <v>12500</v>
      </c>
      <c r="F52" s="16">
        <v>12500</v>
      </c>
      <c r="G52" s="16">
        <v>0</v>
      </c>
      <c r="H52" s="1"/>
    </row>
    <row r="53" spans="1:9" ht="15.75" thickBot="1" x14ac:dyDescent="0.3">
      <c r="A53" s="77">
        <v>312</v>
      </c>
      <c r="B53" s="165" t="s">
        <v>56</v>
      </c>
      <c r="C53" s="79">
        <f>3000+5600</f>
        <v>8600</v>
      </c>
      <c r="D53" s="79">
        <f>3000+5600</f>
        <v>8600</v>
      </c>
      <c r="E53" s="787">
        <f>3200+5600</f>
        <v>8800</v>
      </c>
      <c r="F53" s="79">
        <f>3200+5600</f>
        <v>8800</v>
      </c>
      <c r="G53" s="79">
        <v>0</v>
      </c>
      <c r="H53" s="27"/>
      <c r="I53" s="458"/>
    </row>
    <row r="54" spans="1:9" x14ac:dyDescent="0.25">
      <c r="A54" s="71">
        <v>312</v>
      </c>
      <c r="B54" s="85" t="s">
        <v>233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"/>
    </row>
    <row r="55" spans="1:9" ht="15.75" thickBot="1" x14ac:dyDescent="0.3">
      <c r="A55" s="74">
        <v>312</v>
      </c>
      <c r="B55" s="82" t="s">
        <v>59</v>
      </c>
      <c r="C55" s="75">
        <v>3000</v>
      </c>
      <c r="D55" s="75">
        <v>3000</v>
      </c>
      <c r="E55" s="75">
        <v>3000</v>
      </c>
      <c r="F55" s="75">
        <v>3000</v>
      </c>
      <c r="G55" s="75">
        <v>0</v>
      </c>
      <c r="H55" s="27"/>
    </row>
    <row r="56" spans="1:9" x14ac:dyDescent="0.25">
      <c r="A56" s="71">
        <v>312</v>
      </c>
      <c r="B56" s="351" t="s">
        <v>60</v>
      </c>
      <c r="C56" s="83">
        <v>5120</v>
      </c>
      <c r="D56" s="781">
        <f>5120+80</f>
        <v>5200</v>
      </c>
      <c r="E56" s="83">
        <f>5120+80</f>
        <v>5200</v>
      </c>
      <c r="F56" s="83">
        <f>5120+80</f>
        <v>5200</v>
      </c>
      <c r="G56" s="83">
        <v>5167</v>
      </c>
      <c r="H56" s="1"/>
    </row>
    <row r="57" spans="1:9" x14ac:dyDescent="0.25">
      <c r="A57" s="84">
        <v>312</v>
      </c>
      <c r="B57" s="361" t="s">
        <v>61</v>
      </c>
      <c r="C57" s="21">
        <v>3700</v>
      </c>
      <c r="D57" s="21">
        <v>3700</v>
      </c>
      <c r="E57" s="786">
        <f>3700+400</f>
        <v>4100</v>
      </c>
      <c r="F57" s="21">
        <f>3700+400</f>
        <v>4100</v>
      </c>
      <c r="G57" s="21">
        <v>0</v>
      </c>
      <c r="H57" s="1"/>
    </row>
    <row r="58" spans="1:9" x14ac:dyDescent="0.25">
      <c r="A58" s="84">
        <v>312</v>
      </c>
      <c r="B58" s="362" t="s">
        <v>295</v>
      </c>
      <c r="C58" s="33">
        <v>5000</v>
      </c>
      <c r="D58" s="33">
        <f>5000</f>
        <v>5000</v>
      </c>
      <c r="E58" s="715">
        <f>5000+7200</f>
        <v>12200</v>
      </c>
      <c r="F58" s="33">
        <f>5000+7200</f>
        <v>12200</v>
      </c>
      <c r="G58" s="33">
        <v>0</v>
      </c>
      <c r="H58" s="1"/>
    </row>
    <row r="59" spans="1:9" x14ac:dyDescent="0.25">
      <c r="A59" s="71">
        <v>312</v>
      </c>
      <c r="B59" s="118" t="s">
        <v>330</v>
      </c>
      <c r="C59" s="16">
        <v>52550</v>
      </c>
      <c r="D59" s="16">
        <f>52550</f>
        <v>52550</v>
      </c>
      <c r="E59" s="709">
        <f>52550+17050</f>
        <v>69600</v>
      </c>
      <c r="F59" s="16">
        <f>52550+17050</f>
        <v>69600</v>
      </c>
      <c r="G59" s="16">
        <v>29000</v>
      </c>
      <c r="H59" s="1"/>
    </row>
    <row r="60" spans="1:9" x14ac:dyDescent="0.25">
      <c r="A60" s="71">
        <v>312</v>
      </c>
      <c r="B60" s="359" t="s">
        <v>335</v>
      </c>
      <c r="C60" s="16">
        <v>0</v>
      </c>
      <c r="D60" s="709">
        <f>2000</f>
        <v>2000</v>
      </c>
      <c r="E60" s="709">
        <f>2000-970</f>
        <v>1030</v>
      </c>
      <c r="F60" s="16">
        <f>2000-970</f>
        <v>1030</v>
      </c>
      <c r="G60" s="16">
        <v>1020</v>
      </c>
      <c r="H60" s="1"/>
    </row>
    <row r="61" spans="1:9" x14ac:dyDescent="0.25">
      <c r="A61" s="71">
        <v>312</v>
      </c>
      <c r="B61" s="76" t="s">
        <v>548</v>
      </c>
      <c r="C61" s="73">
        <v>0</v>
      </c>
      <c r="D61" s="73">
        <v>0</v>
      </c>
      <c r="E61" s="820">
        <v>26200</v>
      </c>
      <c r="F61" s="73">
        <v>26200</v>
      </c>
      <c r="G61" s="73">
        <v>0</v>
      </c>
      <c r="H61" s="27"/>
    </row>
    <row r="62" spans="1:9" ht="15.75" thickBot="1" x14ac:dyDescent="0.3">
      <c r="A62" s="77">
        <v>312</v>
      </c>
      <c r="B62" s="165" t="s">
        <v>62</v>
      </c>
      <c r="C62" s="79">
        <v>47340</v>
      </c>
      <c r="D62" s="79">
        <v>47340</v>
      </c>
      <c r="E62" s="79">
        <v>47340</v>
      </c>
      <c r="F62" s="79">
        <v>47340</v>
      </c>
      <c r="G62" s="79">
        <v>0</v>
      </c>
      <c r="H62" s="27">
        <f>SUM(C44:C62)+C66</f>
        <v>758710</v>
      </c>
      <c r="I62" s="27">
        <f>SUM(D44:D62)+D66</f>
        <v>758790</v>
      </c>
    </row>
    <row r="63" spans="1:9" x14ac:dyDescent="0.25">
      <c r="A63" s="71">
        <v>315</v>
      </c>
      <c r="B63" s="76" t="s">
        <v>58</v>
      </c>
      <c r="C63" s="16">
        <v>3000</v>
      </c>
      <c r="D63" s="16">
        <v>3000</v>
      </c>
      <c r="E63" s="16">
        <v>3000</v>
      </c>
      <c r="F63" s="16">
        <v>3000</v>
      </c>
      <c r="G63" s="16">
        <v>0</v>
      </c>
      <c r="H63" s="27"/>
      <c r="I63" s="27"/>
    </row>
    <row r="64" spans="1:9" ht="15.75" thickBot="1" x14ac:dyDescent="0.3">
      <c r="A64" s="77">
        <v>315</v>
      </c>
      <c r="B64" s="78" t="s">
        <v>294</v>
      </c>
      <c r="C64" s="79">
        <v>200</v>
      </c>
      <c r="D64" s="79">
        <v>200</v>
      </c>
      <c r="E64" s="79">
        <v>200</v>
      </c>
      <c r="F64" s="79">
        <v>200</v>
      </c>
      <c r="G64" s="79">
        <v>0</v>
      </c>
      <c r="H64" s="27">
        <f>SUM(C63:C64)</f>
        <v>3200</v>
      </c>
      <c r="I64" s="27">
        <f>SUM(D63:D64)</f>
        <v>3200</v>
      </c>
    </row>
    <row r="65" spans="1:10" ht="15.75" x14ac:dyDescent="0.25">
      <c r="A65" s="536">
        <v>312</v>
      </c>
      <c r="B65" s="537" t="s">
        <v>246</v>
      </c>
      <c r="C65" s="541">
        <v>0</v>
      </c>
      <c r="D65" s="541">
        <v>0</v>
      </c>
      <c r="E65" s="541">
        <v>0</v>
      </c>
      <c r="F65" s="541">
        <v>0</v>
      </c>
      <c r="G65" s="541">
        <v>0</v>
      </c>
      <c r="H65" s="27"/>
      <c r="I65" s="27"/>
    </row>
    <row r="66" spans="1:10" ht="16.5" thickBot="1" x14ac:dyDescent="0.3">
      <c r="A66" s="86">
        <v>312</v>
      </c>
      <c r="B66" s="87" t="s">
        <v>63</v>
      </c>
      <c r="C66" s="88">
        <v>571450</v>
      </c>
      <c r="D66" s="88">
        <v>571450</v>
      </c>
      <c r="E66" s="716">
        <f>571450+57999</f>
        <v>629449</v>
      </c>
      <c r="F66" s="88">
        <f>571450+57999</f>
        <v>629449</v>
      </c>
      <c r="G66" s="88">
        <v>48713</v>
      </c>
      <c r="H66" s="27"/>
      <c r="I66" s="27"/>
    </row>
    <row r="67" spans="1:10" ht="16.5" thickBot="1" x14ac:dyDescent="0.3">
      <c r="A67" s="89" t="s">
        <v>64</v>
      </c>
      <c r="B67" s="363"/>
      <c r="C67" s="90">
        <f>SUM(C3+C11+C32+C34+C42)</f>
        <v>2532250</v>
      </c>
      <c r="D67" s="90">
        <f>SUM(D3+D11+D32+D34+D42)</f>
        <v>2532330</v>
      </c>
      <c r="E67" s="90">
        <f>SUM(E3+E11+E32+E34+E42)</f>
        <v>2640580</v>
      </c>
      <c r="F67" s="90">
        <f>SUM(F3+F11+F32+F34+F42)</f>
        <v>2641080</v>
      </c>
      <c r="G67" s="90">
        <f>SUM(G3+G11+G32+G34+G42)</f>
        <v>278279</v>
      </c>
      <c r="H67" s="27">
        <f t="shared" ref="H67:J76" si="5">D67-C67</f>
        <v>80</v>
      </c>
      <c r="I67" s="27">
        <f t="shared" si="5"/>
        <v>108250</v>
      </c>
      <c r="J67" s="27">
        <f t="shared" si="5"/>
        <v>500</v>
      </c>
    </row>
    <row r="68" spans="1:10" x14ac:dyDescent="0.25">
      <c r="A68" s="91" t="s">
        <v>65</v>
      </c>
      <c r="B68" s="92" t="s">
        <v>66</v>
      </c>
      <c r="C68" s="93">
        <v>2450</v>
      </c>
      <c r="D68" s="93">
        <v>2450</v>
      </c>
      <c r="E68" s="93">
        <v>2450</v>
      </c>
      <c r="F68" s="93">
        <v>2450</v>
      </c>
      <c r="G68" s="93">
        <v>-41</v>
      </c>
      <c r="H68" s="27">
        <f t="shared" si="5"/>
        <v>0</v>
      </c>
      <c r="I68" s="27">
        <f t="shared" si="5"/>
        <v>0</v>
      </c>
      <c r="J68" s="27">
        <f t="shared" si="5"/>
        <v>0</v>
      </c>
    </row>
    <row r="69" spans="1:10" x14ac:dyDescent="0.25">
      <c r="A69" s="94" t="s">
        <v>65</v>
      </c>
      <c r="B69" s="92" t="s">
        <v>67</v>
      </c>
      <c r="C69" s="95">
        <v>2600</v>
      </c>
      <c r="D69" s="95">
        <v>2600</v>
      </c>
      <c r="E69" s="95">
        <v>2600</v>
      </c>
      <c r="F69" s="95">
        <v>2600</v>
      </c>
      <c r="G69" s="95">
        <v>0</v>
      </c>
      <c r="H69" s="27">
        <f t="shared" si="5"/>
        <v>0</v>
      </c>
      <c r="I69" s="27">
        <f t="shared" si="5"/>
        <v>0</v>
      </c>
      <c r="J69" s="27">
        <f t="shared" si="5"/>
        <v>0</v>
      </c>
    </row>
    <row r="70" spans="1:10" ht="15.75" thickBot="1" x14ac:dyDescent="0.3">
      <c r="A70" s="96" t="s">
        <v>65</v>
      </c>
      <c r="B70" s="97" t="s">
        <v>647</v>
      </c>
      <c r="C70" s="98">
        <v>0</v>
      </c>
      <c r="D70" s="98">
        <v>0</v>
      </c>
      <c r="E70" s="98">
        <v>0</v>
      </c>
      <c r="F70" s="98">
        <v>0</v>
      </c>
      <c r="G70" s="98">
        <v>0</v>
      </c>
      <c r="H70" s="27">
        <f t="shared" si="5"/>
        <v>0</v>
      </c>
      <c r="I70" s="27">
        <f t="shared" si="5"/>
        <v>0</v>
      </c>
      <c r="J70" s="27">
        <f t="shared" si="5"/>
        <v>0</v>
      </c>
    </row>
    <row r="71" spans="1:10" ht="15.75" thickBot="1" x14ac:dyDescent="0.3">
      <c r="A71" s="882" t="s">
        <v>69</v>
      </c>
      <c r="B71" s="883"/>
      <c r="C71" s="99">
        <f t="shared" ref="C71:G71" si="6">SUM(C68:C70)</f>
        <v>5050</v>
      </c>
      <c r="D71" s="99">
        <f t="shared" ref="D71:F71" si="7">SUM(D68:D70)</f>
        <v>5050</v>
      </c>
      <c r="E71" s="99">
        <f t="shared" si="7"/>
        <v>5050</v>
      </c>
      <c r="F71" s="99">
        <f t="shared" si="7"/>
        <v>5050</v>
      </c>
      <c r="G71" s="99">
        <f t="shared" si="6"/>
        <v>-41</v>
      </c>
      <c r="H71" s="27">
        <f t="shared" si="5"/>
        <v>0</v>
      </c>
      <c r="I71" s="27">
        <f t="shared" si="5"/>
        <v>0</v>
      </c>
      <c r="J71" s="27">
        <f t="shared" si="5"/>
        <v>0</v>
      </c>
    </row>
    <row r="72" spans="1:10" x14ac:dyDescent="0.25">
      <c r="A72" s="446" t="s">
        <v>65</v>
      </c>
      <c r="B72" s="244" t="s">
        <v>648</v>
      </c>
      <c r="C72" s="247">
        <v>0</v>
      </c>
      <c r="D72" s="247">
        <v>0</v>
      </c>
      <c r="E72" s="247">
        <v>0</v>
      </c>
      <c r="F72" s="247">
        <v>0</v>
      </c>
      <c r="G72" s="247">
        <v>0</v>
      </c>
      <c r="H72" s="27">
        <f t="shared" si="5"/>
        <v>0</v>
      </c>
      <c r="I72" s="27">
        <f t="shared" si="5"/>
        <v>0</v>
      </c>
      <c r="J72" s="27">
        <f t="shared" si="5"/>
        <v>0</v>
      </c>
    </row>
    <row r="73" spans="1:10" ht="15.75" thickBot="1" x14ac:dyDescent="0.3">
      <c r="A73" s="100" t="s">
        <v>65</v>
      </c>
      <c r="B73" s="101" t="s">
        <v>70</v>
      </c>
      <c r="C73" s="449">
        <v>10980</v>
      </c>
      <c r="D73" s="449">
        <v>10980</v>
      </c>
      <c r="E73" s="449">
        <v>10980</v>
      </c>
      <c r="F73" s="449">
        <v>10980</v>
      </c>
      <c r="G73" s="449">
        <v>0</v>
      </c>
      <c r="H73" s="27">
        <f t="shared" si="5"/>
        <v>0</v>
      </c>
      <c r="I73" s="27">
        <f t="shared" si="5"/>
        <v>0</v>
      </c>
      <c r="J73" s="27">
        <f t="shared" si="5"/>
        <v>0</v>
      </c>
    </row>
    <row r="74" spans="1:10" ht="15.75" thickBot="1" x14ac:dyDescent="0.3">
      <c r="A74" s="882" t="s">
        <v>266</v>
      </c>
      <c r="B74" s="883"/>
      <c r="C74" s="445">
        <f t="shared" ref="C74:G74" si="8">SUM(C72:C73)</f>
        <v>10980</v>
      </c>
      <c r="D74" s="445">
        <f t="shared" si="8"/>
        <v>10980</v>
      </c>
      <c r="E74" s="445">
        <f t="shared" si="8"/>
        <v>10980</v>
      </c>
      <c r="F74" s="445">
        <f t="shared" si="8"/>
        <v>10980</v>
      </c>
      <c r="G74" s="445">
        <f t="shared" si="8"/>
        <v>0</v>
      </c>
      <c r="H74" s="27">
        <f t="shared" si="5"/>
        <v>0</v>
      </c>
      <c r="I74" s="27">
        <f t="shared" si="5"/>
        <v>0</v>
      </c>
      <c r="J74" s="27">
        <f t="shared" si="5"/>
        <v>0</v>
      </c>
    </row>
    <row r="75" spans="1:10" ht="16.5" thickBot="1" x14ac:dyDescent="0.3">
      <c r="A75" s="884" t="s">
        <v>71</v>
      </c>
      <c r="B75" s="885"/>
      <c r="C75" s="103">
        <f t="shared" ref="C75:G75" si="9">C71+C74</f>
        <v>16030</v>
      </c>
      <c r="D75" s="103">
        <f t="shared" si="9"/>
        <v>16030</v>
      </c>
      <c r="E75" s="103">
        <f t="shared" si="9"/>
        <v>16030</v>
      </c>
      <c r="F75" s="103">
        <f t="shared" si="9"/>
        <v>16030</v>
      </c>
      <c r="G75" s="103">
        <f t="shared" si="9"/>
        <v>-41</v>
      </c>
      <c r="H75" s="27">
        <f t="shared" si="5"/>
        <v>0</v>
      </c>
      <c r="I75" s="27">
        <f t="shared" si="5"/>
        <v>0</v>
      </c>
      <c r="J75" s="27">
        <f t="shared" si="5"/>
        <v>0</v>
      </c>
    </row>
    <row r="76" spans="1:10" ht="16.5" thickBot="1" x14ac:dyDescent="0.3">
      <c r="A76" s="89" t="s">
        <v>72</v>
      </c>
      <c r="B76" s="66"/>
      <c r="C76" s="90">
        <f t="shared" ref="C76:G76" si="10">C67+C75</f>
        <v>2548280</v>
      </c>
      <c r="D76" s="90">
        <f t="shared" si="10"/>
        <v>2548360</v>
      </c>
      <c r="E76" s="90">
        <f t="shared" si="10"/>
        <v>2656610</v>
      </c>
      <c r="F76" s="90">
        <f t="shared" si="10"/>
        <v>2657110</v>
      </c>
      <c r="G76" s="90">
        <f t="shared" si="10"/>
        <v>278238</v>
      </c>
      <c r="H76" s="27">
        <f t="shared" si="5"/>
        <v>80</v>
      </c>
      <c r="I76" s="27">
        <f t="shared" si="5"/>
        <v>108250</v>
      </c>
      <c r="J76" s="27">
        <f t="shared" si="5"/>
        <v>500</v>
      </c>
    </row>
    <row r="77" spans="1:10" x14ac:dyDescent="0.25">
      <c r="A77" s="1"/>
      <c r="B77" s="1"/>
      <c r="C77" s="104"/>
      <c r="D77" s="104"/>
      <c r="E77" s="104"/>
      <c r="F77" s="104"/>
      <c r="G77" s="104"/>
      <c r="H77" s="104"/>
    </row>
    <row r="78" spans="1:10" ht="15.75" x14ac:dyDescent="0.25">
      <c r="A78" s="105"/>
      <c r="B78" s="106"/>
      <c r="C78" s="107"/>
      <c r="D78" s="107"/>
      <c r="E78" s="107"/>
      <c r="F78" s="107"/>
      <c r="G78" s="107"/>
      <c r="H78" s="107"/>
    </row>
    <row r="79" spans="1:10" ht="18.75" thickBot="1" x14ac:dyDescent="0.3">
      <c r="A79" s="886" t="s">
        <v>73</v>
      </c>
      <c r="B79" s="887"/>
      <c r="C79" s="887"/>
      <c r="D79" s="887"/>
      <c r="E79" s="887"/>
      <c r="F79" s="887"/>
      <c r="G79" s="887"/>
      <c r="H79" s="1"/>
    </row>
    <row r="80" spans="1:10" ht="15.75" thickBot="1" x14ac:dyDescent="0.3">
      <c r="A80" s="864" t="s">
        <v>1</v>
      </c>
      <c r="B80" s="888"/>
      <c r="C80" s="413" t="s">
        <v>454</v>
      </c>
      <c r="D80" s="413" t="s">
        <v>496</v>
      </c>
      <c r="E80" s="413" t="s">
        <v>547</v>
      </c>
      <c r="F80" s="413" t="s">
        <v>497</v>
      </c>
      <c r="G80" s="413" t="s">
        <v>649</v>
      </c>
      <c r="H80" s="1"/>
    </row>
    <row r="81" spans="1:8" ht="15.75" thickBot="1" x14ac:dyDescent="0.3">
      <c r="A81" s="108" t="s">
        <v>74</v>
      </c>
      <c r="B81" s="109"/>
      <c r="C81" s="112">
        <f t="shared" ref="C81:G81" si="11">SUM(C82:C86)</f>
        <v>315730</v>
      </c>
      <c r="D81" s="112">
        <f t="shared" si="11"/>
        <v>315810</v>
      </c>
      <c r="E81" s="112">
        <f t="shared" si="11"/>
        <v>314840</v>
      </c>
      <c r="F81" s="112">
        <f t="shared" si="11"/>
        <v>312240</v>
      </c>
      <c r="G81" s="112">
        <f t="shared" si="11"/>
        <v>27500</v>
      </c>
      <c r="H81" s="1"/>
    </row>
    <row r="82" spans="1:8" x14ac:dyDescent="0.25">
      <c r="A82" s="113" t="s">
        <v>75</v>
      </c>
      <c r="B82" s="85" t="s">
        <v>76</v>
      </c>
      <c r="C82" s="56">
        <v>155900</v>
      </c>
      <c r="D82" s="56">
        <v>155900</v>
      </c>
      <c r="E82" s="56">
        <v>155900</v>
      </c>
      <c r="F82" s="749">
        <f>155900-1600</f>
        <v>154300</v>
      </c>
      <c r="G82" s="56">
        <v>14174</v>
      </c>
      <c r="H82" s="1"/>
    </row>
    <row r="83" spans="1:8" x14ac:dyDescent="0.25">
      <c r="A83" s="117" t="s">
        <v>77</v>
      </c>
      <c r="B83" s="118" t="s">
        <v>78</v>
      </c>
      <c r="C83" s="61">
        <f>94000+5700</f>
        <v>99700</v>
      </c>
      <c r="D83" s="61">
        <f>94000+5700</f>
        <v>99700</v>
      </c>
      <c r="E83" s="61">
        <f>94000+5700</f>
        <v>99700</v>
      </c>
      <c r="F83" s="741">
        <f>94000+5700-1000-2000</f>
        <v>96700</v>
      </c>
      <c r="G83" s="61">
        <v>6108</v>
      </c>
      <c r="H83" s="1"/>
    </row>
    <row r="84" spans="1:8" x14ac:dyDescent="0.25">
      <c r="A84" s="117" t="s">
        <v>79</v>
      </c>
      <c r="B84" s="118" t="s">
        <v>80</v>
      </c>
      <c r="C84" s="61">
        <v>2500</v>
      </c>
      <c r="D84" s="61">
        <v>2500</v>
      </c>
      <c r="E84" s="61">
        <v>2500</v>
      </c>
      <c r="F84" s="741">
        <f>2500+2000</f>
        <v>4500</v>
      </c>
      <c r="G84" s="61">
        <v>2</v>
      </c>
      <c r="H84" s="1"/>
    </row>
    <row r="85" spans="1:8" x14ac:dyDescent="0.25">
      <c r="A85" s="121" t="s">
        <v>81</v>
      </c>
      <c r="B85" s="118" t="s">
        <v>82</v>
      </c>
      <c r="C85" s="61">
        <v>53600</v>
      </c>
      <c r="D85" s="741">
        <f>53600+80</f>
        <v>53680</v>
      </c>
      <c r="E85" s="61">
        <f>53600+80</f>
        <v>53680</v>
      </c>
      <c r="F85" s="61">
        <f>53600+80</f>
        <v>53680</v>
      </c>
      <c r="G85" s="61">
        <v>5195</v>
      </c>
      <c r="H85" s="1"/>
    </row>
    <row r="86" spans="1:8" ht="15.75" thickBot="1" x14ac:dyDescent="0.3">
      <c r="A86" s="123" t="s">
        <v>83</v>
      </c>
      <c r="B86" s="124" t="s">
        <v>498</v>
      </c>
      <c r="C86" s="128">
        <v>4030</v>
      </c>
      <c r="D86" s="128">
        <f>4030</f>
        <v>4030</v>
      </c>
      <c r="E86" s="742">
        <f>4030-970</f>
        <v>3060</v>
      </c>
      <c r="F86" s="128">
        <f>4030-970</f>
        <v>3060</v>
      </c>
      <c r="G86" s="128">
        <v>2021</v>
      </c>
      <c r="H86" s="1"/>
    </row>
    <row r="87" spans="1:8" ht="15.75" thickBot="1" x14ac:dyDescent="0.3">
      <c r="A87" s="129" t="s">
        <v>84</v>
      </c>
      <c r="B87" s="130"/>
      <c r="C87" s="112">
        <f t="shared" ref="C87:G87" si="12">SUM(C88)</f>
        <v>4900</v>
      </c>
      <c r="D87" s="112">
        <f t="shared" si="12"/>
        <v>4900</v>
      </c>
      <c r="E87" s="112">
        <f t="shared" si="12"/>
        <v>4900</v>
      </c>
      <c r="F87" s="112">
        <f t="shared" si="12"/>
        <v>4900</v>
      </c>
      <c r="G87" s="112">
        <f t="shared" si="12"/>
        <v>70</v>
      </c>
      <c r="H87" s="1"/>
    </row>
    <row r="88" spans="1:8" ht="15.75" thickBot="1" x14ac:dyDescent="0.3">
      <c r="A88" s="131" t="s">
        <v>85</v>
      </c>
      <c r="B88" s="106" t="s">
        <v>269</v>
      </c>
      <c r="C88" s="134">
        <v>4900</v>
      </c>
      <c r="D88" s="134">
        <v>4900</v>
      </c>
      <c r="E88" s="134">
        <v>4900</v>
      </c>
      <c r="F88" s="134">
        <v>4900</v>
      </c>
      <c r="G88" s="134">
        <v>70</v>
      </c>
      <c r="H88" s="1"/>
    </row>
    <row r="89" spans="1:8" ht="15.75" thickBot="1" x14ac:dyDescent="0.3">
      <c r="A89" s="129" t="s">
        <v>86</v>
      </c>
      <c r="B89" s="130"/>
      <c r="C89" s="112">
        <f t="shared" ref="C89:G89" si="13">SUM(C90:C91)</f>
        <v>26400</v>
      </c>
      <c r="D89" s="112">
        <f t="shared" ref="D89:F89" si="14">SUM(D90:D91)</f>
        <v>26400</v>
      </c>
      <c r="E89" s="112">
        <f t="shared" si="14"/>
        <v>26400</v>
      </c>
      <c r="F89" s="112">
        <f t="shared" si="14"/>
        <v>30100</v>
      </c>
      <c r="G89" s="112">
        <f t="shared" si="13"/>
        <v>2556</v>
      </c>
      <c r="H89" s="1"/>
    </row>
    <row r="90" spans="1:8" x14ac:dyDescent="0.25">
      <c r="A90" s="135" t="s">
        <v>87</v>
      </c>
      <c r="B90" s="136" t="s">
        <v>88</v>
      </c>
      <c r="C90" s="139">
        <v>24600</v>
      </c>
      <c r="D90" s="139">
        <v>24600</v>
      </c>
      <c r="E90" s="139">
        <v>24600</v>
      </c>
      <c r="F90" s="761">
        <f>24600+1700</f>
        <v>26300</v>
      </c>
      <c r="G90" s="139">
        <v>2556</v>
      </c>
      <c r="H90" s="1"/>
    </row>
    <row r="91" spans="1:8" ht="15.75" thickBot="1" x14ac:dyDescent="0.3">
      <c r="A91" s="140" t="s">
        <v>89</v>
      </c>
      <c r="B91" s="141" t="s">
        <v>90</v>
      </c>
      <c r="C91" s="128">
        <v>1800</v>
      </c>
      <c r="D91" s="128">
        <v>1800</v>
      </c>
      <c r="E91" s="128">
        <v>1800</v>
      </c>
      <c r="F91" s="742">
        <f>1800+2000</f>
        <v>3800</v>
      </c>
      <c r="G91" s="128">
        <v>0</v>
      </c>
      <c r="H91" s="1"/>
    </row>
    <row r="92" spans="1:8" ht="15.75" thickBot="1" x14ac:dyDescent="0.3">
      <c r="A92" s="108" t="s">
        <v>91</v>
      </c>
      <c r="B92" s="144"/>
      <c r="C92" s="112">
        <f t="shared" ref="C92:G92" si="15">SUM(C93:C95)</f>
        <v>81600</v>
      </c>
      <c r="D92" s="112">
        <f t="shared" si="15"/>
        <v>81600</v>
      </c>
      <c r="E92" s="112">
        <f t="shared" si="15"/>
        <v>82200</v>
      </c>
      <c r="F92" s="112">
        <f t="shared" si="15"/>
        <v>82200</v>
      </c>
      <c r="G92" s="112">
        <f t="shared" si="15"/>
        <v>6158</v>
      </c>
      <c r="H92" s="1"/>
    </row>
    <row r="93" spans="1:8" x14ac:dyDescent="0.25">
      <c r="A93" s="145" t="s">
        <v>92</v>
      </c>
      <c r="B93" s="146" t="s">
        <v>93</v>
      </c>
      <c r="C93" s="55">
        <v>27600</v>
      </c>
      <c r="D93" s="55">
        <v>27600</v>
      </c>
      <c r="E93" s="55">
        <v>27600</v>
      </c>
      <c r="F93" s="55">
        <v>27600</v>
      </c>
      <c r="G93" s="55">
        <v>1845</v>
      </c>
      <c r="H93" s="1"/>
    </row>
    <row r="94" spans="1:8" x14ac:dyDescent="0.25">
      <c r="A94" s="121" t="s">
        <v>94</v>
      </c>
      <c r="B94" s="118" t="s">
        <v>95</v>
      </c>
      <c r="C94" s="60">
        <v>33900</v>
      </c>
      <c r="D94" s="60">
        <v>33900</v>
      </c>
      <c r="E94" s="745">
        <f>33900+600</f>
        <v>34500</v>
      </c>
      <c r="F94" s="60">
        <f>33900+600</f>
        <v>34500</v>
      </c>
      <c r="G94" s="60">
        <v>608</v>
      </c>
      <c r="H94" s="1"/>
    </row>
    <row r="95" spans="1:8" ht="15.75" thickBot="1" x14ac:dyDescent="0.3">
      <c r="A95" s="121" t="s">
        <v>96</v>
      </c>
      <c r="B95" s="118" t="s">
        <v>97</v>
      </c>
      <c r="C95" s="60">
        <v>20100</v>
      </c>
      <c r="D95" s="60">
        <v>20100</v>
      </c>
      <c r="E95" s="60">
        <v>20100</v>
      </c>
      <c r="F95" s="60">
        <v>20100</v>
      </c>
      <c r="G95" s="60">
        <v>3705</v>
      </c>
      <c r="H95" s="1"/>
    </row>
    <row r="96" spans="1:8" ht="15.75" thickBot="1" x14ac:dyDescent="0.3">
      <c r="A96" s="889" t="s">
        <v>98</v>
      </c>
      <c r="B96" s="890"/>
      <c r="C96" s="112">
        <f t="shared" ref="C96:G96" si="16">SUM(C97:C100)</f>
        <v>152200</v>
      </c>
      <c r="D96" s="112">
        <f t="shared" si="16"/>
        <v>152200</v>
      </c>
      <c r="E96" s="112">
        <f t="shared" si="16"/>
        <v>152200</v>
      </c>
      <c r="F96" s="112">
        <f t="shared" si="16"/>
        <v>155100</v>
      </c>
      <c r="G96" s="112">
        <f t="shared" si="16"/>
        <v>11828</v>
      </c>
      <c r="H96" s="1"/>
    </row>
    <row r="97" spans="1:8" x14ac:dyDescent="0.25">
      <c r="A97" s="153" t="s">
        <v>99</v>
      </c>
      <c r="B97" s="154" t="s">
        <v>100</v>
      </c>
      <c r="C97" s="139">
        <v>70400</v>
      </c>
      <c r="D97" s="139">
        <v>70400</v>
      </c>
      <c r="E97" s="139">
        <v>70400</v>
      </c>
      <c r="F97" s="139">
        <v>70400</v>
      </c>
      <c r="G97" s="139">
        <v>3737</v>
      </c>
      <c r="H97" s="1"/>
    </row>
    <row r="98" spans="1:8" x14ac:dyDescent="0.25">
      <c r="A98" s="121" t="s">
        <v>101</v>
      </c>
      <c r="B98" s="118" t="s">
        <v>102</v>
      </c>
      <c r="C98" s="152">
        <v>70300</v>
      </c>
      <c r="D98" s="152">
        <v>70300</v>
      </c>
      <c r="E98" s="152">
        <v>70300</v>
      </c>
      <c r="F98" s="762">
        <f>70300+2900</f>
        <v>73200</v>
      </c>
      <c r="G98" s="152">
        <v>8091</v>
      </c>
      <c r="H98" s="1"/>
    </row>
    <row r="99" spans="1:8" x14ac:dyDescent="0.25">
      <c r="A99" s="131" t="s">
        <v>103</v>
      </c>
      <c r="B99" s="159" t="s">
        <v>104</v>
      </c>
      <c r="C99" s="163">
        <v>1700</v>
      </c>
      <c r="D99" s="163">
        <v>1700</v>
      </c>
      <c r="E99" s="163">
        <v>1700</v>
      </c>
      <c r="F99" s="163">
        <v>1700</v>
      </c>
      <c r="G99" s="163">
        <v>0</v>
      </c>
      <c r="H99" s="1"/>
    </row>
    <row r="100" spans="1:8" ht="15.75" thickBot="1" x14ac:dyDescent="0.3">
      <c r="A100" s="164" t="s">
        <v>105</v>
      </c>
      <c r="B100" s="165" t="s">
        <v>106</v>
      </c>
      <c r="C100" s="168">
        <v>9800</v>
      </c>
      <c r="D100" s="168">
        <v>9800</v>
      </c>
      <c r="E100" s="168">
        <v>9800</v>
      </c>
      <c r="F100" s="168">
        <v>9800</v>
      </c>
      <c r="G100" s="168"/>
      <c r="H100" s="1"/>
    </row>
    <row r="101" spans="1:8" ht="15.75" thickBot="1" x14ac:dyDescent="0.3">
      <c r="A101" s="108" t="s">
        <v>107</v>
      </c>
      <c r="B101" s="144"/>
      <c r="C101" s="110">
        <f t="shared" ref="C101:G101" si="17">SUM(C102:C104)</f>
        <v>259100</v>
      </c>
      <c r="D101" s="110">
        <f t="shared" si="17"/>
        <v>259100</v>
      </c>
      <c r="E101" s="110">
        <f t="shared" si="17"/>
        <v>259100</v>
      </c>
      <c r="F101" s="110">
        <f t="shared" si="17"/>
        <v>261000</v>
      </c>
      <c r="G101" s="110">
        <f t="shared" si="17"/>
        <v>18607</v>
      </c>
      <c r="H101" s="1"/>
    </row>
    <row r="102" spans="1:8" x14ac:dyDescent="0.25">
      <c r="A102" s="145" t="s">
        <v>108</v>
      </c>
      <c r="B102" s="85" t="s">
        <v>109</v>
      </c>
      <c r="C102" s="116">
        <v>181000</v>
      </c>
      <c r="D102" s="116">
        <v>181000</v>
      </c>
      <c r="E102" s="116">
        <v>181000</v>
      </c>
      <c r="F102" s="763">
        <f>181000-18200</f>
        <v>162800</v>
      </c>
      <c r="G102" s="116">
        <v>6320</v>
      </c>
      <c r="H102" s="1"/>
    </row>
    <row r="103" spans="1:8" x14ac:dyDescent="0.25">
      <c r="A103" s="170" t="s">
        <v>110</v>
      </c>
      <c r="B103" s="118" t="s">
        <v>111</v>
      </c>
      <c r="C103" s="152">
        <v>58200</v>
      </c>
      <c r="D103" s="152">
        <v>58200</v>
      </c>
      <c r="E103" s="152">
        <v>58200</v>
      </c>
      <c r="F103" s="762">
        <f>58200+15600</f>
        <v>73800</v>
      </c>
      <c r="G103" s="152">
        <v>9951</v>
      </c>
      <c r="H103" s="1"/>
    </row>
    <row r="104" spans="1:8" ht="15.75" thickBot="1" x14ac:dyDescent="0.3">
      <c r="A104" s="171" t="s">
        <v>112</v>
      </c>
      <c r="B104" s="165" t="s">
        <v>113</v>
      </c>
      <c r="C104" s="174">
        <v>19900</v>
      </c>
      <c r="D104" s="174">
        <v>19900</v>
      </c>
      <c r="E104" s="174">
        <v>19900</v>
      </c>
      <c r="F104" s="764">
        <f>19900+7500-3000</f>
        <v>24400</v>
      </c>
      <c r="G104" s="174">
        <v>2336</v>
      </c>
      <c r="H104" s="1"/>
    </row>
    <row r="105" spans="1:8" ht="15.75" thickBot="1" x14ac:dyDescent="0.3">
      <c r="A105" s="175" t="s">
        <v>114</v>
      </c>
      <c r="B105" s="176"/>
      <c r="C105" s="177">
        <f t="shared" ref="C105:G105" si="18">SUM(C106:C109)</f>
        <v>830</v>
      </c>
      <c r="D105" s="177">
        <f t="shared" si="18"/>
        <v>830</v>
      </c>
      <c r="E105" s="177">
        <f t="shared" si="18"/>
        <v>830</v>
      </c>
      <c r="F105" s="177">
        <f t="shared" si="18"/>
        <v>830</v>
      </c>
      <c r="G105" s="177">
        <f t="shared" si="18"/>
        <v>75</v>
      </c>
      <c r="H105" s="1"/>
    </row>
    <row r="106" spans="1:8" x14ac:dyDescent="0.25">
      <c r="A106" s="135" t="s">
        <v>115</v>
      </c>
      <c r="B106" s="154" t="s">
        <v>116</v>
      </c>
      <c r="C106" s="181">
        <v>50</v>
      </c>
      <c r="D106" s="181">
        <v>50</v>
      </c>
      <c r="E106" s="181">
        <v>50</v>
      </c>
      <c r="F106" s="181">
        <v>50</v>
      </c>
      <c r="G106" s="181">
        <v>0</v>
      </c>
      <c r="H106" s="1"/>
    </row>
    <row r="107" spans="1:8" x14ac:dyDescent="0.25">
      <c r="A107" s="170" t="s">
        <v>117</v>
      </c>
      <c r="B107" s="118" t="s">
        <v>118</v>
      </c>
      <c r="C107" s="184">
        <v>50</v>
      </c>
      <c r="D107" s="184">
        <v>50</v>
      </c>
      <c r="E107" s="184">
        <v>50</v>
      </c>
      <c r="F107" s="184">
        <v>50</v>
      </c>
      <c r="G107" s="184">
        <v>0</v>
      </c>
      <c r="H107" s="1"/>
    </row>
    <row r="108" spans="1:8" x14ac:dyDescent="0.25">
      <c r="A108" s="170" t="s">
        <v>119</v>
      </c>
      <c r="B108" s="118" t="s">
        <v>120</v>
      </c>
      <c r="C108" s="60">
        <v>730</v>
      </c>
      <c r="D108" s="60">
        <v>730</v>
      </c>
      <c r="E108" s="60">
        <v>730</v>
      </c>
      <c r="F108" s="60">
        <v>730</v>
      </c>
      <c r="G108" s="60">
        <v>75</v>
      </c>
      <c r="H108" s="1"/>
    </row>
    <row r="109" spans="1:8" ht="15.75" thickBot="1" x14ac:dyDescent="0.3">
      <c r="A109" s="187" t="s">
        <v>121</v>
      </c>
      <c r="B109" s="188" t="s">
        <v>550</v>
      </c>
      <c r="C109" s="191">
        <v>0</v>
      </c>
      <c r="D109" s="191">
        <v>0</v>
      </c>
      <c r="E109" s="191">
        <v>0</v>
      </c>
      <c r="F109" s="191">
        <v>0</v>
      </c>
      <c r="G109" s="191">
        <v>0</v>
      </c>
      <c r="H109" s="1"/>
    </row>
    <row r="110" spans="1:8" ht="15.75" thickBot="1" x14ac:dyDescent="0.3">
      <c r="A110" s="192" t="s">
        <v>122</v>
      </c>
      <c r="B110" s="193"/>
      <c r="C110" s="194">
        <f t="shared" ref="C110:G110" si="19">SUM(C111:C115)</f>
        <v>123600</v>
      </c>
      <c r="D110" s="194">
        <f t="shared" si="19"/>
        <v>123600</v>
      </c>
      <c r="E110" s="194">
        <f t="shared" si="19"/>
        <v>123601</v>
      </c>
      <c r="F110" s="194">
        <f t="shared" si="19"/>
        <v>124901</v>
      </c>
      <c r="G110" s="194">
        <f t="shared" si="19"/>
        <v>13001</v>
      </c>
      <c r="H110" s="1"/>
    </row>
    <row r="111" spans="1:8" x14ac:dyDescent="0.25">
      <c r="A111" s="153" t="s">
        <v>123</v>
      </c>
      <c r="B111" s="154" t="s">
        <v>124</v>
      </c>
      <c r="C111" s="139">
        <f>48000-3000</f>
        <v>45000</v>
      </c>
      <c r="D111" s="139">
        <f>48000-3000</f>
        <v>45000</v>
      </c>
      <c r="E111" s="139">
        <f>48000-3000</f>
        <v>45000</v>
      </c>
      <c r="F111" s="761">
        <f>48000-3000+1700</f>
        <v>46700</v>
      </c>
      <c r="G111" s="139">
        <v>9140</v>
      </c>
      <c r="H111" s="1"/>
    </row>
    <row r="112" spans="1:8" x14ac:dyDescent="0.25">
      <c r="A112" s="196" t="s">
        <v>125</v>
      </c>
      <c r="B112" s="197" t="s">
        <v>126</v>
      </c>
      <c r="C112" s="55">
        <v>47700</v>
      </c>
      <c r="D112" s="55">
        <v>47700</v>
      </c>
      <c r="E112" s="55">
        <v>47700</v>
      </c>
      <c r="F112" s="743">
        <f>47700-1000+500+1600</f>
        <v>48800</v>
      </c>
      <c r="G112" s="55">
        <v>2274</v>
      </c>
      <c r="H112" s="1"/>
    </row>
    <row r="113" spans="1:9" x14ac:dyDescent="0.25">
      <c r="A113" s="196" t="s">
        <v>127</v>
      </c>
      <c r="B113" s="85" t="s">
        <v>128</v>
      </c>
      <c r="C113" s="55">
        <v>5900</v>
      </c>
      <c r="D113" s="55">
        <v>5900</v>
      </c>
      <c r="E113" s="55">
        <v>5900</v>
      </c>
      <c r="F113" s="55">
        <v>5900</v>
      </c>
      <c r="G113" s="55">
        <v>1022</v>
      </c>
      <c r="H113" s="1"/>
    </row>
    <row r="114" spans="1:9" x14ac:dyDescent="0.25">
      <c r="A114" s="196" t="s">
        <v>129</v>
      </c>
      <c r="B114" s="85" t="s">
        <v>130</v>
      </c>
      <c r="C114" s="55">
        <v>20000</v>
      </c>
      <c r="D114" s="55">
        <f>20000</f>
        <v>20000</v>
      </c>
      <c r="E114" s="743">
        <f>20000+1</f>
        <v>20001</v>
      </c>
      <c r="F114" s="743">
        <f>20000+1-1500</f>
        <v>18501</v>
      </c>
      <c r="G114" s="55">
        <v>565</v>
      </c>
      <c r="H114" s="1"/>
    </row>
    <row r="115" spans="1:9" ht="15.75" thickBot="1" x14ac:dyDescent="0.3">
      <c r="A115" s="164" t="s">
        <v>131</v>
      </c>
      <c r="B115" s="165" t="s">
        <v>132</v>
      </c>
      <c r="C115" s="186">
        <v>5000</v>
      </c>
      <c r="D115" s="186">
        <v>5000</v>
      </c>
      <c r="E115" s="186">
        <v>5000</v>
      </c>
      <c r="F115" s="186">
        <v>5000</v>
      </c>
      <c r="G115" s="186">
        <v>0</v>
      </c>
      <c r="H115" s="1"/>
    </row>
    <row r="116" spans="1:9" ht="15.75" thickBot="1" x14ac:dyDescent="0.3">
      <c r="A116" s="129" t="s">
        <v>133</v>
      </c>
      <c r="B116" s="130"/>
      <c r="C116" s="110">
        <f>SUM(C117:C123)</f>
        <v>421600</v>
      </c>
      <c r="D116" s="110">
        <f>SUM(D117:D123)</f>
        <v>421600</v>
      </c>
      <c r="E116" s="110">
        <f>SUM(E117:E123)</f>
        <v>429490</v>
      </c>
      <c r="F116" s="110">
        <f>SUM(F117:F123)</f>
        <v>422590</v>
      </c>
      <c r="G116" s="110">
        <f>SUM(G117:G123)</f>
        <v>25154</v>
      </c>
      <c r="H116" s="1"/>
    </row>
    <row r="117" spans="1:9" x14ac:dyDescent="0.25">
      <c r="A117" s="200" t="s">
        <v>134</v>
      </c>
      <c r="B117" s="201" t="s">
        <v>135</v>
      </c>
      <c r="C117" s="205">
        <v>188100</v>
      </c>
      <c r="D117" s="205">
        <f>188100</f>
        <v>188100</v>
      </c>
      <c r="E117" s="744">
        <f>188100+7200</f>
        <v>195300</v>
      </c>
      <c r="F117" s="744">
        <f>188100+7200-6900</f>
        <v>188400</v>
      </c>
      <c r="G117" s="205">
        <v>12722</v>
      </c>
      <c r="H117" s="1"/>
    </row>
    <row r="118" spans="1:9" x14ac:dyDescent="0.25">
      <c r="A118" s="209" t="s">
        <v>140</v>
      </c>
      <c r="B118" s="210" t="s">
        <v>141</v>
      </c>
      <c r="C118" s="61">
        <v>3600</v>
      </c>
      <c r="D118" s="61">
        <v>3600</v>
      </c>
      <c r="E118" s="61">
        <v>3600</v>
      </c>
      <c r="F118" s="61">
        <v>3600</v>
      </c>
      <c r="G118" s="61">
        <v>0</v>
      </c>
      <c r="H118" s="1"/>
    </row>
    <row r="119" spans="1:9" x14ac:dyDescent="0.25">
      <c r="A119" s="209" t="s">
        <v>142</v>
      </c>
      <c r="B119" s="210" t="s">
        <v>143</v>
      </c>
      <c r="C119" s="61">
        <v>29400</v>
      </c>
      <c r="D119" s="61">
        <v>29400</v>
      </c>
      <c r="E119" s="61">
        <v>29400</v>
      </c>
      <c r="F119" s="61">
        <v>29400</v>
      </c>
      <c r="G119" s="61">
        <v>1741</v>
      </c>
      <c r="H119" s="1"/>
    </row>
    <row r="120" spans="1:9" x14ac:dyDescent="0.25">
      <c r="A120" s="209" t="s">
        <v>144</v>
      </c>
      <c r="B120" s="210" t="s">
        <v>145</v>
      </c>
      <c r="C120" s="60">
        <v>32800</v>
      </c>
      <c r="D120" s="60">
        <v>32800</v>
      </c>
      <c r="E120" s="60">
        <v>32800</v>
      </c>
      <c r="F120" s="60">
        <v>32800</v>
      </c>
      <c r="G120" s="60">
        <v>1741</v>
      </c>
      <c r="H120" s="1"/>
    </row>
    <row r="121" spans="1:9" x14ac:dyDescent="0.25">
      <c r="A121" s="209" t="s">
        <v>146</v>
      </c>
      <c r="B121" s="210" t="s">
        <v>230</v>
      </c>
      <c r="C121" s="60">
        <f>147700</f>
        <v>147700</v>
      </c>
      <c r="D121" s="60">
        <f>147700</f>
        <v>147700</v>
      </c>
      <c r="E121" s="745">
        <f>147700+690</f>
        <v>148390</v>
      </c>
      <c r="F121" s="60">
        <f>147700+690</f>
        <v>148390</v>
      </c>
      <c r="G121" s="60">
        <v>8780</v>
      </c>
      <c r="H121" s="27">
        <f>SUM(C119:C121)</f>
        <v>209900</v>
      </c>
      <c r="I121" s="27"/>
    </row>
    <row r="122" spans="1:9" x14ac:dyDescent="0.25">
      <c r="A122" s="211" t="s">
        <v>147</v>
      </c>
      <c r="B122" s="210" t="s">
        <v>231</v>
      </c>
      <c r="C122" s="215">
        <v>13000</v>
      </c>
      <c r="D122" s="215">
        <v>13000</v>
      </c>
      <c r="E122" s="215">
        <v>13000</v>
      </c>
      <c r="F122" s="215">
        <v>13000</v>
      </c>
      <c r="G122" s="215">
        <v>170</v>
      </c>
      <c r="H122" s="1"/>
    </row>
    <row r="123" spans="1:9" ht="15.75" thickBot="1" x14ac:dyDescent="0.3">
      <c r="A123" s="209" t="s">
        <v>148</v>
      </c>
      <c r="B123" s="210" t="s">
        <v>253</v>
      </c>
      <c r="C123" s="215">
        <v>7000</v>
      </c>
      <c r="D123" s="215">
        <v>7000</v>
      </c>
      <c r="E123" s="215">
        <v>7000</v>
      </c>
      <c r="F123" s="215">
        <v>7000</v>
      </c>
      <c r="G123" s="215">
        <v>0</v>
      </c>
      <c r="H123" s="1"/>
    </row>
    <row r="124" spans="1:9" ht="15.75" thickBot="1" x14ac:dyDescent="0.3">
      <c r="A124" s="108" t="s">
        <v>149</v>
      </c>
      <c r="B124" s="109"/>
      <c r="C124" s="112">
        <f t="shared" ref="C124:G124" si="20">SUM(C125:C129)</f>
        <v>380400</v>
      </c>
      <c r="D124" s="112">
        <f t="shared" si="20"/>
        <v>380400</v>
      </c>
      <c r="E124" s="112">
        <f t="shared" si="20"/>
        <v>406100</v>
      </c>
      <c r="F124" s="112">
        <f t="shared" si="20"/>
        <v>406300</v>
      </c>
      <c r="G124" s="112">
        <f t="shared" si="20"/>
        <v>9022</v>
      </c>
      <c r="H124" s="1"/>
    </row>
    <row r="125" spans="1:9" x14ac:dyDescent="0.25">
      <c r="A125" s="196" t="s">
        <v>150</v>
      </c>
      <c r="B125" s="85" t="s">
        <v>499</v>
      </c>
      <c r="C125" s="55">
        <v>322000</v>
      </c>
      <c r="D125" s="55">
        <v>322000</v>
      </c>
      <c r="E125" s="743">
        <f>322000+26200-670</f>
        <v>347530</v>
      </c>
      <c r="F125" s="743">
        <f>322000+26200-670+1800-1600</f>
        <v>347730</v>
      </c>
      <c r="G125" s="55">
        <v>7951</v>
      </c>
      <c r="H125" s="1"/>
      <c r="I125" s="404"/>
    </row>
    <row r="126" spans="1:9" x14ac:dyDescent="0.25">
      <c r="A126" s="196" t="s">
        <v>151</v>
      </c>
      <c r="B126" s="85" t="s">
        <v>152</v>
      </c>
      <c r="C126" s="55">
        <v>500</v>
      </c>
      <c r="D126" s="55">
        <v>500</v>
      </c>
      <c r="E126" s="743">
        <f>500+170</f>
        <v>670</v>
      </c>
      <c r="F126" s="55">
        <f>500+170</f>
        <v>670</v>
      </c>
      <c r="G126" s="55">
        <v>0</v>
      </c>
      <c r="H126" s="1"/>
      <c r="I126" s="404"/>
    </row>
    <row r="127" spans="1:9" x14ac:dyDescent="0.25">
      <c r="A127" s="121" t="s">
        <v>153</v>
      </c>
      <c r="B127" s="118" t="s">
        <v>154</v>
      </c>
      <c r="C127" s="60">
        <v>56900</v>
      </c>
      <c r="D127" s="60">
        <v>56900</v>
      </c>
      <c r="E127" s="60">
        <v>56900</v>
      </c>
      <c r="F127" s="60">
        <v>56900</v>
      </c>
      <c r="G127" s="60">
        <v>1071</v>
      </c>
      <c r="H127" s="1"/>
    </row>
    <row r="128" spans="1:9" x14ac:dyDescent="0.25">
      <c r="A128" s="121" t="s">
        <v>155</v>
      </c>
      <c r="B128" s="118" t="s">
        <v>156</v>
      </c>
      <c r="C128" s="60">
        <v>500</v>
      </c>
      <c r="D128" s="60">
        <v>500</v>
      </c>
      <c r="E128" s="60">
        <v>500</v>
      </c>
      <c r="F128" s="60">
        <v>500</v>
      </c>
      <c r="G128" s="60">
        <v>0</v>
      </c>
      <c r="H128" s="1"/>
    </row>
    <row r="129" spans="1:10" ht="15.75" thickBot="1" x14ac:dyDescent="0.3">
      <c r="A129" s="164" t="s">
        <v>157</v>
      </c>
      <c r="B129" s="165" t="s">
        <v>158</v>
      </c>
      <c r="C129" s="186">
        <v>500</v>
      </c>
      <c r="D129" s="186">
        <v>500</v>
      </c>
      <c r="E129" s="186">
        <v>500</v>
      </c>
      <c r="F129" s="186">
        <v>500</v>
      </c>
      <c r="G129" s="186">
        <v>0</v>
      </c>
      <c r="H129" s="1"/>
    </row>
    <row r="130" spans="1:10" ht="16.5" thickBot="1" x14ac:dyDescent="0.3">
      <c r="A130" s="216" t="s">
        <v>159</v>
      </c>
      <c r="B130" s="176"/>
      <c r="C130" s="219">
        <f>SUM(C81+C87+C89+C92+C96+C101+C105+C110+C116+C124)</f>
        <v>1766360</v>
      </c>
      <c r="D130" s="219">
        <f>SUM(D81+D87+D89+D92+D96+D101+D105+D110+D116+D124)</f>
        <v>1766440</v>
      </c>
      <c r="E130" s="219">
        <f>SUM(E81+E87+E89+E92+E96+E101+E105+E110+E116+E124)</f>
        <v>1799661</v>
      </c>
      <c r="F130" s="219">
        <f>SUM(F81+F87+F89+F92+F96+F101+F105+F110+F116+F124)</f>
        <v>1800161</v>
      </c>
      <c r="G130" s="219">
        <f>SUM(G81+G87+G89+G92+G96+G101+G105+G110+G116+G124)</f>
        <v>113971</v>
      </c>
      <c r="H130" s="27">
        <f t="shared" ref="H130:J143" si="21">D130-C130</f>
        <v>80</v>
      </c>
      <c r="I130" s="27">
        <f t="shared" si="21"/>
        <v>33221</v>
      </c>
      <c r="J130" s="27">
        <f t="shared" si="21"/>
        <v>500</v>
      </c>
    </row>
    <row r="131" spans="1:10" x14ac:dyDescent="0.25">
      <c r="A131" s="220" t="s">
        <v>160</v>
      </c>
      <c r="B131" s="221" t="s">
        <v>161</v>
      </c>
      <c r="C131" s="224">
        <f>C66</f>
        <v>571450</v>
      </c>
      <c r="D131" s="224">
        <f>D66</f>
        <v>571450</v>
      </c>
      <c r="E131" s="224">
        <f>E66</f>
        <v>629449</v>
      </c>
      <c r="F131" s="224">
        <f>F66</f>
        <v>629449</v>
      </c>
      <c r="G131" s="224">
        <f>G66</f>
        <v>48713</v>
      </c>
      <c r="H131" s="27">
        <f t="shared" si="21"/>
        <v>0</v>
      </c>
      <c r="I131" s="27">
        <f t="shared" si="21"/>
        <v>57999</v>
      </c>
      <c r="J131" s="27">
        <f t="shared" si="21"/>
        <v>0</v>
      </c>
    </row>
    <row r="132" spans="1:10" x14ac:dyDescent="0.25">
      <c r="A132" s="225" t="s">
        <v>160</v>
      </c>
      <c r="B132" s="226" t="s">
        <v>162</v>
      </c>
      <c r="C132" s="229">
        <f>C68</f>
        <v>2450</v>
      </c>
      <c r="D132" s="229">
        <f>D68</f>
        <v>2450</v>
      </c>
      <c r="E132" s="229">
        <f>E68</f>
        <v>2450</v>
      </c>
      <c r="F132" s="229">
        <f>F68</f>
        <v>2450</v>
      </c>
      <c r="G132" s="229">
        <f>G68</f>
        <v>-41</v>
      </c>
      <c r="H132" s="27">
        <f t="shared" si="21"/>
        <v>0</v>
      </c>
      <c r="I132" s="27">
        <f t="shared" si="21"/>
        <v>0</v>
      </c>
      <c r="J132" s="27">
        <f t="shared" si="21"/>
        <v>0</v>
      </c>
    </row>
    <row r="133" spans="1:10" x14ac:dyDescent="0.25">
      <c r="A133" s="225" t="s">
        <v>160</v>
      </c>
      <c r="B133" s="226" t="s">
        <v>163</v>
      </c>
      <c r="C133" s="229">
        <f>C70</f>
        <v>0</v>
      </c>
      <c r="D133" s="229">
        <f>D70</f>
        <v>0</v>
      </c>
      <c r="E133" s="229">
        <f>E70</f>
        <v>0</v>
      </c>
      <c r="F133" s="229">
        <f>F70</f>
        <v>0</v>
      </c>
      <c r="G133" s="229">
        <f>G70</f>
        <v>0</v>
      </c>
      <c r="H133" s="27">
        <f t="shared" si="21"/>
        <v>0</v>
      </c>
      <c r="I133" s="27">
        <f t="shared" si="21"/>
        <v>0</v>
      </c>
      <c r="J133" s="27">
        <f t="shared" si="21"/>
        <v>0</v>
      </c>
    </row>
    <row r="134" spans="1:10" ht="15.75" thickBot="1" x14ac:dyDescent="0.3">
      <c r="A134" s="230" t="s">
        <v>160</v>
      </c>
      <c r="B134" s="231" t="s">
        <v>164</v>
      </c>
      <c r="C134" s="234">
        <v>0</v>
      </c>
      <c r="D134" s="234">
        <v>0</v>
      </c>
      <c r="E134" s="234">
        <v>0</v>
      </c>
      <c r="F134" s="234">
        <v>0</v>
      </c>
      <c r="G134" s="234">
        <v>0</v>
      </c>
      <c r="H134" s="27">
        <f t="shared" si="21"/>
        <v>0</v>
      </c>
      <c r="I134" s="27">
        <f t="shared" si="21"/>
        <v>0</v>
      </c>
      <c r="J134" s="27">
        <f t="shared" si="21"/>
        <v>0</v>
      </c>
    </row>
    <row r="135" spans="1:10" x14ac:dyDescent="0.25">
      <c r="A135" s="235" t="s">
        <v>140</v>
      </c>
      <c r="B135" s="236" t="s">
        <v>165</v>
      </c>
      <c r="C135" s="239">
        <v>35400</v>
      </c>
      <c r="D135" s="239">
        <v>35400</v>
      </c>
      <c r="E135" s="239">
        <v>35400</v>
      </c>
      <c r="F135" s="239">
        <v>35400</v>
      </c>
      <c r="G135" s="239">
        <v>2950</v>
      </c>
      <c r="H135" s="27">
        <f t="shared" si="21"/>
        <v>0</v>
      </c>
      <c r="I135" s="27">
        <f t="shared" si="21"/>
        <v>0</v>
      </c>
      <c r="J135" s="27">
        <f t="shared" si="21"/>
        <v>0</v>
      </c>
    </row>
    <row r="136" spans="1:10" ht="15.75" thickBot="1" x14ac:dyDescent="0.3">
      <c r="A136" s="225" t="s">
        <v>140</v>
      </c>
      <c r="B136" s="226" t="s">
        <v>166</v>
      </c>
      <c r="C136" s="229">
        <f>C69</f>
        <v>2600</v>
      </c>
      <c r="D136" s="229">
        <f>D69</f>
        <v>2600</v>
      </c>
      <c r="E136" s="229">
        <f>E69</f>
        <v>2600</v>
      </c>
      <c r="F136" s="229">
        <f>F69</f>
        <v>2600</v>
      </c>
      <c r="G136" s="229">
        <f>G69</f>
        <v>0</v>
      </c>
      <c r="H136" s="27">
        <f t="shared" si="21"/>
        <v>0</v>
      </c>
      <c r="I136" s="27">
        <f t="shared" si="21"/>
        <v>0</v>
      </c>
      <c r="J136" s="27">
        <f t="shared" si="21"/>
        <v>0</v>
      </c>
    </row>
    <row r="137" spans="1:10" ht="15.75" thickBot="1" x14ac:dyDescent="0.3">
      <c r="A137" s="891" t="s">
        <v>167</v>
      </c>
      <c r="B137" s="892"/>
      <c r="C137" s="242">
        <f t="shared" ref="C137:G137" si="22">SUM(C131:C136)</f>
        <v>611900</v>
      </c>
      <c r="D137" s="242">
        <f t="shared" ref="D137:F137" si="23">SUM(D131:D136)</f>
        <v>611900</v>
      </c>
      <c r="E137" s="242">
        <f t="shared" si="23"/>
        <v>669899</v>
      </c>
      <c r="F137" s="242">
        <f t="shared" si="23"/>
        <v>669899</v>
      </c>
      <c r="G137" s="242">
        <f t="shared" si="22"/>
        <v>51622</v>
      </c>
      <c r="H137" s="27">
        <f t="shared" si="21"/>
        <v>0</v>
      </c>
      <c r="I137" s="27">
        <f t="shared" si="21"/>
        <v>57999</v>
      </c>
      <c r="J137" s="27">
        <f t="shared" si="21"/>
        <v>0</v>
      </c>
    </row>
    <row r="138" spans="1:10" x14ac:dyDescent="0.25">
      <c r="A138" s="243" t="s">
        <v>140</v>
      </c>
      <c r="B138" s="244" t="s">
        <v>168</v>
      </c>
      <c r="C138" s="247">
        <f>278720+13000</f>
        <v>291720</v>
      </c>
      <c r="D138" s="247">
        <f>278720+13000</f>
        <v>291720</v>
      </c>
      <c r="E138" s="247">
        <f>278720+13000</f>
        <v>291720</v>
      </c>
      <c r="F138" s="247">
        <f>278720+13000</f>
        <v>291720</v>
      </c>
      <c r="G138" s="247">
        <v>24310</v>
      </c>
      <c r="H138" s="27">
        <f t="shared" si="21"/>
        <v>0</v>
      </c>
      <c r="I138" s="27">
        <f t="shared" si="21"/>
        <v>0</v>
      </c>
      <c r="J138" s="27">
        <f t="shared" si="21"/>
        <v>0</v>
      </c>
    </row>
    <row r="139" spans="1:10" x14ac:dyDescent="0.25">
      <c r="A139" s="248" t="s">
        <v>140</v>
      </c>
      <c r="B139" s="249" t="s">
        <v>551</v>
      </c>
      <c r="C139" s="93">
        <v>0</v>
      </c>
      <c r="D139" s="93">
        <v>0</v>
      </c>
      <c r="E139" s="93">
        <v>0</v>
      </c>
      <c r="F139" s="93">
        <v>0</v>
      </c>
      <c r="G139" s="93">
        <v>0</v>
      </c>
      <c r="H139" s="27">
        <f t="shared" si="21"/>
        <v>0</v>
      </c>
      <c r="I139" s="27">
        <f t="shared" si="21"/>
        <v>0</v>
      </c>
      <c r="J139" s="27">
        <f t="shared" si="21"/>
        <v>0</v>
      </c>
    </row>
    <row r="140" spans="1:10" ht="15.75" thickBot="1" x14ac:dyDescent="0.3">
      <c r="A140" s="248" t="s">
        <v>140</v>
      </c>
      <c r="B140" s="249" t="s">
        <v>169</v>
      </c>
      <c r="C140" s="93">
        <f>C73</f>
        <v>10980</v>
      </c>
      <c r="D140" s="93">
        <f>D73</f>
        <v>10980</v>
      </c>
      <c r="E140" s="93">
        <f>E73</f>
        <v>10980</v>
      </c>
      <c r="F140" s="93">
        <f>F73</f>
        <v>10980</v>
      </c>
      <c r="G140" s="93">
        <f>G73</f>
        <v>0</v>
      </c>
      <c r="H140" s="27">
        <f t="shared" si="21"/>
        <v>0</v>
      </c>
      <c r="I140" s="27">
        <f t="shared" si="21"/>
        <v>0</v>
      </c>
      <c r="J140" s="27">
        <f t="shared" si="21"/>
        <v>0</v>
      </c>
    </row>
    <row r="141" spans="1:10" ht="15.75" thickBot="1" x14ac:dyDescent="0.3">
      <c r="A141" s="874" t="s">
        <v>170</v>
      </c>
      <c r="B141" s="875"/>
      <c r="C141" s="254">
        <f t="shared" ref="C141:G141" si="24">SUM(C138:C140)</f>
        <v>302700</v>
      </c>
      <c r="D141" s="254">
        <f t="shared" si="24"/>
        <v>302700</v>
      </c>
      <c r="E141" s="254">
        <f t="shared" si="24"/>
        <v>302700</v>
      </c>
      <c r="F141" s="254">
        <f t="shared" si="24"/>
        <v>302700</v>
      </c>
      <c r="G141" s="254">
        <f t="shared" si="24"/>
        <v>24310</v>
      </c>
      <c r="H141" s="27">
        <f t="shared" si="21"/>
        <v>0</v>
      </c>
      <c r="I141" s="27">
        <f t="shared" si="21"/>
        <v>0</v>
      </c>
      <c r="J141" s="27">
        <f t="shared" si="21"/>
        <v>0</v>
      </c>
    </row>
    <row r="142" spans="1:10" ht="15.75" thickBot="1" x14ac:dyDescent="0.3">
      <c r="A142" s="860" t="s">
        <v>171</v>
      </c>
      <c r="B142" s="861"/>
      <c r="C142" s="257">
        <f t="shared" ref="C142:G142" si="25">C137+C141</f>
        <v>914600</v>
      </c>
      <c r="D142" s="257">
        <f t="shared" si="25"/>
        <v>914600</v>
      </c>
      <c r="E142" s="257">
        <f t="shared" si="25"/>
        <v>972599</v>
      </c>
      <c r="F142" s="257">
        <f t="shared" si="25"/>
        <v>972599</v>
      </c>
      <c r="G142" s="257">
        <f t="shared" si="25"/>
        <v>75932</v>
      </c>
      <c r="H142" s="27">
        <f t="shared" si="21"/>
        <v>0</v>
      </c>
      <c r="I142" s="27">
        <f t="shared" si="21"/>
        <v>57999</v>
      </c>
      <c r="J142" s="27">
        <f t="shared" si="21"/>
        <v>0</v>
      </c>
    </row>
    <row r="143" spans="1:10" ht="16.5" thickBot="1" x14ac:dyDescent="0.3">
      <c r="A143" s="258" t="s">
        <v>172</v>
      </c>
      <c r="B143" s="144"/>
      <c r="C143" s="261">
        <f t="shared" ref="C143:G143" si="26">C130+C142</f>
        <v>2680960</v>
      </c>
      <c r="D143" s="261">
        <f t="shared" si="26"/>
        <v>2681040</v>
      </c>
      <c r="E143" s="261">
        <f t="shared" si="26"/>
        <v>2772260</v>
      </c>
      <c r="F143" s="261">
        <f t="shared" si="26"/>
        <v>2772760</v>
      </c>
      <c r="G143" s="261">
        <f t="shared" si="26"/>
        <v>189903</v>
      </c>
      <c r="H143" s="27">
        <f t="shared" si="21"/>
        <v>80</v>
      </c>
      <c r="I143" s="27">
        <f t="shared" si="21"/>
        <v>91220</v>
      </c>
      <c r="J143" s="27">
        <f t="shared" si="21"/>
        <v>500</v>
      </c>
    </row>
    <row r="144" spans="1:10" x14ac:dyDescent="0.25">
      <c r="A144" s="1"/>
      <c r="B144" s="1"/>
      <c r="C144" s="1"/>
      <c r="D144" s="1"/>
      <c r="E144" s="1"/>
      <c r="F144" s="1"/>
      <c r="G144" s="1"/>
      <c r="H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</row>
    <row r="146" spans="1:10" ht="18.75" thickBot="1" x14ac:dyDescent="0.3">
      <c r="A146" s="862" t="s">
        <v>173</v>
      </c>
      <c r="B146" s="863"/>
      <c r="C146" s="863"/>
      <c r="D146" s="863"/>
      <c r="E146" s="863"/>
      <c r="F146" s="863"/>
      <c r="G146" s="863"/>
      <c r="H146" s="1"/>
    </row>
    <row r="147" spans="1:10" ht="15.75" thickBot="1" x14ac:dyDescent="0.3">
      <c r="A147" s="864" t="s">
        <v>1</v>
      </c>
      <c r="B147" s="865"/>
      <c r="C147" s="413" t="s">
        <v>454</v>
      </c>
      <c r="D147" s="413" t="s">
        <v>496</v>
      </c>
      <c r="E147" s="413" t="s">
        <v>547</v>
      </c>
      <c r="F147" s="413" t="s">
        <v>497</v>
      </c>
      <c r="G147" s="413" t="s">
        <v>649</v>
      </c>
      <c r="H147" s="1"/>
    </row>
    <row r="148" spans="1:10" ht="16.5" thickBot="1" x14ac:dyDescent="0.3">
      <c r="A148" s="866" t="s">
        <v>174</v>
      </c>
      <c r="B148" s="867"/>
      <c r="C148" s="262">
        <f>SUM(C149:C155)</f>
        <v>869220</v>
      </c>
      <c r="D148" s="262">
        <f t="shared" ref="D148:G148" si="27">SUM(D149:D155)</f>
        <v>869220</v>
      </c>
      <c r="E148" s="262">
        <f t="shared" si="27"/>
        <v>869220</v>
      </c>
      <c r="F148" s="262">
        <f t="shared" si="27"/>
        <v>1047220</v>
      </c>
      <c r="G148" s="262">
        <f t="shared" si="27"/>
        <v>0</v>
      </c>
      <c r="H148" s="27">
        <f>D148-C148</f>
        <v>0</v>
      </c>
      <c r="I148" s="27">
        <f t="shared" ref="I148:J148" si="28">E148-D148</f>
        <v>0</v>
      </c>
      <c r="J148" s="27">
        <f t="shared" si="28"/>
        <v>178000</v>
      </c>
    </row>
    <row r="149" spans="1:10" x14ac:dyDescent="0.25">
      <c r="A149" s="711">
        <v>231</v>
      </c>
      <c r="B149" s="526" t="s">
        <v>306</v>
      </c>
      <c r="C149" s="712">
        <v>0</v>
      </c>
      <c r="D149" s="712">
        <v>0</v>
      </c>
      <c r="E149" s="712">
        <v>0</v>
      </c>
      <c r="F149" s="712">
        <v>0</v>
      </c>
      <c r="G149" s="712">
        <v>0</v>
      </c>
      <c r="H149" s="1"/>
    </row>
    <row r="150" spans="1:10" ht="15.75" thickBot="1" x14ac:dyDescent="0.3">
      <c r="A150" s="3">
        <v>233</v>
      </c>
      <c r="B150" s="328" t="s">
        <v>175</v>
      </c>
      <c r="C150" s="710">
        <v>5000</v>
      </c>
      <c r="D150" s="710">
        <v>5000</v>
      </c>
      <c r="E150" s="710">
        <v>5000</v>
      </c>
      <c r="F150" s="710">
        <v>5000</v>
      </c>
      <c r="G150" s="710">
        <v>0</v>
      </c>
      <c r="H150" s="27">
        <f>SUM(C149:C150)</f>
        <v>5000</v>
      </c>
    </row>
    <row r="151" spans="1:10" x14ac:dyDescent="0.25">
      <c r="A151" s="271">
        <v>322</v>
      </c>
      <c r="B151" s="76" t="s">
        <v>237</v>
      </c>
      <c r="C151" s="273">
        <v>355220</v>
      </c>
      <c r="D151" s="273">
        <v>355220</v>
      </c>
      <c r="E151" s="273">
        <v>355220</v>
      </c>
      <c r="F151" s="273">
        <v>355220</v>
      </c>
      <c r="G151" s="267">
        <v>0</v>
      </c>
      <c r="H151" s="1"/>
    </row>
    <row r="152" spans="1:10" x14ac:dyDescent="0.25">
      <c r="A152" s="271">
        <v>322</v>
      </c>
      <c r="B152" s="274" t="s">
        <v>243</v>
      </c>
      <c r="C152" s="270">
        <v>19000</v>
      </c>
      <c r="D152" s="270">
        <v>19000</v>
      </c>
      <c r="E152" s="270">
        <v>19000</v>
      </c>
      <c r="F152" s="270">
        <v>19000</v>
      </c>
      <c r="G152" s="267">
        <v>0</v>
      </c>
      <c r="H152" s="1"/>
    </row>
    <row r="153" spans="1:10" x14ac:dyDescent="0.25">
      <c r="A153" s="271">
        <v>322</v>
      </c>
      <c r="B153" s="85" t="s">
        <v>303</v>
      </c>
      <c r="C153" s="273">
        <v>190000</v>
      </c>
      <c r="D153" s="273">
        <v>190000</v>
      </c>
      <c r="E153" s="273">
        <v>190000</v>
      </c>
      <c r="F153" s="273">
        <v>190000</v>
      </c>
      <c r="G153" s="267">
        <v>0</v>
      </c>
      <c r="H153" s="1"/>
    </row>
    <row r="154" spans="1:10" x14ac:dyDescent="0.25">
      <c r="A154" s="268">
        <v>322</v>
      </c>
      <c r="B154" s="72" t="s">
        <v>179</v>
      </c>
      <c r="C154" s="270">
        <v>300000</v>
      </c>
      <c r="D154" s="270">
        <v>300000</v>
      </c>
      <c r="E154" s="270">
        <v>300000</v>
      </c>
      <c r="F154" s="270">
        <v>300000</v>
      </c>
      <c r="G154" s="270">
        <v>0</v>
      </c>
    </row>
    <row r="155" spans="1:10" ht="15.75" thickBot="1" x14ac:dyDescent="0.3">
      <c r="A155" s="765">
        <v>322</v>
      </c>
      <c r="B155" s="766" t="s">
        <v>539</v>
      </c>
      <c r="C155" s="409">
        <v>0</v>
      </c>
      <c r="D155" s="409">
        <v>0</v>
      </c>
      <c r="E155" s="409">
        <v>0</v>
      </c>
      <c r="F155" s="767">
        <v>178000</v>
      </c>
      <c r="G155" s="409">
        <v>0</v>
      </c>
      <c r="H155" s="27">
        <f>SUM(C151:C155)</f>
        <v>864220</v>
      </c>
      <c r="I155" s="27">
        <f>SUM(D151:D155)</f>
        <v>864220</v>
      </c>
      <c r="J155" s="27">
        <f t="shared" ref="J155" si="29">SUM(F151:F155)</f>
        <v>1042220</v>
      </c>
    </row>
    <row r="156" spans="1:10" ht="16.5" thickBot="1" x14ac:dyDescent="0.3">
      <c r="A156" s="866" t="s">
        <v>180</v>
      </c>
      <c r="B156" s="867"/>
      <c r="C156" s="262">
        <f>SUM(C157:C170)</f>
        <v>1445946</v>
      </c>
      <c r="D156" s="262">
        <f>SUM(D157:D170)</f>
        <v>1445946</v>
      </c>
      <c r="E156" s="262">
        <f>SUM(E157:E170)</f>
        <v>1445946</v>
      </c>
      <c r="F156" s="262">
        <f>SUM(F157:F170)</f>
        <v>1623946</v>
      </c>
      <c r="G156" s="262">
        <f>SUM(G157:G170)</f>
        <v>0</v>
      </c>
      <c r="H156" s="27">
        <f>D156-C156</f>
        <v>0</v>
      </c>
      <c r="I156" s="27">
        <f t="shared" ref="I156:J156" si="30">E156-D156</f>
        <v>0</v>
      </c>
      <c r="J156" s="27">
        <f t="shared" si="30"/>
        <v>178000</v>
      </c>
    </row>
    <row r="157" spans="1:10" x14ac:dyDescent="0.25">
      <c r="A157" s="286" t="s">
        <v>94</v>
      </c>
      <c r="B157" s="275" t="s">
        <v>184</v>
      </c>
      <c r="C157" s="287">
        <v>1500</v>
      </c>
      <c r="D157" s="287">
        <v>1500</v>
      </c>
      <c r="E157" s="287">
        <v>1500</v>
      </c>
      <c r="F157" s="287">
        <v>1500</v>
      </c>
      <c r="G157" s="287">
        <v>0</v>
      </c>
      <c r="H157" s="1"/>
    </row>
    <row r="158" spans="1:10" x14ac:dyDescent="0.25">
      <c r="A158" s="288" t="s">
        <v>96</v>
      </c>
      <c r="B158" s="561" t="s">
        <v>347</v>
      </c>
      <c r="C158" s="290">
        <v>5000</v>
      </c>
      <c r="D158" s="290">
        <v>5000</v>
      </c>
      <c r="E158" s="290">
        <v>5000</v>
      </c>
      <c r="F158" s="737">
        <f>5000-2000</f>
        <v>3000</v>
      </c>
      <c r="G158" s="290">
        <v>0</v>
      </c>
      <c r="H158" s="1"/>
    </row>
    <row r="159" spans="1:10" x14ac:dyDescent="0.25">
      <c r="A159" s="279" t="s">
        <v>101</v>
      </c>
      <c r="B159" s="294" t="s">
        <v>236</v>
      </c>
      <c r="C159" s="281">
        <v>390000</v>
      </c>
      <c r="D159" s="281">
        <v>390000</v>
      </c>
      <c r="E159" s="281">
        <v>390000</v>
      </c>
      <c r="F159" s="731">
        <f>390000-50000</f>
        <v>340000</v>
      </c>
      <c r="G159" s="281">
        <v>0</v>
      </c>
      <c r="H159" s="1"/>
    </row>
    <row r="160" spans="1:10" x14ac:dyDescent="0.25">
      <c r="A160" s="288" t="s">
        <v>188</v>
      </c>
      <c r="B160" s="289" t="s">
        <v>189</v>
      </c>
      <c r="C160" s="290">
        <v>25000</v>
      </c>
      <c r="D160" s="290">
        <v>25000</v>
      </c>
      <c r="E160" s="290">
        <v>25000</v>
      </c>
      <c r="F160" s="290">
        <v>25000</v>
      </c>
      <c r="G160" s="290">
        <v>0</v>
      </c>
      <c r="H160" s="1"/>
    </row>
    <row r="161" spans="1:10" x14ac:dyDescent="0.25">
      <c r="A161" s="297" t="s">
        <v>188</v>
      </c>
      <c r="B161" s="294" t="s">
        <v>242</v>
      </c>
      <c r="C161" s="281">
        <v>30000</v>
      </c>
      <c r="D161" s="281">
        <v>30000</v>
      </c>
      <c r="E161" s="281">
        <v>30000</v>
      </c>
      <c r="F161" s="731">
        <f>30000+37000</f>
        <v>67000</v>
      </c>
      <c r="G161" s="281">
        <v>0</v>
      </c>
      <c r="H161" s="27"/>
    </row>
    <row r="162" spans="1:10" x14ac:dyDescent="0.25">
      <c r="A162" s="300" t="s">
        <v>108</v>
      </c>
      <c r="B162" s="298" t="s">
        <v>549</v>
      </c>
      <c r="C162" s="281">
        <v>10000</v>
      </c>
      <c r="D162" s="281">
        <v>10000</v>
      </c>
      <c r="E162" s="281">
        <v>10000</v>
      </c>
      <c r="F162" s="281">
        <v>10000</v>
      </c>
      <c r="G162" s="281">
        <v>0</v>
      </c>
      <c r="H162" s="1"/>
    </row>
    <row r="163" spans="1:10" x14ac:dyDescent="0.25">
      <c r="A163" s="297" t="s">
        <v>108</v>
      </c>
      <c r="B163" s="770" t="s">
        <v>235</v>
      </c>
      <c r="C163" s="281">
        <v>100000</v>
      </c>
      <c r="D163" s="281">
        <v>100000</v>
      </c>
      <c r="E163" s="281">
        <v>100000</v>
      </c>
      <c r="F163" s="731">
        <f>100000-38000</f>
        <v>62000</v>
      </c>
      <c r="G163" s="281">
        <v>0</v>
      </c>
      <c r="H163" s="27"/>
    </row>
    <row r="164" spans="1:10" ht="15.75" thickBot="1" x14ac:dyDescent="0.3">
      <c r="A164" s="768" t="s">
        <v>112</v>
      </c>
      <c r="B164" s="769" t="s">
        <v>540</v>
      </c>
      <c r="C164" s="285">
        <v>0</v>
      </c>
      <c r="D164" s="285">
        <v>0</v>
      </c>
      <c r="E164" s="285">
        <v>0</v>
      </c>
      <c r="F164" s="756">
        <v>70000</v>
      </c>
      <c r="G164" s="285">
        <v>0</v>
      </c>
      <c r="H164" s="27"/>
    </row>
    <row r="165" spans="1:10" x14ac:dyDescent="0.25">
      <c r="A165" s="771" t="s">
        <v>123</v>
      </c>
      <c r="B165" s="772" t="s">
        <v>193</v>
      </c>
      <c r="C165" s="773">
        <v>21000</v>
      </c>
      <c r="D165" s="773">
        <v>21000</v>
      </c>
      <c r="E165" s="773">
        <v>21000</v>
      </c>
      <c r="F165" s="773">
        <v>21000</v>
      </c>
      <c r="G165" s="773">
        <v>0</v>
      </c>
      <c r="H165" s="27"/>
    </row>
    <row r="166" spans="1:10" x14ac:dyDescent="0.25">
      <c r="A166" s="303" t="s">
        <v>123</v>
      </c>
      <c r="B166" s="304" t="s">
        <v>541</v>
      </c>
      <c r="C166" s="293">
        <v>8000</v>
      </c>
      <c r="D166" s="293">
        <v>8000</v>
      </c>
      <c r="E166" s="293">
        <v>8000</v>
      </c>
      <c r="F166" s="730">
        <f>8000+246000</f>
        <v>254000</v>
      </c>
      <c r="G166" s="293">
        <v>0</v>
      </c>
      <c r="H166" s="1"/>
    </row>
    <row r="167" spans="1:10" x14ac:dyDescent="0.25">
      <c r="A167" s="303" t="s">
        <v>125</v>
      </c>
      <c r="B167" s="304" t="s">
        <v>522</v>
      </c>
      <c r="C167" s="293">
        <v>0</v>
      </c>
      <c r="D167" s="293">
        <v>0</v>
      </c>
      <c r="E167" s="293">
        <v>0</v>
      </c>
      <c r="F167" s="730">
        <v>15000</v>
      </c>
      <c r="G167" s="293">
        <v>0</v>
      </c>
      <c r="H167" s="1"/>
    </row>
    <row r="168" spans="1:10" x14ac:dyDescent="0.25">
      <c r="A168" s="303" t="s">
        <v>125</v>
      </c>
      <c r="B168" s="294" t="s">
        <v>259</v>
      </c>
      <c r="C168" s="293">
        <v>200000</v>
      </c>
      <c r="D168" s="293">
        <v>200000</v>
      </c>
      <c r="E168" s="293">
        <v>200000</v>
      </c>
      <c r="F168" s="293">
        <v>200000</v>
      </c>
      <c r="G168" s="293">
        <v>0</v>
      </c>
      <c r="H168" s="1"/>
    </row>
    <row r="169" spans="1:10" ht="15.75" thickBot="1" x14ac:dyDescent="0.3">
      <c r="A169" s="299" t="s">
        <v>125</v>
      </c>
      <c r="B169" s="774" t="s">
        <v>523</v>
      </c>
      <c r="C169" s="284">
        <v>160886</v>
      </c>
      <c r="D169" s="284">
        <v>160886</v>
      </c>
      <c r="E169" s="284">
        <v>160886</v>
      </c>
      <c r="F169" s="753">
        <f>160886-100000</f>
        <v>60886</v>
      </c>
      <c r="G169" s="284">
        <v>0</v>
      </c>
      <c r="H169" s="1"/>
    </row>
    <row r="170" spans="1:10" ht="15.75" thickBot="1" x14ac:dyDescent="0.3">
      <c r="A170" s="775" t="s">
        <v>134</v>
      </c>
      <c r="B170" s="407" t="s">
        <v>261</v>
      </c>
      <c r="C170" s="408">
        <v>494560</v>
      </c>
      <c r="D170" s="408">
        <v>494560</v>
      </c>
      <c r="E170" s="408">
        <v>494560</v>
      </c>
      <c r="F170" s="408">
        <v>494560</v>
      </c>
      <c r="G170" s="408">
        <v>0</v>
      </c>
      <c r="H170" s="1"/>
    </row>
    <row r="171" spans="1:10" x14ac:dyDescent="0.25">
      <c r="A171" s="311"/>
      <c r="B171" s="312"/>
      <c r="C171" s="313"/>
      <c r="D171" s="313"/>
      <c r="E171" s="313"/>
      <c r="F171" s="313"/>
      <c r="G171" s="313"/>
      <c r="H171" s="313"/>
    </row>
    <row r="172" spans="1:10" x14ac:dyDescent="0.25">
      <c r="A172" s="314"/>
      <c r="B172" s="315"/>
      <c r="C172" s="316"/>
      <c r="D172" s="316"/>
      <c r="E172" s="316"/>
      <c r="F172" s="316"/>
      <c r="G172" s="316"/>
      <c r="H172" s="316"/>
    </row>
    <row r="173" spans="1:10" ht="18.75" thickBot="1" x14ac:dyDescent="0.3">
      <c r="A173" s="868" t="s">
        <v>195</v>
      </c>
      <c r="B173" s="869"/>
      <c r="C173" s="869"/>
      <c r="D173" s="869"/>
      <c r="E173" s="869"/>
      <c r="F173" s="869"/>
      <c r="G173" s="869"/>
      <c r="H173" s="1"/>
    </row>
    <row r="174" spans="1:10" ht="15.75" thickBot="1" x14ac:dyDescent="0.3">
      <c r="A174" s="864" t="s">
        <v>1</v>
      </c>
      <c r="B174" s="865"/>
      <c r="C174" s="413" t="s">
        <v>454</v>
      </c>
      <c r="D174" s="413" t="s">
        <v>496</v>
      </c>
      <c r="E174" s="413" t="s">
        <v>547</v>
      </c>
      <c r="F174" s="413" t="s">
        <v>497</v>
      </c>
      <c r="G174" s="413" t="s">
        <v>649</v>
      </c>
      <c r="H174" s="1"/>
    </row>
    <row r="175" spans="1:10" ht="16.5" thickBot="1" x14ac:dyDescent="0.3">
      <c r="A175" s="441" t="s">
        <v>196</v>
      </c>
      <c r="B175" s="442"/>
      <c r="C175" s="443">
        <f>SUM(C176:C187)</f>
        <v>728546</v>
      </c>
      <c r="D175" s="443">
        <f>SUM(D176:D187)</f>
        <v>728546</v>
      </c>
      <c r="E175" s="443">
        <f>SUM(E176:E187)</f>
        <v>711516</v>
      </c>
      <c r="F175" s="443">
        <f>SUM(F176:F187)</f>
        <v>714937</v>
      </c>
      <c r="G175" s="443">
        <f>SUM(G176:G187)</f>
        <v>11800</v>
      </c>
      <c r="H175" s="27">
        <f>D175-C175</f>
        <v>0</v>
      </c>
      <c r="I175" s="27">
        <f t="shared" ref="I175:J175" si="31">E175-D175</f>
        <v>-17030</v>
      </c>
      <c r="J175" s="27">
        <f t="shared" si="31"/>
        <v>3421</v>
      </c>
    </row>
    <row r="176" spans="1:10" x14ac:dyDescent="0.25">
      <c r="A176" s="432">
        <v>453</v>
      </c>
      <c r="B176" s="433" t="s">
        <v>466</v>
      </c>
      <c r="C176" s="64">
        <f>3000+1900</f>
        <v>4900</v>
      </c>
      <c r="D176" s="64">
        <f>3000+1900</f>
        <v>4900</v>
      </c>
      <c r="E176" s="717">
        <f>3780+1810</f>
        <v>5590</v>
      </c>
      <c r="F176" s="64">
        <f>3780+1810</f>
        <v>5590</v>
      </c>
      <c r="G176" s="64">
        <v>162</v>
      </c>
      <c r="H176" s="27"/>
    </row>
    <row r="177" spans="1:10" x14ac:dyDescent="0.25">
      <c r="A177" s="317">
        <v>453</v>
      </c>
      <c r="B177" s="318" t="s">
        <v>465</v>
      </c>
      <c r="C177" s="319">
        <v>1500</v>
      </c>
      <c r="D177" s="319">
        <v>1500</v>
      </c>
      <c r="E177" s="319">
        <v>1500</v>
      </c>
      <c r="F177" s="319">
        <v>1500</v>
      </c>
      <c r="G177" s="319">
        <v>0</v>
      </c>
      <c r="H177" s="1"/>
    </row>
    <row r="178" spans="1:10" x14ac:dyDescent="0.25">
      <c r="A178" s="317">
        <v>453</v>
      </c>
      <c r="B178" s="433" t="s">
        <v>338</v>
      </c>
      <c r="C178" s="319">
        <v>29750</v>
      </c>
      <c r="D178" s="319">
        <v>29750</v>
      </c>
      <c r="E178" s="760">
        <f>29750-17050</f>
        <v>12700</v>
      </c>
      <c r="F178" s="319">
        <f>29750-17050</f>
        <v>12700</v>
      </c>
      <c r="G178" s="319">
        <v>0</v>
      </c>
      <c r="H178" s="27"/>
    </row>
    <row r="179" spans="1:10" x14ac:dyDescent="0.25">
      <c r="A179" s="317">
        <v>453</v>
      </c>
      <c r="B179" s="318" t="s">
        <v>307</v>
      </c>
      <c r="C179" s="319">
        <v>886</v>
      </c>
      <c r="D179" s="319">
        <v>886</v>
      </c>
      <c r="E179" s="319">
        <v>886</v>
      </c>
      <c r="F179" s="319">
        <v>886</v>
      </c>
      <c r="G179" s="319">
        <v>0</v>
      </c>
      <c r="H179" s="1"/>
    </row>
    <row r="180" spans="1:10" x14ac:dyDescent="0.25">
      <c r="A180" s="317">
        <v>453</v>
      </c>
      <c r="B180" s="433" t="s">
        <v>339</v>
      </c>
      <c r="C180" s="319">
        <v>2030</v>
      </c>
      <c r="D180" s="319">
        <v>2030</v>
      </c>
      <c r="E180" s="319">
        <f>2030</f>
        <v>2030</v>
      </c>
      <c r="F180" s="319">
        <v>2030</v>
      </c>
      <c r="G180" s="319">
        <v>1967</v>
      </c>
      <c r="H180" s="27"/>
    </row>
    <row r="181" spans="1:10" ht="15.75" thickBot="1" x14ac:dyDescent="0.3">
      <c r="A181" s="320">
        <v>453</v>
      </c>
      <c r="B181" s="321" t="s">
        <v>502</v>
      </c>
      <c r="C181" s="322">
        <v>2000</v>
      </c>
      <c r="D181" s="322">
        <v>2000</v>
      </c>
      <c r="E181" s="718">
        <f>2000-670</f>
        <v>1330</v>
      </c>
      <c r="F181" s="322">
        <f>2000-670</f>
        <v>1330</v>
      </c>
      <c r="G181" s="322">
        <v>0</v>
      </c>
      <c r="H181" s="27">
        <f>SUM(C176:C181)</f>
        <v>41066</v>
      </c>
    </row>
    <row r="182" spans="1:10" x14ac:dyDescent="0.25">
      <c r="A182" s="713">
        <v>454</v>
      </c>
      <c r="B182" s="400" t="s">
        <v>342</v>
      </c>
      <c r="C182" s="714">
        <f>160000-63500-3000</f>
        <v>93500</v>
      </c>
      <c r="D182" s="714">
        <f>160000-63500-3000</f>
        <v>93500</v>
      </c>
      <c r="E182" s="714">
        <f>160000-63500-3000</f>
        <v>93500</v>
      </c>
      <c r="F182" s="714">
        <f>160000-63500-3000</f>
        <v>93500</v>
      </c>
      <c r="G182" s="714">
        <v>9671</v>
      </c>
      <c r="H182" s="1"/>
    </row>
    <row r="183" spans="1:10" x14ac:dyDescent="0.25">
      <c r="A183" s="713">
        <v>454</v>
      </c>
      <c r="B183" s="400" t="s">
        <v>341</v>
      </c>
      <c r="C183" s="714">
        <f>575840</f>
        <v>575840</v>
      </c>
      <c r="D183" s="714">
        <f>575840</f>
        <v>575840</v>
      </c>
      <c r="E183" s="714">
        <f>575840</f>
        <v>575840</v>
      </c>
      <c r="F183" s="714">
        <f>575840</f>
        <v>575840</v>
      </c>
      <c r="G183" s="714">
        <v>0</v>
      </c>
      <c r="H183" s="1"/>
    </row>
    <row r="184" spans="1:10" ht="15.75" thickBot="1" x14ac:dyDescent="0.3">
      <c r="A184" s="558">
        <v>454</v>
      </c>
      <c r="B184" s="559" t="s">
        <v>343</v>
      </c>
      <c r="C184" s="560">
        <v>0</v>
      </c>
      <c r="D184" s="560">
        <v>0</v>
      </c>
      <c r="E184" s="560">
        <v>0</v>
      </c>
      <c r="F184" s="560">
        <v>0</v>
      </c>
      <c r="G184" s="560">
        <v>0</v>
      </c>
      <c r="H184" s="27">
        <f>SUM(C182:C184)</f>
        <v>669340</v>
      </c>
    </row>
    <row r="185" spans="1:10" x14ac:dyDescent="0.25">
      <c r="A185" s="556">
        <v>456</v>
      </c>
      <c r="B185" s="400" t="s">
        <v>308</v>
      </c>
      <c r="C185" s="557">
        <v>18000</v>
      </c>
      <c r="D185" s="557">
        <v>18000</v>
      </c>
      <c r="E185" s="557">
        <v>18000</v>
      </c>
      <c r="F185" s="748">
        <f>18000+3421</f>
        <v>21421</v>
      </c>
      <c r="G185" s="557">
        <v>0</v>
      </c>
      <c r="H185" s="1"/>
    </row>
    <row r="186" spans="1:10" x14ac:dyDescent="0.25">
      <c r="A186" s="432">
        <v>456</v>
      </c>
      <c r="B186" s="433" t="s">
        <v>309</v>
      </c>
      <c r="C186" s="64">
        <v>40</v>
      </c>
      <c r="D186" s="64">
        <v>40</v>
      </c>
      <c r="E186" s="64">
        <v>40</v>
      </c>
      <c r="F186" s="64">
        <v>40</v>
      </c>
      <c r="G186" s="64">
        <v>0</v>
      </c>
      <c r="H186" s="27"/>
      <c r="I186" s="458"/>
    </row>
    <row r="187" spans="1:10" ht="15.75" thickBot="1" x14ac:dyDescent="0.3">
      <c r="A187" s="713">
        <v>456</v>
      </c>
      <c r="B187" s="400" t="s">
        <v>344</v>
      </c>
      <c r="C187" s="714">
        <v>100</v>
      </c>
      <c r="D187" s="714">
        <v>100</v>
      </c>
      <c r="E187" s="714">
        <v>100</v>
      </c>
      <c r="F187" s="714">
        <v>100</v>
      </c>
      <c r="G187" s="714">
        <v>0</v>
      </c>
      <c r="H187" s="27">
        <f>SUM(C185:C187)</f>
        <v>18140</v>
      </c>
    </row>
    <row r="188" spans="1:10" ht="16.5" thickBot="1" x14ac:dyDescent="0.3">
      <c r="A188" s="441" t="s">
        <v>198</v>
      </c>
      <c r="B188" s="442"/>
      <c r="C188" s="443">
        <f t="shared" ref="C188:G188" si="32">SUM(C189:C193)</f>
        <v>19140</v>
      </c>
      <c r="D188" s="443">
        <f t="shared" si="32"/>
        <v>19140</v>
      </c>
      <c r="E188" s="443">
        <f t="shared" si="32"/>
        <v>19140</v>
      </c>
      <c r="F188" s="443">
        <f t="shared" si="32"/>
        <v>22561</v>
      </c>
      <c r="G188" s="443">
        <f t="shared" si="32"/>
        <v>80</v>
      </c>
      <c r="H188" s="27">
        <f>D188-C188</f>
        <v>0</v>
      </c>
      <c r="I188" s="27">
        <f t="shared" ref="I188:J188" si="33">E188-D188</f>
        <v>0</v>
      </c>
      <c r="J188" s="27">
        <f t="shared" si="33"/>
        <v>3421</v>
      </c>
    </row>
    <row r="189" spans="1:10" x14ac:dyDescent="0.25">
      <c r="A189" s="323">
        <v>819</v>
      </c>
      <c r="B189" s="324" t="s">
        <v>199</v>
      </c>
      <c r="C189" s="205">
        <v>100</v>
      </c>
      <c r="D189" s="205">
        <v>100</v>
      </c>
      <c r="E189" s="205">
        <v>100</v>
      </c>
      <c r="F189" s="205">
        <v>100</v>
      </c>
      <c r="G189" s="205">
        <v>0</v>
      </c>
      <c r="H189" s="1"/>
    </row>
    <row r="190" spans="1:10" x14ac:dyDescent="0.25">
      <c r="A190" s="325">
        <v>819</v>
      </c>
      <c r="B190" s="326" t="s">
        <v>310</v>
      </c>
      <c r="C190" s="56">
        <v>40</v>
      </c>
      <c r="D190" s="56">
        <v>40</v>
      </c>
      <c r="E190" s="56">
        <v>40</v>
      </c>
      <c r="F190" s="56">
        <v>40</v>
      </c>
      <c r="G190" s="56">
        <v>0</v>
      </c>
      <c r="H190" s="1"/>
    </row>
    <row r="191" spans="1:10" ht="15.75" thickBot="1" x14ac:dyDescent="0.3">
      <c r="A191" s="776">
        <v>819</v>
      </c>
      <c r="B191" s="777" t="s">
        <v>311</v>
      </c>
      <c r="C191" s="778">
        <v>18000</v>
      </c>
      <c r="D191" s="778">
        <v>18000</v>
      </c>
      <c r="E191" s="778">
        <v>18000</v>
      </c>
      <c r="F191" s="779">
        <f>18000+3421</f>
        <v>21421</v>
      </c>
      <c r="G191" s="778">
        <v>0</v>
      </c>
      <c r="H191" s="27">
        <f>SUM(C189:C191)</f>
        <v>18140</v>
      </c>
      <c r="I191" s="27">
        <f>SUM(D189:D191)</f>
        <v>18140</v>
      </c>
      <c r="J191" s="27">
        <f t="shared" ref="J191" si="34">SUM(F189:F191)</f>
        <v>21561</v>
      </c>
    </row>
    <row r="192" spans="1:10" x14ac:dyDescent="0.25">
      <c r="A192" s="325">
        <v>821</v>
      </c>
      <c r="B192" s="326" t="s">
        <v>268</v>
      </c>
      <c r="C192" s="56">
        <v>0</v>
      </c>
      <c r="D192" s="56">
        <v>0</v>
      </c>
      <c r="E192" s="56">
        <v>0</v>
      </c>
      <c r="F192" s="56">
        <v>0</v>
      </c>
      <c r="G192" s="56">
        <v>0</v>
      </c>
      <c r="H192" s="1"/>
    </row>
    <row r="193" spans="1:8" ht="15.75" thickBot="1" x14ac:dyDescent="0.3">
      <c r="A193" s="327">
        <v>821</v>
      </c>
      <c r="B193" s="328" t="s">
        <v>200</v>
      </c>
      <c r="C193" s="128">
        <v>1000</v>
      </c>
      <c r="D193" s="128">
        <v>1000</v>
      </c>
      <c r="E193" s="128">
        <v>1000</v>
      </c>
      <c r="F193" s="128">
        <v>1000</v>
      </c>
      <c r="G193" s="128">
        <v>80</v>
      </c>
      <c r="H193" s="1"/>
    </row>
    <row r="194" spans="1:8" x14ac:dyDescent="0.25">
      <c r="A194" s="314"/>
      <c r="B194" s="329"/>
      <c r="C194" s="161"/>
      <c r="D194" s="161"/>
      <c r="E194" s="161"/>
      <c r="F194" s="161"/>
      <c r="G194" s="161"/>
      <c r="H194" s="161"/>
    </row>
    <row r="195" spans="1:8" ht="15.75" x14ac:dyDescent="0.25">
      <c r="A195" s="105"/>
      <c r="B195" s="312"/>
      <c r="C195" s="312"/>
      <c r="D195" s="312"/>
      <c r="E195" s="312"/>
      <c r="F195" s="312"/>
      <c r="G195" s="312"/>
      <c r="H195" s="312"/>
    </row>
    <row r="196" spans="1:8" ht="18.75" thickBot="1" x14ac:dyDescent="0.3">
      <c r="A196" s="870" t="s">
        <v>201</v>
      </c>
      <c r="B196" s="871"/>
      <c r="C196" s="871"/>
      <c r="D196" s="871"/>
      <c r="E196" s="871"/>
      <c r="F196" s="871"/>
      <c r="G196" s="871"/>
      <c r="H196" s="1"/>
    </row>
    <row r="197" spans="1:8" ht="15.75" thickBot="1" x14ac:dyDescent="0.3">
      <c r="A197" s="864" t="s">
        <v>1</v>
      </c>
      <c r="B197" s="865"/>
      <c r="C197" s="413" t="s">
        <v>454</v>
      </c>
      <c r="D197" s="413" t="s">
        <v>496</v>
      </c>
      <c r="E197" s="413" t="s">
        <v>547</v>
      </c>
      <c r="F197" s="413" t="s">
        <v>497</v>
      </c>
      <c r="G197" s="413" t="s">
        <v>649</v>
      </c>
      <c r="H197" s="1"/>
    </row>
    <row r="198" spans="1:8" ht="15.75" x14ac:dyDescent="0.25">
      <c r="A198" s="330" t="s">
        <v>202</v>
      </c>
      <c r="B198" s="29"/>
      <c r="C198" s="331">
        <f>C76</f>
        <v>2548280</v>
      </c>
      <c r="D198" s="331">
        <f>D76</f>
        <v>2548360</v>
      </c>
      <c r="E198" s="331">
        <f>E76</f>
        <v>2656610</v>
      </c>
      <c r="F198" s="331">
        <f>F76</f>
        <v>2657110</v>
      </c>
      <c r="G198" s="331">
        <f>G76</f>
        <v>278238</v>
      </c>
      <c r="H198" s="1"/>
    </row>
    <row r="199" spans="1:8" ht="15.75" x14ac:dyDescent="0.25">
      <c r="A199" s="332" t="s">
        <v>203</v>
      </c>
      <c r="B199" s="333"/>
      <c r="C199" s="334">
        <f>C143</f>
        <v>2680960</v>
      </c>
      <c r="D199" s="334">
        <f>D143</f>
        <v>2681040</v>
      </c>
      <c r="E199" s="334">
        <f>E143</f>
        <v>2772260</v>
      </c>
      <c r="F199" s="334">
        <f>F143</f>
        <v>2772760</v>
      </c>
      <c r="G199" s="334">
        <f>G143</f>
        <v>189903</v>
      </c>
      <c r="H199" s="1"/>
    </row>
    <row r="200" spans="1:8" ht="15.75" x14ac:dyDescent="0.25">
      <c r="A200" s="872" t="s">
        <v>204</v>
      </c>
      <c r="B200" s="873"/>
      <c r="C200" s="335">
        <f t="shared" ref="C200:G200" si="35">C198-C199</f>
        <v>-132680</v>
      </c>
      <c r="D200" s="335">
        <f t="shared" si="35"/>
        <v>-132680</v>
      </c>
      <c r="E200" s="335">
        <f t="shared" si="35"/>
        <v>-115650</v>
      </c>
      <c r="F200" s="335">
        <f t="shared" si="35"/>
        <v>-115650</v>
      </c>
      <c r="G200" s="335">
        <f t="shared" si="35"/>
        <v>88335</v>
      </c>
      <c r="H200" s="1"/>
    </row>
    <row r="201" spans="1:8" ht="15.75" x14ac:dyDescent="0.25">
      <c r="A201" s="332" t="s">
        <v>205</v>
      </c>
      <c r="B201" s="18"/>
      <c r="C201" s="334">
        <f>C148</f>
        <v>869220</v>
      </c>
      <c r="D201" s="334">
        <f>D148</f>
        <v>869220</v>
      </c>
      <c r="E201" s="334">
        <f>E148</f>
        <v>869220</v>
      </c>
      <c r="F201" s="334">
        <f>F148</f>
        <v>1047220</v>
      </c>
      <c r="G201" s="334">
        <f>G148</f>
        <v>0</v>
      </c>
      <c r="H201" s="1"/>
    </row>
    <row r="202" spans="1:8" ht="15.75" x14ac:dyDescent="0.25">
      <c r="A202" s="332" t="s">
        <v>206</v>
      </c>
      <c r="B202" s="18"/>
      <c r="C202" s="20">
        <f>C156</f>
        <v>1445946</v>
      </c>
      <c r="D202" s="20">
        <f>D156</f>
        <v>1445946</v>
      </c>
      <c r="E202" s="20">
        <f>E156</f>
        <v>1445946</v>
      </c>
      <c r="F202" s="20">
        <f>F156</f>
        <v>1623946</v>
      </c>
      <c r="G202" s="20">
        <f>G156</f>
        <v>0</v>
      </c>
      <c r="H202" s="1"/>
    </row>
    <row r="203" spans="1:8" ht="15.75" x14ac:dyDescent="0.25">
      <c r="A203" s="872" t="s">
        <v>207</v>
      </c>
      <c r="B203" s="873"/>
      <c r="C203" s="335">
        <f t="shared" ref="C203:G203" si="36">C201-C202</f>
        <v>-576726</v>
      </c>
      <c r="D203" s="335">
        <f t="shared" si="36"/>
        <v>-576726</v>
      </c>
      <c r="E203" s="335">
        <f t="shared" si="36"/>
        <v>-576726</v>
      </c>
      <c r="F203" s="335">
        <f t="shared" si="36"/>
        <v>-576726</v>
      </c>
      <c r="G203" s="335">
        <f t="shared" si="36"/>
        <v>0</v>
      </c>
      <c r="H203" s="1"/>
    </row>
    <row r="204" spans="1:8" ht="15.75" x14ac:dyDescent="0.25">
      <c r="A204" s="336" t="s">
        <v>208</v>
      </c>
      <c r="B204" s="337"/>
      <c r="C204" s="338">
        <f>C175</f>
        <v>728546</v>
      </c>
      <c r="D204" s="338">
        <f>D175</f>
        <v>728546</v>
      </c>
      <c r="E204" s="338">
        <f>E175</f>
        <v>711516</v>
      </c>
      <c r="F204" s="338">
        <f>F175</f>
        <v>714937</v>
      </c>
      <c r="G204" s="338">
        <f>G175</f>
        <v>11800</v>
      </c>
      <c r="H204" s="1"/>
    </row>
    <row r="205" spans="1:8" ht="15.75" x14ac:dyDescent="0.25">
      <c r="A205" s="336" t="s">
        <v>209</v>
      </c>
      <c r="B205" s="337"/>
      <c r="C205" s="338">
        <f t="shared" ref="C205:G205" si="37">C188</f>
        <v>19140</v>
      </c>
      <c r="D205" s="338">
        <f t="shared" si="37"/>
        <v>19140</v>
      </c>
      <c r="E205" s="338">
        <f t="shared" si="37"/>
        <v>19140</v>
      </c>
      <c r="F205" s="338">
        <f t="shared" si="37"/>
        <v>22561</v>
      </c>
      <c r="G205" s="338">
        <f t="shared" si="37"/>
        <v>80</v>
      </c>
      <c r="H205" s="1"/>
    </row>
    <row r="206" spans="1:8" ht="16.5" thickBot="1" x14ac:dyDescent="0.3">
      <c r="A206" s="858" t="s">
        <v>210</v>
      </c>
      <c r="B206" s="859"/>
      <c r="C206" s="339">
        <f t="shared" ref="C206:G206" si="38">C204-C205</f>
        <v>709406</v>
      </c>
      <c r="D206" s="339">
        <f t="shared" si="38"/>
        <v>709406</v>
      </c>
      <c r="E206" s="339">
        <f t="shared" si="38"/>
        <v>692376</v>
      </c>
      <c r="F206" s="339">
        <f t="shared" si="38"/>
        <v>692376</v>
      </c>
      <c r="G206" s="339">
        <f t="shared" si="38"/>
        <v>11720</v>
      </c>
      <c r="H206" s="1"/>
    </row>
    <row r="207" spans="1:8" ht="16.5" thickBot="1" x14ac:dyDescent="0.3">
      <c r="A207" s="340" t="s">
        <v>211</v>
      </c>
      <c r="B207" s="341"/>
      <c r="C207" s="342">
        <f t="shared" ref="C207:G207" si="39">C200+C203+C206</f>
        <v>0</v>
      </c>
      <c r="D207" s="342">
        <f t="shared" si="39"/>
        <v>0</v>
      </c>
      <c r="E207" s="342">
        <f t="shared" si="39"/>
        <v>0</v>
      </c>
      <c r="F207" s="342">
        <f t="shared" si="39"/>
        <v>0</v>
      </c>
      <c r="G207" s="342">
        <f t="shared" si="39"/>
        <v>100055</v>
      </c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12" ht="16.5" x14ac:dyDescent="0.3">
      <c r="A209" s="1"/>
      <c r="B209" s="704" t="s">
        <v>457</v>
      </c>
      <c r="C209" s="705">
        <f t="shared" ref="C209:G210" si="40">C198+C201+C204</f>
        <v>4146046</v>
      </c>
      <c r="D209" s="705">
        <f t="shared" si="40"/>
        <v>4146126</v>
      </c>
      <c r="E209" s="705">
        <f t="shared" si="40"/>
        <v>4237346</v>
      </c>
      <c r="F209" s="705">
        <f t="shared" si="40"/>
        <v>4419267</v>
      </c>
      <c r="G209" s="705">
        <f t="shared" si="40"/>
        <v>290038</v>
      </c>
      <c r="H209" s="1"/>
      <c r="I209" s="458">
        <f>D209-C209</f>
        <v>80</v>
      </c>
      <c r="J209" s="458">
        <f t="shared" ref="J209:K210" si="41">E209-D209</f>
        <v>91220</v>
      </c>
      <c r="K209" s="458">
        <f t="shared" si="41"/>
        <v>181921</v>
      </c>
      <c r="L209" s="458">
        <f>J209+K209</f>
        <v>273141</v>
      </c>
    </row>
    <row r="210" spans="1:12" ht="16.5" x14ac:dyDescent="0.3">
      <c r="A210" s="1"/>
      <c r="B210" s="704" t="s">
        <v>458</v>
      </c>
      <c r="C210" s="705">
        <f t="shared" si="40"/>
        <v>4146046</v>
      </c>
      <c r="D210" s="705">
        <f t="shared" si="40"/>
        <v>4146126</v>
      </c>
      <c r="E210" s="705">
        <f t="shared" si="40"/>
        <v>4237346</v>
      </c>
      <c r="F210" s="705">
        <f t="shared" si="40"/>
        <v>4419267</v>
      </c>
      <c r="G210" s="705">
        <f t="shared" si="40"/>
        <v>189983</v>
      </c>
      <c r="H210" s="1"/>
      <c r="I210" s="458">
        <f>D210-C210</f>
        <v>80</v>
      </c>
      <c r="J210" s="458">
        <f t="shared" si="41"/>
        <v>91220</v>
      </c>
      <c r="K210" s="458">
        <f t="shared" si="41"/>
        <v>181921</v>
      </c>
      <c r="L210" s="458">
        <f t="shared" ref="L210:L217" si="42">J210+K210</f>
        <v>273141</v>
      </c>
    </row>
    <row r="211" spans="1:12" ht="16.5" x14ac:dyDescent="0.3">
      <c r="A211" s="1"/>
      <c r="B211" s="704"/>
      <c r="C211" s="705"/>
      <c r="D211" s="705"/>
      <c r="E211" s="705"/>
      <c r="F211" s="705"/>
      <c r="G211" s="705"/>
      <c r="H211" s="1"/>
      <c r="I211" s="458"/>
      <c r="J211" s="458"/>
      <c r="K211" s="458"/>
      <c r="L211" s="458">
        <f t="shared" si="42"/>
        <v>0</v>
      </c>
    </row>
    <row r="212" spans="1:12" ht="16.5" x14ac:dyDescent="0.3">
      <c r="A212" s="1"/>
      <c r="B212" s="704" t="s">
        <v>459</v>
      </c>
      <c r="C212" s="705">
        <f>C209-C75</f>
        <v>4130016</v>
      </c>
      <c r="D212" s="705">
        <f>D209-D75</f>
        <v>4130096</v>
      </c>
      <c r="E212" s="705">
        <f>E209-E75</f>
        <v>4221316</v>
      </c>
      <c r="F212" s="705">
        <f>F209-F75</f>
        <v>4403237</v>
      </c>
      <c r="G212" s="705">
        <f>G209-G75</f>
        <v>290079</v>
      </c>
      <c r="H212" s="1"/>
      <c r="I212" s="458">
        <f>D212-C212</f>
        <v>80</v>
      </c>
      <c r="J212" s="458">
        <f t="shared" ref="J212:K213" si="43">E212-D212</f>
        <v>91220</v>
      </c>
      <c r="K212" s="458">
        <f t="shared" si="43"/>
        <v>181921</v>
      </c>
      <c r="L212" s="458">
        <f t="shared" si="42"/>
        <v>273141</v>
      </c>
    </row>
    <row r="213" spans="1:12" ht="16.5" x14ac:dyDescent="0.3">
      <c r="A213" s="1"/>
      <c r="B213" s="704" t="s">
        <v>460</v>
      </c>
      <c r="C213" s="705">
        <f>C210-C142</f>
        <v>3231446</v>
      </c>
      <c r="D213" s="705">
        <f>D210-D142</f>
        <v>3231526</v>
      </c>
      <c r="E213" s="705">
        <f>E210-E142</f>
        <v>3264747</v>
      </c>
      <c r="F213" s="705">
        <f>F210-F142</f>
        <v>3446668</v>
      </c>
      <c r="G213" s="705">
        <f>G210-G142</f>
        <v>114051</v>
      </c>
      <c r="H213" s="1"/>
      <c r="I213" s="458">
        <f>D213-C213</f>
        <v>80</v>
      </c>
      <c r="J213" s="458">
        <f t="shared" si="43"/>
        <v>33221</v>
      </c>
      <c r="K213" s="458">
        <f t="shared" si="43"/>
        <v>181921</v>
      </c>
      <c r="L213" s="458">
        <f t="shared" si="42"/>
        <v>215142</v>
      </c>
    </row>
    <row r="214" spans="1:12" ht="16.5" x14ac:dyDescent="0.3">
      <c r="A214" s="1"/>
      <c r="B214" s="704"/>
      <c r="C214" s="705"/>
      <c r="D214" s="705"/>
      <c r="E214" s="705"/>
      <c r="F214" s="705"/>
      <c r="G214" s="705"/>
      <c r="H214" s="1"/>
      <c r="I214" s="458"/>
      <c r="J214" s="458"/>
      <c r="K214" s="458"/>
      <c r="L214" s="458">
        <f t="shared" si="42"/>
        <v>0</v>
      </c>
    </row>
    <row r="215" spans="1:12" ht="16.5" x14ac:dyDescent="0.3">
      <c r="A215" s="1"/>
      <c r="B215" s="706" t="s">
        <v>461</v>
      </c>
      <c r="C215" s="707">
        <f t="shared" ref="C215:G216" si="44">C209-C212</f>
        <v>16030</v>
      </c>
      <c r="D215" s="707">
        <f t="shared" si="44"/>
        <v>16030</v>
      </c>
      <c r="E215" s="707">
        <f t="shared" si="44"/>
        <v>16030</v>
      </c>
      <c r="F215" s="707">
        <f t="shared" si="44"/>
        <v>16030</v>
      </c>
      <c r="G215" s="707">
        <f t="shared" si="44"/>
        <v>-41</v>
      </c>
      <c r="H215" s="1"/>
      <c r="I215" s="458">
        <f>D215-C215</f>
        <v>0</v>
      </c>
      <c r="J215" s="458">
        <f t="shared" ref="J215:K217" si="45">E215-D215</f>
        <v>0</v>
      </c>
      <c r="K215" s="458">
        <f t="shared" si="45"/>
        <v>0</v>
      </c>
      <c r="L215" s="458">
        <f t="shared" si="42"/>
        <v>0</v>
      </c>
    </row>
    <row r="216" spans="1:12" ht="16.5" x14ac:dyDescent="0.3">
      <c r="A216" s="104"/>
      <c r="B216" s="706" t="s">
        <v>462</v>
      </c>
      <c r="C216" s="707">
        <f t="shared" si="44"/>
        <v>914600</v>
      </c>
      <c r="D216" s="707">
        <f t="shared" si="44"/>
        <v>914600</v>
      </c>
      <c r="E216" s="707">
        <f t="shared" si="44"/>
        <v>972599</v>
      </c>
      <c r="F216" s="707">
        <f t="shared" si="44"/>
        <v>972599</v>
      </c>
      <c r="G216" s="707">
        <f t="shared" si="44"/>
        <v>75932</v>
      </c>
      <c r="H216" s="1"/>
      <c r="I216" s="458">
        <f>D216-C216</f>
        <v>0</v>
      </c>
      <c r="J216" s="458">
        <f t="shared" si="45"/>
        <v>57999</v>
      </c>
      <c r="K216" s="458">
        <f t="shared" si="45"/>
        <v>0</v>
      </c>
      <c r="L216" s="458">
        <f t="shared" si="42"/>
        <v>57999</v>
      </c>
    </row>
    <row r="217" spans="1:12" ht="16.5" x14ac:dyDescent="0.3">
      <c r="A217" s="1"/>
      <c r="B217" s="704" t="s">
        <v>365</v>
      </c>
      <c r="C217" s="707">
        <f t="shared" ref="C217:G217" si="46">C216-C215+C207</f>
        <v>898570</v>
      </c>
      <c r="D217" s="707">
        <f t="shared" si="46"/>
        <v>898570</v>
      </c>
      <c r="E217" s="707">
        <f t="shared" si="46"/>
        <v>956569</v>
      </c>
      <c r="F217" s="707">
        <f t="shared" si="46"/>
        <v>956569</v>
      </c>
      <c r="G217" s="707">
        <f t="shared" si="46"/>
        <v>176028</v>
      </c>
      <c r="H217" s="1"/>
      <c r="I217" s="458">
        <f>D217-C217</f>
        <v>0</v>
      </c>
      <c r="J217" s="458">
        <f t="shared" si="45"/>
        <v>57999</v>
      </c>
      <c r="K217" s="458">
        <f t="shared" si="45"/>
        <v>0</v>
      </c>
      <c r="L217" s="458">
        <f t="shared" si="42"/>
        <v>57999</v>
      </c>
    </row>
    <row r="218" spans="1:12" x14ac:dyDescent="0.25">
      <c r="A218" s="1"/>
      <c r="B218" s="1"/>
      <c r="C218" s="531"/>
      <c r="D218" s="531"/>
      <c r="E218" s="531"/>
      <c r="F218" s="531"/>
      <c r="G218" s="531"/>
      <c r="H218" s="1"/>
    </row>
    <row r="219" spans="1:12" x14ac:dyDescent="0.25">
      <c r="A219" s="1"/>
      <c r="B219" s="345" t="s">
        <v>216</v>
      </c>
      <c r="C219" s="554"/>
      <c r="D219" s="345"/>
      <c r="E219" s="345"/>
      <c r="F219" s="345"/>
      <c r="G219" s="345"/>
      <c r="H219" s="1"/>
    </row>
    <row r="220" spans="1:12" x14ac:dyDescent="0.25">
      <c r="A220" s="1"/>
      <c r="B220" s="345" t="s">
        <v>455</v>
      </c>
      <c r="C220" s="345"/>
      <c r="D220" s="345"/>
      <c r="E220" s="345"/>
      <c r="F220" s="345"/>
      <c r="G220" s="345"/>
      <c r="H220" s="1"/>
    </row>
    <row r="221" spans="1:12" x14ac:dyDescent="0.25">
      <c r="A221" s="1"/>
      <c r="B221" s="345"/>
      <c r="C221" s="345"/>
      <c r="D221" s="345"/>
      <c r="E221" s="345"/>
      <c r="F221" s="345"/>
      <c r="G221" s="345"/>
      <c r="H221" s="1"/>
    </row>
    <row r="222" spans="1:12" x14ac:dyDescent="0.25">
      <c r="A222" s="1"/>
      <c r="B222" s="347" t="s">
        <v>456</v>
      </c>
      <c r="C222" s="345"/>
      <c r="D222" s="345"/>
      <c r="E222" s="345"/>
      <c r="F222" s="345"/>
      <c r="G222" s="345"/>
      <c r="H222" s="1"/>
    </row>
    <row r="223" spans="1:12" x14ac:dyDescent="0.25">
      <c r="A223" s="1"/>
      <c r="B223" s="347"/>
      <c r="C223" s="345"/>
      <c r="D223" s="345"/>
      <c r="E223" s="345"/>
      <c r="F223" s="345"/>
      <c r="G223" s="345"/>
      <c r="H223" s="1"/>
    </row>
    <row r="224" spans="1:12" x14ac:dyDescent="0.25">
      <c r="A224" s="1"/>
      <c r="B224" s="346" t="s">
        <v>650</v>
      </c>
      <c r="C224" s="345"/>
      <c r="D224" s="345"/>
      <c r="E224" s="345"/>
      <c r="F224" s="345"/>
      <c r="G224" s="345"/>
      <c r="H224" s="1"/>
    </row>
    <row r="225" spans="1:8" x14ac:dyDescent="0.25">
      <c r="A225" s="1"/>
      <c r="B225" s="345" t="s">
        <v>651</v>
      </c>
      <c r="C225" s="345"/>
      <c r="D225" s="345"/>
      <c r="E225" s="345"/>
      <c r="F225" s="345"/>
      <c r="G225" s="345"/>
      <c r="H225" s="1"/>
    </row>
    <row r="226" spans="1:8" x14ac:dyDescent="0.25">
      <c r="A226" s="1"/>
      <c r="B226" s="345" t="s">
        <v>652</v>
      </c>
      <c r="C226" s="345"/>
      <c r="D226" s="345"/>
      <c r="E226" s="345"/>
      <c r="F226" s="345"/>
      <c r="G226" s="345"/>
      <c r="H226" s="1"/>
    </row>
    <row r="227" spans="1:8" x14ac:dyDescent="0.25">
      <c r="A227" s="1"/>
      <c r="B227" s="345"/>
      <c r="C227" s="345"/>
      <c r="D227" s="345"/>
      <c r="E227" s="345"/>
      <c r="F227" s="345"/>
      <c r="G227" s="345"/>
      <c r="H227" s="1"/>
    </row>
    <row r="228" spans="1:8" x14ac:dyDescent="0.25">
      <c r="A228" s="1"/>
      <c r="B228" s="347" t="s">
        <v>567</v>
      </c>
      <c r="C228" s="345"/>
      <c r="D228" s="345"/>
      <c r="E228" s="345"/>
      <c r="F228" s="345"/>
      <c r="G228" s="345"/>
      <c r="H228" s="1"/>
    </row>
    <row r="229" spans="1:8" x14ac:dyDescent="0.25">
      <c r="A229" s="1"/>
      <c r="B229" s="347"/>
      <c r="C229" s="345"/>
      <c r="D229" s="345"/>
      <c r="E229" s="345"/>
      <c r="F229" s="345"/>
      <c r="G229" s="345"/>
      <c r="H229" s="1"/>
    </row>
    <row r="230" spans="1:8" x14ac:dyDescent="0.25">
      <c r="A230" s="1"/>
      <c r="B230" s="345"/>
      <c r="C230" s="345"/>
      <c r="D230" s="345"/>
      <c r="E230" s="345"/>
      <c r="F230" s="345"/>
      <c r="G230" s="345"/>
      <c r="H230" s="1"/>
    </row>
    <row r="231" spans="1:8" x14ac:dyDescent="0.25">
      <c r="A231" s="1"/>
      <c r="B231" s="344"/>
      <c r="C231" s="1"/>
      <c r="D231" s="1"/>
      <c r="E231" s="1"/>
      <c r="F231" s="1"/>
      <c r="G231" s="1"/>
      <c r="H231" s="1"/>
    </row>
    <row r="232" spans="1:8" x14ac:dyDescent="0.25">
      <c r="A232" s="1"/>
      <c r="B232" s="344"/>
      <c r="C232" s="1"/>
      <c r="D232" s="1"/>
      <c r="E232" s="1"/>
      <c r="F232" s="1"/>
      <c r="G232" s="1"/>
      <c r="H232" s="1"/>
    </row>
    <row r="233" spans="1:8" x14ac:dyDescent="0.25">
      <c r="A233" s="1"/>
      <c r="B233" s="344"/>
      <c r="C233" s="1"/>
      <c r="D233" s="1"/>
      <c r="E233" s="1"/>
      <c r="F233" s="1"/>
      <c r="G233" s="1"/>
      <c r="H233" s="1"/>
    </row>
  </sheetData>
  <mergeCells count="24">
    <mergeCell ref="A141:B141"/>
    <mergeCell ref="A1:G1"/>
    <mergeCell ref="A2:B2"/>
    <mergeCell ref="A3:B3"/>
    <mergeCell ref="A11:B11"/>
    <mergeCell ref="A71:B71"/>
    <mergeCell ref="A74:B74"/>
    <mergeCell ref="A75:B75"/>
    <mergeCell ref="A79:G79"/>
    <mergeCell ref="A80:B80"/>
    <mergeCell ref="A96:B96"/>
    <mergeCell ref="A137:B137"/>
    <mergeCell ref="A206:B206"/>
    <mergeCell ref="A142:B142"/>
    <mergeCell ref="A146:G146"/>
    <mergeCell ref="A147:B147"/>
    <mergeCell ref="A148:B148"/>
    <mergeCell ref="A156:B156"/>
    <mergeCell ref="A173:G173"/>
    <mergeCell ref="A174:B174"/>
    <mergeCell ref="A196:G196"/>
    <mergeCell ref="A197:B197"/>
    <mergeCell ref="A200:B200"/>
    <mergeCell ref="A203:B2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úpravy OZ</vt:lpstr>
      <vt:lpstr>úpravy starostu</vt:lpstr>
      <vt:lpstr>zmena 4</vt:lpstr>
      <vt:lpstr>investície</vt:lpstr>
      <vt:lpstr>opatrenia</vt:lpstr>
      <vt:lpstr>zmena 3 </vt:lpstr>
      <vt:lpstr>zmena 2-2</vt:lpstr>
      <vt:lpstr>zmena 2</vt:lpstr>
      <vt:lpstr>zmena 1</vt:lpstr>
      <vt:lpstr>VR23-25</vt:lpstr>
      <vt:lpstr>eko</vt:lpstr>
      <vt:lpstr>zdroje</vt:lpstr>
      <vt:lpstr>kategorie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2023-06-08T17:56:18Z</dcterms:modified>
</cp:coreProperties>
</file>