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R21-23" sheetId="1" r:id="rId1"/>
    <sheet name="INV21" sheetId="2" r:id="rId2"/>
  </sheets>
  <calcPr calcId="152511"/>
</workbook>
</file>

<file path=xl/calcChain.xml><?xml version="1.0" encoding="utf-8"?>
<calcChain xmlns="http://schemas.openxmlformats.org/spreadsheetml/2006/main">
  <c r="L145" i="1" l="1"/>
  <c r="M145" i="1"/>
  <c r="K145" i="1"/>
  <c r="L146" i="1"/>
  <c r="M146" i="1"/>
  <c r="L144" i="1"/>
  <c r="M144" i="1"/>
  <c r="P137" i="1"/>
  <c r="P136" i="1"/>
  <c r="J18" i="2" l="1"/>
  <c r="J13" i="2"/>
  <c r="J8" i="2"/>
  <c r="J5" i="2"/>
  <c r="K11" i="1" l="1"/>
  <c r="H6" i="1" l="1"/>
  <c r="I6" i="1"/>
  <c r="J6" i="1"/>
  <c r="H7" i="1"/>
  <c r="I7" i="1"/>
  <c r="J7" i="1"/>
  <c r="P135" i="1" l="1"/>
  <c r="H212" i="1"/>
  <c r="H135" i="1"/>
  <c r="J5" i="1"/>
  <c r="J116" i="1"/>
  <c r="I116" i="1"/>
  <c r="I120" i="1"/>
  <c r="J132" i="1"/>
  <c r="I132" i="1"/>
  <c r="J123" i="1"/>
  <c r="I123" i="1"/>
  <c r="J122" i="1"/>
  <c r="I122" i="1"/>
  <c r="J121" i="1"/>
  <c r="I121" i="1"/>
  <c r="I119" i="1"/>
  <c r="J119" i="1"/>
  <c r="J91" i="1" l="1"/>
  <c r="I91" i="1"/>
  <c r="H91" i="1"/>
  <c r="H93" i="1"/>
  <c r="I135" i="1"/>
  <c r="H165" i="1"/>
  <c r="H5" i="2"/>
  <c r="I5" i="2" s="1"/>
  <c r="H6" i="2" l="1"/>
  <c r="I6" i="2" s="1"/>
  <c r="G21" i="2"/>
  <c r="H16" i="2"/>
  <c r="I16" i="2" s="1"/>
  <c r="H7" i="2"/>
  <c r="M17" i="2"/>
  <c r="C7" i="2" l="1"/>
  <c r="I7" i="2" s="1"/>
  <c r="H17" i="2"/>
  <c r="I17" i="2" s="1"/>
  <c r="H183" i="1"/>
  <c r="H132" i="1"/>
  <c r="H62" i="1"/>
  <c r="H120" i="1"/>
  <c r="H116" i="1"/>
  <c r="H121" i="1"/>
  <c r="H111" i="1"/>
  <c r="H64" i="1"/>
  <c r="H72" i="1"/>
  <c r="I21" i="1" l="1"/>
  <c r="J21" i="1"/>
  <c r="H21" i="1" l="1"/>
  <c r="J135" i="1"/>
  <c r="H123" i="1" l="1"/>
  <c r="H92" i="1"/>
  <c r="H122" i="1"/>
  <c r="H102" i="1"/>
  <c r="H23" i="1"/>
  <c r="H119" i="1"/>
  <c r="I111" i="1"/>
  <c r="J111" i="1"/>
  <c r="H110" i="1"/>
  <c r="J101" i="1" l="1"/>
  <c r="I101" i="1"/>
  <c r="H73" i="1"/>
  <c r="H94" i="1"/>
  <c r="I102" i="1"/>
  <c r="J102" i="1"/>
  <c r="J110" i="1"/>
  <c r="I11" i="1" l="1"/>
  <c r="J11" i="1"/>
  <c r="H11" i="1"/>
  <c r="I103" i="1"/>
  <c r="J103" i="1"/>
  <c r="H103" i="1"/>
  <c r="H101" i="1" l="1"/>
  <c r="H96" i="1"/>
  <c r="K131" i="1" l="1"/>
  <c r="H210" i="1"/>
  <c r="K210" i="1" s="1"/>
  <c r="K74" i="1"/>
  <c r="K75" i="1"/>
  <c r="K68" i="1"/>
  <c r="H63" i="1"/>
  <c r="K63" i="1" s="1"/>
  <c r="K60" i="1"/>
  <c r="K213" i="1" l="1"/>
  <c r="K17" i="1"/>
  <c r="K14" i="1"/>
  <c r="H20" i="2" l="1"/>
  <c r="I20" i="2" s="1"/>
  <c r="M15" i="2"/>
  <c r="D19" i="2"/>
  <c r="C19" i="2"/>
  <c r="H18" i="2"/>
  <c r="I18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9" i="2"/>
  <c r="F21" i="2" s="1"/>
  <c r="E9" i="2"/>
  <c r="E21" i="2" s="1"/>
  <c r="C9" i="2"/>
  <c r="H8" i="2"/>
  <c r="I8" i="2" s="1"/>
  <c r="M6" i="2"/>
  <c r="H4" i="2"/>
  <c r="I4" i="2" s="1"/>
  <c r="H19" i="2" l="1"/>
  <c r="D21" i="2"/>
  <c r="E23" i="2" s="1"/>
  <c r="I19" i="2"/>
  <c r="C21" i="2"/>
  <c r="M19" i="2"/>
  <c r="H9" i="2"/>
  <c r="H21" i="2" s="1"/>
  <c r="D207" i="1"/>
  <c r="E207" i="1"/>
  <c r="F207" i="1"/>
  <c r="G207" i="1"/>
  <c r="H207" i="1"/>
  <c r="I207" i="1"/>
  <c r="J207" i="1"/>
  <c r="C207" i="1"/>
  <c r="E170" i="1"/>
  <c r="F170" i="1"/>
  <c r="H170" i="1"/>
  <c r="I170" i="1"/>
  <c r="J170" i="1"/>
  <c r="D158" i="1"/>
  <c r="E158" i="1"/>
  <c r="G158" i="1"/>
  <c r="H158" i="1"/>
  <c r="I158" i="1"/>
  <c r="J158" i="1"/>
  <c r="F103" i="1"/>
  <c r="G94" i="1"/>
  <c r="G93" i="1"/>
  <c r="G92" i="1"/>
  <c r="G91" i="1"/>
  <c r="G90" i="1"/>
  <c r="F91" i="1"/>
  <c r="D45" i="1"/>
  <c r="E45" i="1"/>
  <c r="G45" i="1"/>
  <c r="H45" i="1"/>
  <c r="E37" i="1"/>
  <c r="F37" i="1"/>
  <c r="G37" i="1"/>
  <c r="H37" i="1"/>
  <c r="I37" i="1"/>
  <c r="J37" i="1"/>
  <c r="D12" i="1"/>
  <c r="E12" i="1"/>
  <c r="F12" i="1"/>
  <c r="D4" i="1"/>
  <c r="E4" i="1"/>
  <c r="F4" i="1"/>
  <c r="H4" i="1"/>
  <c r="I4" i="1"/>
  <c r="J4" i="1"/>
  <c r="G23" i="1"/>
  <c r="G17" i="1"/>
  <c r="G16" i="1"/>
  <c r="G14" i="1"/>
  <c r="G5" i="1"/>
  <c r="G4" i="1" s="1"/>
  <c r="E141" i="1"/>
  <c r="I21" i="2" l="1"/>
  <c r="I9" i="2"/>
  <c r="K170" i="1"/>
  <c r="I231" i="1"/>
  <c r="I216" i="1"/>
  <c r="I232" i="1" s="1"/>
  <c r="I228" i="1"/>
  <c r="I229" i="1"/>
  <c r="I89" i="1"/>
  <c r="I95" i="1"/>
  <c r="I97" i="1"/>
  <c r="I100" i="1"/>
  <c r="I104" i="1"/>
  <c r="I109" i="1"/>
  <c r="I113" i="1"/>
  <c r="I118" i="1"/>
  <c r="I124" i="1"/>
  <c r="I134" i="1"/>
  <c r="I141" i="1"/>
  <c r="I142" i="1"/>
  <c r="I143" i="1"/>
  <c r="I146" i="1"/>
  <c r="I149" i="1"/>
  <c r="I150" i="1" s="1"/>
  <c r="I12" i="1"/>
  <c r="I35" i="1"/>
  <c r="I45" i="1"/>
  <c r="I80" i="1"/>
  <c r="I82" i="1" s="1"/>
  <c r="J216" i="1"/>
  <c r="J232" i="1" s="1"/>
  <c r="H216" i="1"/>
  <c r="H232" i="1" s="1"/>
  <c r="G216" i="1"/>
  <c r="G232" i="1" s="1"/>
  <c r="F216" i="1"/>
  <c r="F232" i="1" s="1"/>
  <c r="E216" i="1"/>
  <c r="E232" i="1" s="1"/>
  <c r="D216" i="1"/>
  <c r="D232" i="1" s="1"/>
  <c r="C216" i="1"/>
  <c r="C232" i="1" s="1"/>
  <c r="F231" i="1"/>
  <c r="J231" i="1"/>
  <c r="H231" i="1"/>
  <c r="G231" i="1"/>
  <c r="E231" i="1"/>
  <c r="D231" i="1"/>
  <c r="C231" i="1"/>
  <c r="C190" i="1"/>
  <c r="G183" i="1"/>
  <c r="D176" i="1"/>
  <c r="J229" i="1"/>
  <c r="H229" i="1"/>
  <c r="E229" i="1"/>
  <c r="F168" i="1"/>
  <c r="F159" i="1"/>
  <c r="F158" i="1" s="1"/>
  <c r="J228" i="1"/>
  <c r="H228" i="1"/>
  <c r="G228" i="1"/>
  <c r="E228" i="1"/>
  <c r="D228" i="1"/>
  <c r="C158" i="1"/>
  <c r="C228" i="1" s="1"/>
  <c r="J149" i="1"/>
  <c r="J150" i="1" s="1"/>
  <c r="H149" i="1"/>
  <c r="H150" i="1" s="1"/>
  <c r="G149" i="1"/>
  <c r="G150" i="1" s="1"/>
  <c r="E149" i="1"/>
  <c r="D149" i="1"/>
  <c r="C149" i="1"/>
  <c r="E148" i="1"/>
  <c r="D148" i="1"/>
  <c r="C148" i="1"/>
  <c r="J146" i="1"/>
  <c r="H146" i="1"/>
  <c r="K146" i="1" s="1"/>
  <c r="G146" i="1"/>
  <c r="F146" i="1"/>
  <c r="E146" i="1"/>
  <c r="D146" i="1"/>
  <c r="C146" i="1"/>
  <c r="D145" i="1"/>
  <c r="J143" i="1"/>
  <c r="H143" i="1"/>
  <c r="G143" i="1"/>
  <c r="J142" i="1"/>
  <c r="H142" i="1"/>
  <c r="G142" i="1"/>
  <c r="E142" i="1"/>
  <c r="D142" i="1"/>
  <c r="C142" i="1"/>
  <c r="J141" i="1"/>
  <c r="H141" i="1"/>
  <c r="D141" i="1"/>
  <c r="C141" i="1"/>
  <c r="J134" i="1"/>
  <c r="H134" i="1"/>
  <c r="G134" i="1"/>
  <c r="E134" i="1"/>
  <c r="D134" i="1"/>
  <c r="C134" i="1"/>
  <c r="J124" i="1"/>
  <c r="H124" i="1"/>
  <c r="G124" i="1"/>
  <c r="E124" i="1"/>
  <c r="D124" i="1"/>
  <c r="C124" i="1"/>
  <c r="J118" i="1"/>
  <c r="H118" i="1"/>
  <c r="E118" i="1"/>
  <c r="D118" i="1"/>
  <c r="C118" i="1"/>
  <c r="J113" i="1"/>
  <c r="H113" i="1"/>
  <c r="G113" i="1"/>
  <c r="F113" i="1"/>
  <c r="E113" i="1"/>
  <c r="D113" i="1"/>
  <c r="C113" i="1"/>
  <c r="G109" i="1"/>
  <c r="F109" i="1"/>
  <c r="J109" i="1"/>
  <c r="H109" i="1"/>
  <c r="E109" i="1"/>
  <c r="D109" i="1"/>
  <c r="C109" i="1"/>
  <c r="F104" i="1"/>
  <c r="J104" i="1"/>
  <c r="H104" i="1"/>
  <c r="E104" i="1"/>
  <c r="D104" i="1"/>
  <c r="C104" i="1"/>
  <c r="G100" i="1"/>
  <c r="F100" i="1"/>
  <c r="J100" i="1"/>
  <c r="H100" i="1"/>
  <c r="E100" i="1"/>
  <c r="D100" i="1"/>
  <c r="C100" i="1"/>
  <c r="G97" i="1"/>
  <c r="F97" i="1"/>
  <c r="J97" i="1"/>
  <c r="H97" i="1"/>
  <c r="E97" i="1"/>
  <c r="D97" i="1"/>
  <c r="C97" i="1"/>
  <c r="J95" i="1"/>
  <c r="H95" i="1"/>
  <c r="G95" i="1"/>
  <c r="F95" i="1"/>
  <c r="E95" i="1"/>
  <c r="D95" i="1"/>
  <c r="C95" i="1"/>
  <c r="F89" i="1"/>
  <c r="J89" i="1"/>
  <c r="H89" i="1"/>
  <c r="G89" i="1"/>
  <c r="E89" i="1"/>
  <c r="D89" i="1"/>
  <c r="C89" i="1"/>
  <c r="F149" i="1"/>
  <c r="J80" i="1"/>
  <c r="J82" i="1" s="1"/>
  <c r="H80" i="1"/>
  <c r="H82" i="1" s="1"/>
  <c r="G80" i="1"/>
  <c r="G82" i="1" s="1"/>
  <c r="E80" i="1"/>
  <c r="E82" i="1" s="1"/>
  <c r="D80" i="1"/>
  <c r="D82" i="1" s="1"/>
  <c r="C80" i="1"/>
  <c r="C82" i="1" s="1"/>
  <c r="F142" i="1"/>
  <c r="G141" i="1"/>
  <c r="F141" i="1"/>
  <c r="J45" i="1"/>
  <c r="F63" i="1"/>
  <c r="F45" i="1" s="1"/>
  <c r="C45" i="1"/>
  <c r="D43" i="1"/>
  <c r="D37" i="1" s="1"/>
  <c r="C43" i="1"/>
  <c r="C37" i="1" s="1"/>
  <c r="J35" i="1"/>
  <c r="H35" i="1"/>
  <c r="G35" i="1"/>
  <c r="F35" i="1"/>
  <c r="E35" i="1"/>
  <c r="D35" i="1"/>
  <c r="C35" i="1"/>
  <c r="C29" i="1"/>
  <c r="C12" i="1" s="1"/>
  <c r="J12" i="1"/>
  <c r="G27" i="1"/>
  <c r="C4" i="1"/>
  <c r="K144" i="1" l="1"/>
  <c r="D147" i="1"/>
  <c r="C150" i="1"/>
  <c r="D233" i="1"/>
  <c r="H12" i="1"/>
  <c r="H76" i="1" s="1"/>
  <c r="K34" i="1"/>
  <c r="K30" i="1"/>
  <c r="D170" i="1"/>
  <c r="D229" i="1" s="1"/>
  <c r="D230" i="1" s="1"/>
  <c r="H233" i="1"/>
  <c r="G170" i="1"/>
  <c r="C170" i="1"/>
  <c r="C229" i="1" s="1"/>
  <c r="C230" i="1" s="1"/>
  <c r="C147" i="1"/>
  <c r="E147" i="1"/>
  <c r="J233" i="1"/>
  <c r="H140" i="1"/>
  <c r="F229" i="1"/>
  <c r="D140" i="1"/>
  <c r="J147" i="1"/>
  <c r="J151" i="1" s="1"/>
  <c r="D150" i="1"/>
  <c r="G12" i="1"/>
  <c r="G76" i="1" s="1"/>
  <c r="I76" i="1"/>
  <c r="J76" i="1"/>
  <c r="E233" i="1"/>
  <c r="I230" i="1"/>
  <c r="F124" i="1"/>
  <c r="I140" i="1"/>
  <c r="I233" i="1"/>
  <c r="C76" i="1"/>
  <c r="C83" i="1" s="1"/>
  <c r="C225" i="1" s="1"/>
  <c r="F76" i="1"/>
  <c r="E140" i="1"/>
  <c r="J140" i="1"/>
  <c r="F118" i="1"/>
  <c r="G118" i="1"/>
  <c r="J230" i="1"/>
  <c r="F134" i="1"/>
  <c r="E150" i="1"/>
  <c r="E230" i="1"/>
  <c r="I147" i="1"/>
  <c r="I151" i="1" s="1"/>
  <c r="D76" i="1"/>
  <c r="C140" i="1"/>
  <c r="G104" i="1"/>
  <c r="H147" i="1"/>
  <c r="H151" i="1" s="1"/>
  <c r="F150" i="1"/>
  <c r="F228" i="1"/>
  <c r="C233" i="1"/>
  <c r="G233" i="1"/>
  <c r="H230" i="1"/>
  <c r="F147" i="1"/>
  <c r="F233" i="1"/>
  <c r="G147" i="1"/>
  <c r="G151" i="1" s="1"/>
  <c r="E76" i="1"/>
  <c r="F80" i="1"/>
  <c r="F82" i="1" s="1"/>
  <c r="E151" i="1" l="1"/>
  <c r="E152" i="1" s="1"/>
  <c r="E226" i="1" s="1"/>
  <c r="E237" i="1" s="1"/>
  <c r="E240" i="1" s="1"/>
  <c r="C151" i="1"/>
  <c r="D151" i="1"/>
  <c r="D152" i="1" s="1"/>
  <c r="D226" i="1" s="1"/>
  <c r="D237" i="1" s="1"/>
  <c r="D240" i="1" s="1"/>
  <c r="G229" i="1"/>
  <c r="G230" i="1" s="1"/>
  <c r="H152" i="1"/>
  <c r="H226" i="1" s="1"/>
  <c r="H237" i="1" s="1"/>
  <c r="H240" i="1" s="1"/>
  <c r="C152" i="1"/>
  <c r="C226" i="1" s="1"/>
  <c r="C237" i="1" s="1"/>
  <c r="C240" i="1" s="1"/>
  <c r="F230" i="1"/>
  <c r="J152" i="1"/>
  <c r="J226" i="1" s="1"/>
  <c r="J237" i="1" s="1"/>
  <c r="J240" i="1" s="1"/>
  <c r="F140" i="1"/>
  <c r="G140" i="1"/>
  <c r="G152" i="1" s="1"/>
  <c r="G226" i="1" s="1"/>
  <c r="I152" i="1"/>
  <c r="I226" i="1" s="1"/>
  <c r="I237" i="1" s="1"/>
  <c r="I240" i="1" s="1"/>
  <c r="G83" i="1"/>
  <c r="G225" i="1" s="1"/>
  <c r="G236" i="1" s="1"/>
  <c r="G239" i="1" s="1"/>
  <c r="I83" i="1"/>
  <c r="I225" i="1" s="1"/>
  <c r="E83" i="1"/>
  <c r="E225" i="1" s="1"/>
  <c r="E236" i="1" s="1"/>
  <c r="E239" i="1" s="1"/>
  <c r="D83" i="1"/>
  <c r="D225" i="1" s="1"/>
  <c r="H83" i="1"/>
  <c r="H225" i="1" s="1"/>
  <c r="F83" i="1"/>
  <c r="F225" i="1" s="1"/>
  <c r="F236" i="1" s="1"/>
  <c r="F239" i="1" s="1"/>
  <c r="J83" i="1"/>
  <c r="J225" i="1" s="1"/>
  <c r="J236" i="1" s="1"/>
  <c r="J239" i="1" s="1"/>
  <c r="F151" i="1"/>
  <c r="C236" i="1"/>
  <c r="C239" i="1" s="1"/>
  <c r="G237" i="1" l="1"/>
  <c r="G240" i="1" s="1"/>
  <c r="C227" i="1"/>
  <c r="C234" i="1" s="1"/>
  <c r="H227" i="1"/>
  <c r="H234" i="1" s="1"/>
  <c r="H236" i="1"/>
  <c r="H239" i="1" s="1"/>
  <c r="F152" i="1"/>
  <c r="F226" i="1" s="1"/>
  <c r="F237" i="1" s="1"/>
  <c r="F240" i="1" s="1"/>
  <c r="D236" i="1"/>
  <c r="D239" i="1" s="1"/>
  <c r="D227" i="1"/>
  <c r="D234" i="1" s="1"/>
  <c r="I236" i="1"/>
  <c r="I239" i="1" s="1"/>
  <c r="I227" i="1"/>
  <c r="I234" i="1" s="1"/>
  <c r="E227" i="1"/>
  <c r="E234" i="1" s="1"/>
  <c r="J227" i="1"/>
  <c r="J234" i="1" s="1"/>
  <c r="G227" i="1"/>
  <c r="G234" i="1" s="1"/>
  <c r="F227" i="1"/>
  <c r="F234" i="1" s="1"/>
</calcChain>
</file>

<file path=xl/sharedStrings.xml><?xml version="1.0" encoding="utf-8"?>
<sst xmlns="http://schemas.openxmlformats.org/spreadsheetml/2006/main" count="408" uniqueCount="313">
  <si>
    <t>Bežný rozpočet - príjmy</t>
  </si>
  <si>
    <t>Názov položky</t>
  </si>
  <si>
    <t>skutočnosť 2017</t>
  </si>
  <si>
    <t>skutočnosť 2018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</si>
  <si>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</si>
  <si>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</si>
  <si>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</si>
  <si>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</si>
  <si>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</si>
  <si>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</si>
  <si>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</si>
  <si>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</si>
  <si>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</si>
  <si>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</si>
  <si>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</si>
  <si>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</si>
  <si>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</si>
  <si>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</si>
  <si>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</si>
  <si>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</si>
  <si>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</si>
  <si>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</si>
  <si>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služby denného stacionára</t>
  </si>
  <si>
    <t>príjem zo vstupného, kult.činnosti, HDST, reklamné služby</t>
  </si>
  <si>
    <t>príjem za separovaný zber</t>
  </si>
  <si>
    <t>príjem za reklamné služby</t>
  </si>
  <si>
    <t>poplatok za služby v Dome smútku</t>
  </si>
  <si>
    <t>poplatok za stočné</t>
  </si>
  <si>
    <t>poplatky za služby pri užívaní obec.nebyt.priestorov</t>
  </si>
  <si>
    <t>príjem za réžiu v ŠKJ</t>
  </si>
  <si>
    <t>príjem za asistovanú službu Integrovaného obslužného miesta</t>
  </si>
  <si>
    <t>príspevok rodičov na náklady zariadenia ZUŠ</t>
  </si>
  <si>
    <t>príspevok rodičov na náklady zariadenia MŠ</t>
  </si>
  <si>
    <t>príjem zo stravného v ŠKJ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</si>
  <si>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</si>
  <si>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</si>
  <si>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</si>
  <si>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</si>
  <si>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</si>
  <si>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</si>
  <si>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 xml:space="preserve">príjem z dobropisov </t>
  </si>
  <si>
    <t>príjem z vratiek</t>
  </si>
  <si>
    <t>príjem z refundácie za skladníka CO z MV SR</t>
  </si>
  <si>
    <t>príjmy z refundácie - iné náhrady</t>
  </si>
  <si>
    <t>granty, dotácie, transfery</t>
  </si>
  <si>
    <t>Granty na kultúrne podujatia</t>
  </si>
  <si>
    <t>Grant Nadácia pre deti Slovenska</t>
  </si>
  <si>
    <t>Dotácia MŠVVŠ SR - projekt Komunita III. na mládežnícke aktivity</t>
  </si>
  <si>
    <t>Dotácia MPSVR na asistenta učiteľa MŠ</t>
  </si>
  <si>
    <t>Dotácia ÚV SR na športovú výbavu</t>
  </si>
  <si>
    <t>Dotácia MPSVR na humanitárnu pomoc pri požiari</t>
  </si>
  <si>
    <t>Dotácia UPSVR na aktivačnú činnosť</t>
  </si>
  <si>
    <t xml:space="preserve">Dotácia MŽP - zníženie energetickej náročnosti budovy OÚ </t>
  </si>
  <si>
    <t>Dotácia MPRV - rekonštrukcia denného stacionára</t>
  </si>
  <si>
    <t>Dotácia MVSR na údržbu vojnových hrobov</t>
  </si>
  <si>
    <t>Transfer od obcí na SpU opatr.služby</t>
  </si>
  <si>
    <t>Transfer od ZŠ na SpU školstva</t>
  </si>
  <si>
    <t>Transfer od obcí na SpU stavebný</t>
  </si>
  <si>
    <t>Dotácia Lesy na opravu mosta a miestnej komunikácie</t>
  </si>
  <si>
    <t>Dotácia DPO SR na Dobr.hasič.zbor obce</t>
  </si>
  <si>
    <t>Dotácia z Recyklačného fondu</t>
  </si>
  <si>
    <t>Dotácia z Fondu na podporu umenia - kultúrne projekty</t>
  </si>
  <si>
    <t>Dotácia MV SR na matričnú čin., register obyv., adries</t>
  </si>
  <si>
    <t>Dotácia MDVRR,MŽP na stavebný úrad</t>
  </si>
  <si>
    <t>Dotácia OkU na výchovu,vzdelávanie v MŠ</t>
  </si>
  <si>
    <t>Dotácia IA MPSVR SR na opatrovateľskú službu</t>
  </si>
  <si>
    <t>Dotácia MPSVR na denný stacionár</t>
  </si>
  <si>
    <t>Transfer OkU pre ZŠ - právny subjekt</t>
  </si>
  <si>
    <t>BEŽNÉ PRÍJMY obce:</t>
  </si>
  <si>
    <t>RO</t>
  </si>
  <si>
    <t>Vlastný príjem ZŠ, preplatky</t>
  </si>
  <si>
    <t>Vlastný príjem ŠKD</t>
  </si>
  <si>
    <t>Projekt MŠVVŠ SR - Zvýšenie kvality vzdelávania na ZŠ</t>
  </si>
  <si>
    <t>Bežný príjem RO - Základnej školy Heľpa spolu:</t>
  </si>
  <si>
    <t>Vlastný príjem ZUŠ Heľpa</t>
  </si>
  <si>
    <t>Bežný príjem rozpočtových organizácií spolu: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</si>
  <si>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</si>
  <si>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</si>
  <si>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</si>
  <si>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</si>
  <si>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</si>
  <si>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</si>
  <si>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(HKON,audit,popl,fin.správa, poistné)</t>
  </si>
  <si>
    <t>0131</t>
  </si>
  <si>
    <t>Propagácia, reklama, inzercia (propagač. Predmety, bankovka)</t>
  </si>
  <si>
    <t>0133</t>
  </si>
  <si>
    <t>Všeobec.služby (Matrika,REGOB,evidencie,služby, správa)</t>
  </si>
  <si>
    <t>0160</t>
  </si>
  <si>
    <t>02 Obrana</t>
  </si>
  <si>
    <t>0220</t>
  </si>
  <si>
    <t>Civilná ochrana (Skladník CO, evidencie)</t>
  </si>
  <si>
    <t>03 Verejný poriadok a bezpečnosť</t>
  </si>
  <si>
    <t>0320</t>
  </si>
  <si>
    <t>Ochrana pred požiarmi (Prevádzka dobr.hasič.zboru)</t>
  </si>
  <si>
    <t>0360</t>
  </si>
  <si>
    <t>Bezpečnosť (Kamer.systém, bezpeč.projekt, GDPR)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</si>
  <si>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</si>
  <si>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</si>
  <si>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</si>
  <si>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</si>
  <si>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</si>
  <si>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</si>
  <si>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</si>
  <si>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05 Ochrana životného prostredia</t>
  </si>
  <si>
    <t>0510</t>
  </si>
  <si>
    <t>Naklad.s odpadmi (zber,uloženie KO, 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</si>
  <si>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</si>
  <si>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</si>
  <si>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</si>
  <si>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</si>
  <si>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</si>
  <si>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potoky, protipovodň.opatrenia,veterinárne služ.)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</si>
  <si>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</si>
  <si>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</si>
  <si>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</si>
  <si>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</si>
  <si>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</si>
  <si>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</si>
  <si>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</si>
  <si>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</si>
  <si>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</si>
  <si>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</si>
  <si>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</si>
  <si>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</si>
  <si>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</si>
  <si>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 (prevent.prehliadky, lek.posúdenie)</t>
  </si>
  <si>
    <t>0740</t>
  </si>
  <si>
    <t>Ochrana, podpora a rozvoj zdravia (prísp. SČK)</t>
  </si>
  <si>
    <t>08 Rekreácia, kultúra a náboženstvo</t>
  </si>
  <si>
    <t>0810</t>
  </si>
  <si>
    <t>Rekreač.,šport.služby (prevádzka šport.areálu, ŠK, NDS projekt)</t>
  </si>
  <si>
    <t>0820</t>
  </si>
  <si>
    <t>Správa kult.služieb a zariad. (KUL,MĽK,AMF,podujatia,projekty FPU, múzeum)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</si>
  <si>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</si>
  <si>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</si>
  <si>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</si>
  <si>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</si>
  <si>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</si>
  <si>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Spoločenské, kultúrne, športové aktivity obce, projekty mládeže</t>
  </si>
  <si>
    <t>09 Vzdelávanie</t>
  </si>
  <si>
    <t>09111</t>
  </si>
  <si>
    <t>Predprimárne vzdelávanie (Prevádzka MŠ)</t>
  </si>
  <si>
    <t>09121</t>
  </si>
  <si>
    <t>Primárne vzdelávanie (údržba objektov ZŠ)</t>
  </si>
  <si>
    <t>09211</t>
  </si>
  <si>
    <t>Nižšie sekundárne vzdelávanie (údržba objektov ZŠ)</t>
  </si>
  <si>
    <t>0950</t>
  </si>
  <si>
    <t>Záujmové vzdelávanie (semináre,kurzy,školenia)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</si>
  <si>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</si>
  <si>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</si>
  <si>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</si>
  <si>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</si>
  <si>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</si>
  <si>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09608</t>
  </si>
  <si>
    <t>0980</t>
  </si>
  <si>
    <t>Správa a riadenie vzdelávania</t>
  </si>
  <si>
    <t>10 Sociálne zabezpečenie</t>
  </si>
  <si>
    <t>1020</t>
  </si>
  <si>
    <t>1040</t>
  </si>
  <si>
    <t>Rodina a deti (Príspevky na deti v HN, osob.príjemca PND)</t>
  </si>
  <si>
    <t>1050</t>
  </si>
  <si>
    <t>Nezamestnanosť (Aktivačná činnosť a programy pre uchádz.o zamestnanie)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</si>
  <si>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</si>
  <si>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</si>
  <si>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</si>
  <si>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</si>
  <si>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</si>
  <si>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</t>
  </si>
  <si>
    <t>Transfer z OkU pre Základnú školu</t>
  </si>
  <si>
    <t>Transfer vlastného príjmu Základnej školy</t>
  </si>
  <si>
    <t>Transfer z projektu MŠVVŠ SR</t>
  </si>
  <si>
    <t>Transfer na rozvojový projekt ZŠ  - spolufinancovanie obce</t>
  </si>
  <si>
    <t>Transfer z rozpočtu obce pre Školský klub detí</t>
  </si>
  <si>
    <t>Transfer vlastného príjmu Školského klubu detí</t>
  </si>
  <si>
    <t>Bežné výdavky Základnej školy spolu:</t>
  </si>
  <si>
    <t>Transfer obce pre Základnú umeleckú školu</t>
  </si>
  <si>
    <t>Transfer vlastného príjmu ZUŠ</t>
  </si>
  <si>
    <t>Bežné výdavky Základnej umeleckej školy:</t>
  </si>
  <si>
    <t>Bežné výdavky rozpočtových organizácií spolu:</t>
  </si>
  <si>
    <t>BEŽNÉ VÝDAVKY SPOLU:</t>
  </si>
  <si>
    <t>Kapitálový rozpočet</t>
  </si>
  <si>
    <t>Kapitálové príjmy</t>
  </si>
  <si>
    <t>predaj pozemkov</t>
  </si>
  <si>
    <t>KT MV SR Rekonštrukcia hasičskej zbrojnice</t>
  </si>
  <si>
    <t>KT M SR Náučný chodník</t>
  </si>
  <si>
    <t>KT MZP Zníž.energ.náročnosti budovy OcÚ</t>
  </si>
  <si>
    <t xml:space="preserve">KT EF Dobudovanie kanalizácie </t>
  </si>
  <si>
    <t>Kapitálové výdavky</t>
  </si>
  <si>
    <t>Zníž.energet.náročnosti OcÚ</t>
  </si>
  <si>
    <t>Stavebné úpravy OÚ (kabeláž, interiérové úpravy)</t>
  </si>
  <si>
    <t>Rekonštrukcia hasičskej zbrojnice + strechy</t>
  </si>
  <si>
    <t>Zmena územno-plánovacej dokumentácie</t>
  </si>
  <si>
    <t>Oporný múr ul.Farská, pluh na zimnú údržbu, chodník ul. Hlavná</t>
  </si>
  <si>
    <t>Maringotka na zberný dvor</t>
  </si>
  <si>
    <t>Sadové úpravy ver.priestranstiev</t>
  </si>
  <si>
    <t>0610</t>
  </si>
  <si>
    <t>Nákup pozemkov,budov, objektov na ver. účely</t>
  </si>
  <si>
    <t>Náučný chodník chotárom obce</t>
  </si>
  <si>
    <t>Betón.plocha klziska, det.ihrisko, strecha štadióna</t>
  </si>
  <si>
    <t>KT pre ŠK Heľpa - rekonštrukcia ihriska</t>
  </si>
  <si>
    <t>Horehronskomuránska cyklotrasa</t>
  </si>
  <si>
    <t>Zvýšenie energ.efektív.budovy MŠ</t>
  </si>
  <si>
    <t>Rekonštrukcia denného stacionára</t>
  </si>
  <si>
    <t>Finančné operácie</t>
  </si>
  <si>
    <t>príjmové</t>
  </si>
  <si>
    <t>prevody zost. fondu prev.údržby,opráv bytov</t>
  </si>
  <si>
    <t>prevody zostatkov prostriedkov projektu FPU</t>
  </si>
  <si>
    <t>prevod z fondu na rozvoj obce - investičné akcie</t>
  </si>
  <si>
    <t>príjem správnych poplatkov ŠR za IOM</t>
  </si>
  <si>
    <t>návratné zdroje financovania</t>
  </si>
  <si>
    <t>výdavkové</t>
  </si>
  <si>
    <t>odvod správnych poplatkov za IOM</t>
  </si>
  <si>
    <t xml:space="preserve">splácanie istiny bankového úveru 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</si>
  <si>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</si>
  <si>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</si>
  <si>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</si>
  <si>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</si>
  <si>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</si>
  <si>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</si>
  <si>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</si>
  <si>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</si>
  <si>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</si>
  <si>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</si>
  <si>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</si>
  <si>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</si>
  <si>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</si>
  <si>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</si>
  <si>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</si>
  <si>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</si>
  <si>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</si>
  <si>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>Predkladá: Peter Hyriak - starosta obce</t>
  </si>
  <si>
    <t>skutočnosť 2019</t>
  </si>
  <si>
    <t>schválený 2020</t>
  </si>
  <si>
    <t>upravený 2020</t>
  </si>
  <si>
    <t>Rekonštrukcia budovy pošty, hasič.zbrojnice/strecha</t>
  </si>
  <si>
    <t>ŠKJ - vzduchotechnika, šporák, umývačka / el.panvica</t>
  </si>
  <si>
    <t>príjmy z refundácií, vyúčtovanie služieb prenajímaných objektov</t>
  </si>
  <si>
    <t>Dotácia EF SR na kompostovisko</t>
  </si>
  <si>
    <t>Dotácia ŠÚ SR na sčítanie obyvateľov, domov, bytov</t>
  </si>
  <si>
    <t>Dotácia UPSVR na Podporu zamestnanosti MŠ</t>
  </si>
  <si>
    <t>Rekonštrukcia strechy OÚ / zachytávače snehu</t>
  </si>
  <si>
    <t>Rekonštrukcia Domu smútku -schodisko / strecha</t>
  </si>
  <si>
    <t>Rozšírenie kapacity MŠ / (det.ihrisko)</t>
  </si>
  <si>
    <t>ZŠ-knižnica,čitáreň / Vým.plyn.kotla v tel. / elektroinštalácia, bleskozvod</t>
  </si>
  <si>
    <t>prevod z rezervného fondu na údržbu objektov</t>
  </si>
  <si>
    <t>návratná finančná výpomoc MFSR</t>
  </si>
  <si>
    <t>Zdroje financovania investičných akcií obce v roku 2021</t>
  </si>
  <si>
    <t>FNK</t>
  </si>
  <si>
    <t>Názov investície</t>
  </si>
  <si>
    <t>Suma v rozpočte</t>
  </si>
  <si>
    <t>EÚ a ŠR (1XX)</t>
  </si>
  <si>
    <t>Maj. zdroje obce 43</t>
  </si>
  <si>
    <t>Peň.fondy 46</t>
  </si>
  <si>
    <t>Úver 52</t>
  </si>
  <si>
    <t>kontrola</t>
  </si>
  <si>
    <t>Rozpis rozpočtovej položky KR 0610 - projektová dokumentácia</t>
  </si>
  <si>
    <t>Názov PD</t>
  </si>
  <si>
    <t>Suma v EUR</t>
  </si>
  <si>
    <t>Poznámka</t>
  </si>
  <si>
    <t>PD dobudovanie bleskozvodu na amfiteátri</t>
  </si>
  <si>
    <t>PD MŠ rozšírenie + zateplenie</t>
  </si>
  <si>
    <t>PD rozšírenie ČOV - zmena technológie (vpust)</t>
  </si>
  <si>
    <t>PD športový areál</t>
  </si>
  <si>
    <t>PD vybudovanie vodovodu a kanalizácie</t>
  </si>
  <si>
    <t>obj.</t>
  </si>
  <si>
    <t>Verejne prístupná elektrická nabíjacia stanica pre elektromobily</t>
  </si>
  <si>
    <t>Vytýčenie stavieb</t>
  </si>
  <si>
    <t>Horehronsko-muránska cyklotrasa</t>
  </si>
  <si>
    <t>Rozšírenie kapacity MŠ</t>
  </si>
  <si>
    <t>Rezerva na prípadnú dokumentáciu</t>
  </si>
  <si>
    <t>Spolu:</t>
  </si>
  <si>
    <t>upravené zdroje financovania</t>
  </si>
  <si>
    <t>Dotácia MV SR - voľby (VUC, KOM, NRSR)</t>
  </si>
  <si>
    <t>Dotácia UPSVR na deti v hm.núdzi (strava,šk.potreby)</t>
  </si>
  <si>
    <t>Dotácia UPSVR na osobitného príjemcu a rod.prídavkov</t>
  </si>
  <si>
    <t>prevody zostatkov prostriedkov ŠKJ stravné + dotácia</t>
  </si>
  <si>
    <t>Vedľ.služby v rámci niž.sekund. vzdel. (ŠKJ pre 2.st.ZŠ,dospelí)</t>
  </si>
  <si>
    <t>Vedľ.služby nedefinované (SpÚ školstva + Polomka)</t>
  </si>
  <si>
    <t>nevyčerpané z min.rokov</t>
  </si>
  <si>
    <t>Všeob.verejné služby (Voľby, sčítanie obyvateľov,domov,bytov)</t>
  </si>
  <si>
    <t>Dotácia BBSK na DFF HDST, Kolovrátok</t>
  </si>
  <si>
    <t>PD revitalizácia cintorína</t>
  </si>
  <si>
    <t>PD Náučný chodník II.etapa</t>
  </si>
  <si>
    <t>PD viacúčelová sála (v Ramexe)</t>
  </si>
  <si>
    <t>Viacúčelová sála</t>
  </si>
  <si>
    <t>Nákup techniky</t>
  </si>
  <si>
    <t>Rekonštrukcia strechy amfiteáter</t>
  </si>
  <si>
    <t>PD rekonštrukcia elektroinštalácie</t>
  </si>
  <si>
    <t xml:space="preserve">PD Burkovaná, Hlavná </t>
  </si>
  <si>
    <t>Rekonštrukcia elektroinštalácie obecných objektov</t>
  </si>
  <si>
    <t>ČOV kompenzátor, čerpadlá</t>
  </si>
  <si>
    <t>Stavebné úpravy športovej budovy</t>
  </si>
  <si>
    <t>Dobudovanie kanalizačnej siete</t>
  </si>
  <si>
    <t>Projektová dokumentácia pre pripravované inv.akcie</t>
  </si>
  <si>
    <t>PPD z peňažného fondu:</t>
  </si>
  <si>
    <t>KT Rozšírenie kapacity MŠ</t>
  </si>
  <si>
    <t>KT MIRRI Rekonštrukcia denného stacionára</t>
  </si>
  <si>
    <t>KT MŽP Zvýšenie energ.efektívnosti budovy MŠ</t>
  </si>
  <si>
    <t>Dobudovanie chodníka na ul.Hlavná + st.dozor</t>
  </si>
  <si>
    <t xml:space="preserve">Predchádzanie vzniku odpadu kompostovaním </t>
  </si>
  <si>
    <t>Projektová dokumentácia pripavovaných inv.akcií</t>
  </si>
  <si>
    <t>Nákup motorových vozidiel, techniky</t>
  </si>
  <si>
    <t xml:space="preserve">Viacúčelová sála </t>
  </si>
  <si>
    <t>KT MHSR verj.prístup. Elektr.nabíjacia stanica pre elektromobily</t>
  </si>
  <si>
    <t>KT Horehronsko muránska cyklotrasa</t>
  </si>
  <si>
    <t>Pripomienky finančnej komisie k návrhu predloženého viacročného rozpočtu na roky 2021-2023 boli zapracované dňa 9.12.2020</t>
  </si>
  <si>
    <t>Pripomienky OZ k návrhu predloženého viacročného rozpočtu na roky 2021-2023 boli zapracované dňa 4.12.2020</t>
  </si>
  <si>
    <t>Návrh viacročného rozpočtu obce Heľpa na roky 2021-2023 bol vyvesený na úradnej tabuli na pripomienkovanie dňa 20.11.2020</t>
  </si>
  <si>
    <t>Rozpočet obce Heľpa na rok 2021 bol schválený OZ uz.č.590  dňa 11.12.2020</t>
  </si>
  <si>
    <t>Rozpočet obce Heľpa na roky 2022-2023 OZ  vzalo na vedomie uz.č. 591 dňa 11.12.2020</t>
  </si>
  <si>
    <t>Viacročný rozpočet obce Heľpa na roky 2021 - 2023 bol vyvesený na úradnej tabuli obce dňa 14.12.2020</t>
  </si>
  <si>
    <t>Heľpa 11.12.2020</t>
  </si>
  <si>
    <t>Staroba (Opatrovateľská služba, SpÚ OSL, projekt,denný stacionár)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</si>
</sst>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40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4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8" tint="0.59999389629810485"/>
      <name val="Arial"/>
      <family val="2"/>
      <charset val="238"/>
    </font>
    <font>
      <sz val="10"/>
      <color theme="8" tint="0.59999389629810485"/>
      <name val="Arial"/>
      <family val="2"/>
      <charset val="238"/>
    </font>
    <font>
      <i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539">
    <xf numFmtId="0" fontId="0" fillId="0" borderId="0" xfId="0"/>
    <xf numFmtId="0" fontId="2" fillId="0" borderId="0" xfId="0" applyFont="1"/>
    <xf numFmtId="3" fontId="3" fillId="2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3" fontId="5" fillId="0" borderId="12" xfId="0" applyNumberFormat="1" applyFont="1" applyFill="1" applyBorder="1"/>
    <xf numFmtId="3" fontId="6" fillId="0" borderId="13" xfId="0" applyNumberFormat="1" applyFont="1" applyFill="1" applyBorder="1"/>
    <xf numFmtId="3" fontId="4" fillId="0" borderId="13" xfId="0" applyNumberFormat="1" applyFont="1" applyFill="1" applyBorder="1"/>
    <xf numFmtId="0" fontId="2" fillId="0" borderId="14" xfId="0" applyFont="1" applyFill="1" applyBorder="1"/>
    <xf numFmtId="0" fontId="2" fillId="0" borderId="15" xfId="0" applyFont="1" applyBorder="1"/>
    <xf numFmtId="3" fontId="5" fillId="0" borderId="16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17" xfId="0" applyFont="1" applyFill="1" applyBorder="1"/>
    <xf numFmtId="0" fontId="2" fillId="0" borderId="18" xfId="0" applyFont="1" applyBorder="1"/>
    <xf numFmtId="3" fontId="5" fillId="0" borderId="19" xfId="0" applyNumberFormat="1" applyFont="1" applyBorder="1"/>
    <xf numFmtId="3" fontId="2" fillId="0" borderId="20" xfId="0" applyNumberFormat="1" applyFont="1" applyBorder="1"/>
    <xf numFmtId="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22" xfId="0" applyFont="1" applyBorder="1"/>
    <xf numFmtId="3" fontId="5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Fill="1" applyBorder="1"/>
    <xf numFmtId="0" fontId="2" fillId="0" borderId="25" xfId="0" applyFont="1" applyFill="1" applyBorder="1"/>
    <xf numFmtId="0" fontId="2" fillId="0" borderId="26" xfId="0" applyFont="1" applyBorder="1"/>
    <xf numFmtId="3" fontId="5" fillId="0" borderId="2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/>
    <xf numFmtId="3" fontId="2" fillId="0" borderId="0" xfId="0" applyNumberFormat="1" applyFont="1"/>
    <xf numFmtId="0" fontId="2" fillId="0" borderId="28" xfId="0" applyFont="1" applyFill="1" applyBorder="1"/>
    <xf numFmtId="0" fontId="2" fillId="0" borderId="29" xfId="0" applyFont="1" applyBorder="1"/>
    <xf numFmtId="3" fontId="5" fillId="0" borderId="3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7" fillId="0" borderId="24" xfId="0" applyNumberFormat="1" applyFont="1" applyFill="1" applyBorder="1"/>
    <xf numFmtId="3" fontId="5" fillId="0" borderId="23" xfId="0" applyNumberFormat="1" applyFont="1" applyFill="1" applyBorder="1"/>
    <xf numFmtId="0" fontId="2" fillId="0" borderId="10" xfId="0" applyFont="1" applyFill="1" applyBorder="1"/>
    <xf numFmtId="0" fontId="2" fillId="0" borderId="11" xfId="0" applyFont="1" applyBorder="1"/>
    <xf numFmtId="3" fontId="5" fillId="0" borderId="12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Fill="1" applyBorder="1"/>
    <xf numFmtId="3" fontId="6" fillId="0" borderId="9" xfId="0" applyNumberFormat="1" applyFont="1" applyBorder="1"/>
    <xf numFmtId="3" fontId="6" fillId="0" borderId="9" xfId="0" applyNumberFormat="1" applyFont="1" applyFill="1" applyBorder="1"/>
    <xf numFmtId="3" fontId="2" fillId="0" borderId="31" xfId="0" applyNumberFormat="1" applyFont="1" applyBorder="1"/>
    <xf numFmtId="0" fontId="2" fillId="0" borderId="32" xfId="0" applyFont="1" applyFill="1" applyBorder="1"/>
    <xf numFmtId="0" fontId="2" fillId="0" borderId="33" xfId="0" applyFont="1" applyBorder="1"/>
    <xf numFmtId="3" fontId="2" fillId="0" borderId="23" xfId="0" applyNumberFormat="1" applyFont="1" applyBorder="1"/>
    <xf numFmtId="3" fontId="2" fillId="0" borderId="31" xfId="0" applyNumberFormat="1" applyFont="1" applyFill="1" applyBorder="1"/>
    <xf numFmtId="0" fontId="2" fillId="0" borderId="34" xfId="0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10" xfId="0" applyFont="1" applyBorder="1"/>
    <xf numFmtId="0" fontId="4" fillId="0" borderId="3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4" fillId="2" borderId="15" xfId="0" applyFont="1" applyFill="1" applyBorder="1"/>
    <xf numFmtId="0" fontId="8" fillId="0" borderId="21" xfId="0" applyFont="1" applyFill="1" applyBorder="1"/>
    <xf numFmtId="3" fontId="8" fillId="0" borderId="24" xfId="0" applyNumberFormat="1" applyFont="1" applyFill="1" applyBorder="1"/>
    <xf numFmtId="0" fontId="8" fillId="0" borderId="17" xfId="0" applyFont="1" applyFill="1" applyBorder="1"/>
    <xf numFmtId="3" fontId="8" fillId="0" borderId="20" xfId="0" applyNumberFormat="1" applyFont="1" applyFill="1" applyBorder="1"/>
    <xf numFmtId="0" fontId="4" fillId="0" borderId="17" xfId="0" applyFont="1" applyFill="1" applyBorder="1"/>
    <xf numFmtId="0" fontId="4" fillId="0" borderId="22" xfId="0" applyFont="1" applyBorder="1"/>
    <xf numFmtId="3" fontId="5" fillId="0" borderId="20" xfId="0" applyNumberFormat="1" applyFont="1" applyFill="1" applyBorder="1"/>
    <xf numFmtId="0" fontId="8" fillId="0" borderId="25" xfId="0" applyFont="1" applyFill="1" applyBorder="1"/>
    <xf numFmtId="3" fontId="8" fillId="0" borderId="6" xfId="0" applyNumberFormat="1" applyFont="1" applyFill="1" applyBorder="1"/>
    <xf numFmtId="0" fontId="4" fillId="0" borderId="18" xfId="0" applyFont="1" applyBorder="1"/>
    <xf numFmtId="0" fontId="4" fillId="0" borderId="25" xfId="0" applyFont="1" applyFill="1" applyBorder="1"/>
    <xf numFmtId="0" fontId="4" fillId="0" borderId="26" xfId="0" applyFont="1" applyBorder="1"/>
    <xf numFmtId="3" fontId="2" fillId="0" borderId="6" xfId="0" applyNumberFormat="1" applyFont="1" applyFill="1" applyBorder="1"/>
    <xf numFmtId="0" fontId="4" fillId="0" borderId="40" xfId="0" applyFont="1" applyFill="1" applyBorder="1"/>
    <xf numFmtId="0" fontId="4" fillId="0" borderId="33" xfId="0" applyFont="1" applyBorder="1"/>
    <xf numFmtId="3" fontId="2" fillId="0" borderId="42" xfId="0" applyNumberFormat="1" applyFont="1" applyFill="1" applyBorder="1"/>
    <xf numFmtId="0" fontId="8" fillId="0" borderId="39" xfId="0" applyFont="1" applyFill="1" applyBorder="1"/>
    <xf numFmtId="3" fontId="7" fillId="0" borderId="20" xfId="0" applyNumberFormat="1" applyFont="1" applyFill="1" applyBorder="1"/>
    <xf numFmtId="0" fontId="4" fillId="0" borderId="21" xfId="0" applyFont="1" applyFill="1" applyBorder="1"/>
    <xf numFmtId="0" fontId="4" fillId="0" borderId="38" xfId="0" applyFont="1" applyBorder="1"/>
    <xf numFmtId="0" fontId="9" fillId="4" borderId="21" xfId="0" applyFont="1" applyFill="1" applyBorder="1"/>
    <xf numFmtId="0" fontId="9" fillId="4" borderId="37" xfId="0" applyFont="1" applyFill="1" applyBorder="1"/>
    <xf numFmtId="3" fontId="9" fillId="4" borderId="24" xfId="0" applyNumberFormat="1" applyFont="1" applyFill="1" applyBorder="1"/>
    <xf numFmtId="0" fontId="10" fillId="2" borderId="14" xfId="0" applyFont="1" applyFill="1" applyBorder="1"/>
    <xf numFmtId="3" fontId="10" fillId="2" borderId="9" xfId="0" applyNumberFormat="1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3" fontId="6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3" fontId="6" fillId="4" borderId="24" xfId="0" applyNumberFormat="1" applyFont="1" applyFill="1" applyBorder="1" applyAlignment="1">
      <alignment horizontal="right"/>
    </xf>
    <xf numFmtId="0" fontId="6" fillId="4" borderId="32" xfId="0" applyFont="1" applyFill="1" applyBorder="1"/>
    <xf numFmtId="0" fontId="6" fillId="4" borderId="33" xfId="0" applyFont="1" applyFill="1" applyBorder="1"/>
    <xf numFmtId="3" fontId="6" fillId="4" borderId="31" xfId="0" applyNumberFormat="1" applyFont="1" applyFill="1" applyBorder="1" applyAlignment="1">
      <alignment horizontal="right"/>
    </xf>
    <xf numFmtId="3" fontId="11" fillId="4" borderId="9" xfId="0" applyNumberFormat="1" applyFont="1" applyFill="1" applyBorder="1" applyAlignment="1">
      <alignment horizontal="right"/>
    </xf>
    <xf numFmtId="0" fontId="6" fillId="4" borderId="40" xfId="0" applyFont="1" applyFill="1" applyBorder="1"/>
    <xf numFmtId="0" fontId="6" fillId="4" borderId="44" xfId="0" applyFont="1" applyFill="1" applyBorder="1"/>
    <xf numFmtId="3" fontId="6" fillId="4" borderId="42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3" fillId="5" borderId="14" xfId="0" applyFont="1" applyFill="1" applyBorder="1"/>
    <xf numFmtId="0" fontId="3" fillId="5" borderId="47" xfId="0" applyFont="1" applyFill="1" applyBorder="1"/>
    <xf numFmtId="3" fontId="3" fillId="5" borderId="16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4" fillId="0" borderId="37" xfId="0" applyFont="1" applyBorder="1"/>
    <xf numFmtId="3" fontId="6" fillId="0" borderId="49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5" fillId="0" borderId="1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2" fillId="5" borderId="47" xfId="0" applyFont="1" applyFill="1" applyBorder="1"/>
    <xf numFmtId="49" fontId="4" fillId="0" borderId="1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0" fontId="4" fillId="0" borderId="52" xfId="0" applyFont="1" applyBorder="1"/>
    <xf numFmtId="3" fontId="12" fillId="0" borderId="30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4" fillId="0" borderId="41" xfId="0" applyFont="1" applyBorder="1"/>
    <xf numFmtId="3" fontId="12" fillId="0" borderId="5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0" fontId="4" fillId="0" borderId="39" xfId="0" applyFont="1" applyBorder="1"/>
    <xf numFmtId="3" fontId="12" fillId="0" borderId="27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3" fillId="5" borderId="54" xfId="0" applyFont="1" applyFill="1" applyBorder="1"/>
    <xf numFmtId="0" fontId="2" fillId="5" borderId="55" xfId="0" applyFont="1" applyFill="1" applyBorder="1"/>
    <xf numFmtId="3" fontId="3" fillId="5" borderId="50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4" fillId="0" borderId="45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49" xfId="0" applyFont="1" applyBorder="1"/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4" fillId="0" borderId="46" xfId="0" applyFont="1" applyBorder="1"/>
    <xf numFmtId="3" fontId="4" fillId="0" borderId="6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12" xfId="0" applyFont="1" applyBorder="1"/>
    <xf numFmtId="0" fontId="4" fillId="0" borderId="2" xfId="0" applyFont="1" applyBorder="1"/>
    <xf numFmtId="3" fontId="4" fillId="0" borderId="13" xfId="0" applyNumberFormat="1" applyFont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0" fontId="3" fillId="5" borderId="34" xfId="0" applyFont="1" applyFill="1" applyBorder="1"/>
    <xf numFmtId="3" fontId="3" fillId="5" borderId="1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4" fillId="0" borderId="38" xfId="0" applyFont="1" applyFill="1" applyBorder="1"/>
    <xf numFmtId="3" fontId="6" fillId="0" borderId="48" xfId="0" applyNumberFormat="1" applyFont="1" applyFill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49" fontId="4" fillId="0" borderId="3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49" fontId="4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0" fillId="5" borderId="54" xfId="0" applyFont="1" applyFill="1" applyBorder="1"/>
    <xf numFmtId="3" fontId="10" fillId="5" borderId="50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3" fontId="10" fillId="5" borderId="51" xfId="0" applyNumberFormat="1" applyFont="1" applyFill="1" applyBorder="1" applyAlignment="1">
      <alignment horizontal="right"/>
    </xf>
    <xf numFmtId="49" fontId="6" fillId="6" borderId="56" xfId="0" applyNumberFormat="1" applyFont="1" applyFill="1" applyBorder="1" applyAlignment="1">
      <alignment horizontal="right"/>
    </xf>
    <xf numFmtId="0" fontId="6" fillId="6" borderId="52" xfId="0" applyFont="1" applyFill="1" applyBorder="1"/>
    <xf numFmtId="3" fontId="6" fillId="6" borderId="30" xfId="0" applyNumberFormat="1" applyFont="1" applyFill="1" applyBorder="1" applyAlignment="1">
      <alignment horizontal="right"/>
    </xf>
    <xf numFmtId="3" fontId="6" fillId="6" borderId="45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49" fontId="6" fillId="6" borderId="36" xfId="0" applyNumberFormat="1" applyFont="1" applyFill="1" applyBorder="1" applyAlignment="1">
      <alignment horizontal="right"/>
    </xf>
    <xf numFmtId="0" fontId="6" fillId="6" borderId="37" xfId="0" applyFont="1" applyFill="1" applyBorder="1"/>
    <xf numFmtId="3" fontId="6" fillId="6" borderId="23" xfId="0" applyNumberFormat="1" applyFont="1" applyFill="1" applyBorder="1" applyAlignment="1">
      <alignment horizontal="right"/>
    </xf>
    <xf numFmtId="3" fontId="6" fillId="6" borderId="49" xfId="0" applyNumberFormat="1" applyFont="1" applyFill="1" applyBorder="1" applyAlignment="1">
      <alignment horizontal="right"/>
    </xf>
    <xf numFmtId="3" fontId="6" fillId="6" borderId="24" xfId="0" applyNumberFormat="1" applyFont="1" applyFill="1" applyBorder="1" applyAlignment="1">
      <alignment horizontal="right"/>
    </xf>
    <xf numFmtId="49" fontId="6" fillId="6" borderId="60" xfId="0" applyNumberFormat="1" applyFont="1" applyFill="1" applyBorder="1" applyAlignment="1">
      <alignment horizontal="right"/>
    </xf>
    <xf numFmtId="0" fontId="6" fillId="6" borderId="39" xfId="0" applyFont="1" applyFill="1" applyBorder="1"/>
    <xf numFmtId="3" fontId="6" fillId="6" borderId="27" xfId="0" applyNumberFormat="1" applyFont="1" applyFill="1" applyBorder="1" applyAlignment="1">
      <alignment horizontal="right"/>
    </xf>
    <xf numFmtId="3" fontId="6" fillId="6" borderId="46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49" fontId="6" fillId="6" borderId="35" xfId="0" applyNumberFormat="1" applyFont="1" applyFill="1" applyBorder="1" applyAlignment="1">
      <alignment horizontal="right"/>
    </xf>
    <xf numFmtId="0" fontId="6" fillId="6" borderId="38" xfId="0" applyFont="1" applyFill="1" applyBorder="1"/>
    <xf numFmtId="3" fontId="6" fillId="6" borderId="19" xfId="0" applyNumberFormat="1" applyFont="1" applyFill="1" applyBorder="1" applyAlignment="1">
      <alignment horizontal="right"/>
    </xf>
    <xf numFmtId="3" fontId="6" fillId="6" borderId="48" xfId="0" applyNumberFormat="1" applyFont="1" applyFill="1" applyBorder="1" applyAlignment="1">
      <alignment horizontal="right"/>
    </xf>
    <xf numFmtId="3" fontId="6" fillId="6" borderId="20" xfId="0" applyNumberFormat="1" applyFont="1" applyFill="1" applyBorder="1" applyAlignment="1">
      <alignment horizontal="right"/>
    </xf>
    <xf numFmtId="3" fontId="3" fillId="7" borderId="16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49" fontId="4" fillId="4" borderId="56" xfId="0" applyNumberFormat="1" applyFont="1" applyFill="1" applyBorder="1" applyAlignment="1">
      <alignment horizontal="right"/>
    </xf>
    <xf numFmtId="0" fontId="6" fillId="4" borderId="52" xfId="0" applyFont="1" applyFill="1" applyBorder="1"/>
    <xf numFmtId="3" fontId="6" fillId="4" borderId="30" xfId="0" applyNumberFormat="1" applyFont="1" applyFill="1" applyBorder="1" applyAlignment="1">
      <alignment horizontal="right"/>
    </xf>
    <xf numFmtId="3" fontId="6" fillId="4" borderId="4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49" fontId="4" fillId="4" borderId="35" xfId="0" applyNumberFormat="1" applyFont="1" applyFill="1" applyBorder="1" applyAlignment="1">
      <alignment horizontal="right"/>
    </xf>
    <xf numFmtId="0" fontId="6" fillId="4" borderId="38" xfId="0" applyFont="1" applyFill="1" applyBorder="1"/>
    <xf numFmtId="3" fontId="6" fillId="4" borderId="19" xfId="0" applyNumberFormat="1" applyFont="1" applyFill="1" applyBorder="1" applyAlignment="1">
      <alignment horizontal="right"/>
    </xf>
    <xf numFmtId="3" fontId="6" fillId="4" borderId="48" xfId="0" applyNumberFormat="1" applyFont="1" applyFill="1" applyBorder="1" applyAlignment="1">
      <alignment horizontal="right"/>
    </xf>
    <xf numFmtId="3" fontId="11" fillId="4" borderId="50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 horizontal="right"/>
    </xf>
    <xf numFmtId="3" fontId="11" fillId="4" borderId="51" xfId="0" applyNumberFormat="1" applyFont="1" applyFill="1" applyBorder="1" applyAlignment="1">
      <alignment horizontal="right"/>
    </xf>
    <xf numFmtId="3" fontId="3" fillId="8" borderId="16" xfId="0" applyNumberFormat="1" applyFont="1" applyFill="1" applyBorder="1" applyAlignment="1">
      <alignment horizontal="right"/>
    </xf>
    <xf numFmtId="3" fontId="3" fillId="8" borderId="8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10" fillId="5" borderId="14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9" borderId="16" xfId="0" applyNumberFormat="1" applyFont="1" applyFill="1" applyBorder="1" applyAlignment="1"/>
    <xf numFmtId="3" fontId="4" fillId="0" borderId="27" xfId="0" applyNumberFormat="1" applyFont="1" applyBorder="1" applyAlignment="1"/>
    <xf numFmtId="3" fontId="4" fillId="0" borderId="27" xfId="0" applyNumberFormat="1" applyFont="1" applyFill="1" applyBorder="1" applyAlignment="1"/>
    <xf numFmtId="0" fontId="4" fillId="0" borderId="57" xfId="0" applyFont="1" applyFill="1" applyBorder="1"/>
    <xf numFmtId="3" fontId="4" fillId="0" borderId="58" xfId="0" applyNumberFormat="1" applyFont="1" applyBorder="1" applyAlignment="1"/>
    <xf numFmtId="3" fontId="4" fillId="0" borderId="58" xfId="0" applyNumberFormat="1" applyFont="1" applyFill="1" applyBorder="1" applyAlignment="1"/>
    <xf numFmtId="0" fontId="4" fillId="0" borderId="36" xfId="0" applyFont="1" applyFill="1" applyBorder="1"/>
    <xf numFmtId="3" fontId="4" fillId="0" borderId="23" xfId="0" applyNumberFormat="1" applyFont="1" applyBorder="1" applyAlignment="1"/>
    <xf numFmtId="3" fontId="4" fillId="0" borderId="23" xfId="0" applyNumberFormat="1" applyFont="1" applyFill="1" applyBorder="1" applyAlignment="1"/>
    <xf numFmtId="0" fontId="4" fillId="0" borderId="35" xfId="0" applyFont="1" applyFill="1" applyBorder="1"/>
    <xf numFmtId="3" fontId="4" fillId="0" borderId="19" xfId="0" applyNumberFormat="1" applyFont="1" applyBorder="1" applyAlignment="1"/>
    <xf numFmtId="3" fontId="4" fillId="0" borderId="19" xfId="0" applyNumberFormat="1" applyFont="1" applyFill="1" applyBorder="1" applyAlignment="1"/>
    <xf numFmtId="0" fontId="4" fillId="0" borderId="24" xfId="0" applyFont="1" applyBorder="1"/>
    <xf numFmtId="0" fontId="5" fillId="0" borderId="18" xfId="0" applyFont="1" applyBorder="1"/>
    <xf numFmtId="49" fontId="5" fillId="0" borderId="56" xfId="0" applyNumberFormat="1" applyFont="1" applyFill="1" applyBorder="1" applyAlignment="1">
      <alignment horizontal="right"/>
    </xf>
    <xf numFmtId="0" fontId="5" fillId="0" borderId="29" xfId="0" applyFont="1" applyBorder="1"/>
    <xf numFmtId="3" fontId="5" fillId="0" borderId="3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right"/>
    </xf>
    <xf numFmtId="0" fontId="5" fillId="0" borderId="22" xfId="0" applyFont="1" applyBorder="1"/>
    <xf numFmtId="3" fontId="5" fillId="0" borderId="23" xfId="0" applyNumberFormat="1" applyFont="1" applyFill="1" applyBorder="1" applyAlignment="1"/>
    <xf numFmtId="49" fontId="5" fillId="0" borderId="25" xfId="0" applyNumberFormat="1" applyFont="1" applyFill="1" applyBorder="1" applyAlignment="1">
      <alignment horizontal="right"/>
    </xf>
    <xf numFmtId="0" fontId="5" fillId="0" borderId="26" xfId="0" applyFont="1" applyBorder="1"/>
    <xf numFmtId="3" fontId="5" fillId="0" borderId="27" xfId="0" applyNumberFormat="1" applyFont="1" applyFill="1" applyBorder="1" applyAlignment="1"/>
    <xf numFmtId="3" fontId="5" fillId="0" borderId="12" xfId="0" applyNumberFormat="1" applyFont="1" applyFill="1" applyBorder="1" applyAlignment="1"/>
    <xf numFmtId="49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/>
    <xf numFmtId="49" fontId="5" fillId="0" borderId="61" xfId="0" applyNumberFormat="1" applyFont="1" applyFill="1" applyBorder="1" applyAlignment="1">
      <alignment horizontal="right"/>
    </xf>
    <xf numFmtId="0" fontId="5" fillId="0" borderId="44" xfId="0" applyFont="1" applyBorder="1"/>
    <xf numFmtId="3" fontId="5" fillId="0" borderId="53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right"/>
    </xf>
    <xf numFmtId="0" fontId="5" fillId="0" borderId="33" xfId="0" applyFont="1" applyBorder="1"/>
    <xf numFmtId="3" fontId="5" fillId="0" borderId="58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5" fillId="0" borderId="6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49" fontId="5" fillId="0" borderId="44" xfId="0" applyNumberFormat="1" applyFont="1" applyFill="1" applyBorder="1" applyAlignment="1">
      <alignment horizontal="left"/>
    </xf>
    <xf numFmtId="49" fontId="5" fillId="0" borderId="57" xfId="0" applyNumberFormat="1" applyFont="1" applyBorder="1" applyAlignment="1">
      <alignment horizontal="right"/>
    </xf>
    <xf numFmtId="49" fontId="5" fillId="0" borderId="33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14" fillId="0" borderId="11" xfId="0" applyFont="1" applyBorder="1"/>
    <xf numFmtId="49" fontId="5" fillId="0" borderId="2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0" fillId="7" borderId="7" xfId="0" applyFont="1" applyFill="1" applyBorder="1" applyAlignment="1">
      <alignment horizontal="left"/>
    </xf>
    <xf numFmtId="0" fontId="10" fillId="7" borderId="8" xfId="0" applyFont="1" applyFill="1" applyBorder="1" applyAlignment="1">
      <alignment horizontal="left"/>
    </xf>
    <xf numFmtId="3" fontId="10" fillId="7" borderId="9" xfId="0" applyNumberFormat="1" applyFont="1" applyFill="1" applyBorder="1" applyAlignment="1">
      <alignment horizontal="right"/>
    </xf>
    <xf numFmtId="0" fontId="2" fillId="0" borderId="57" xfId="0" applyFont="1" applyBorder="1"/>
    <xf numFmtId="0" fontId="2" fillId="0" borderId="33" xfId="0" applyFont="1" applyFill="1" applyBorder="1"/>
    <xf numFmtId="3" fontId="7" fillId="0" borderId="31" xfId="0" applyNumberFormat="1" applyFont="1" applyFill="1" applyBorder="1" applyAlignment="1">
      <alignment horizontal="right"/>
    </xf>
    <xf numFmtId="0" fontId="2" fillId="0" borderId="60" xfId="0" applyFont="1" applyBorder="1"/>
    <xf numFmtId="0" fontId="2" fillId="0" borderId="26" xfId="0" applyFont="1" applyFill="1" applyBorder="1"/>
    <xf numFmtId="3" fontId="7" fillId="0" borderId="6" xfId="0" applyNumberFormat="1" applyFont="1" applyFill="1" applyBorder="1" applyAlignment="1">
      <alignment horizontal="right"/>
    </xf>
    <xf numFmtId="0" fontId="2" fillId="0" borderId="61" xfId="0" applyFont="1" applyBorder="1"/>
    <xf numFmtId="3" fontId="7" fillId="0" borderId="42" xfId="0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6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8" fillId="0" borderId="28" xfId="0" applyFont="1" applyBorder="1"/>
    <xf numFmtId="3" fontId="4" fillId="0" borderId="5" xfId="0" applyNumberFormat="1" applyFont="1" applyBorder="1"/>
    <xf numFmtId="0" fontId="18" fillId="0" borderId="21" xfId="0" applyFont="1" applyBorder="1"/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/>
    <xf numFmtId="3" fontId="10" fillId="10" borderId="24" xfId="0" applyNumberFormat="1" applyFont="1" applyFill="1" applyBorder="1"/>
    <xf numFmtId="0" fontId="18" fillId="0" borderId="36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3" fontId="4" fillId="0" borderId="24" xfId="0" applyNumberFormat="1" applyFont="1" applyFill="1" applyBorder="1"/>
    <xf numFmtId="3" fontId="10" fillId="10" borderId="31" xfId="0" applyNumberFormat="1" applyFont="1" applyFill="1" applyBorder="1"/>
    <xf numFmtId="0" fontId="20" fillId="2" borderId="7" xfId="0" applyFont="1" applyFill="1" applyBorder="1" applyAlignment="1"/>
    <xf numFmtId="0" fontId="21" fillId="2" borderId="8" xfId="0" applyFont="1" applyFill="1" applyBorder="1" applyAlignment="1"/>
    <xf numFmtId="3" fontId="10" fillId="2" borderId="9" xfId="0" applyNumberFormat="1" applyFont="1" applyFill="1" applyBorder="1"/>
    <xf numFmtId="0" fontId="2" fillId="0" borderId="0" xfId="0" applyFont="1" applyAlignment="1">
      <alignment horizontal="right"/>
    </xf>
    <xf numFmtId="0" fontId="22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Fill="1" applyBorder="1"/>
    <xf numFmtId="3" fontId="8" fillId="0" borderId="13" xfId="0" applyNumberFormat="1" applyFont="1" applyFill="1" applyBorder="1"/>
    <xf numFmtId="0" fontId="2" fillId="0" borderId="47" xfId="0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3" fontId="3" fillId="2" borderId="16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/>
    <xf numFmtId="0" fontId="4" fillId="2" borderId="47" xfId="0" applyFont="1" applyFill="1" applyBorder="1"/>
    <xf numFmtId="0" fontId="8" fillId="0" borderId="37" xfId="0" applyFont="1" applyFill="1" applyBorder="1"/>
    <xf numFmtId="0" fontId="8" fillId="0" borderId="34" xfId="0" applyFont="1" applyFill="1" applyBorder="1"/>
    <xf numFmtId="0" fontId="4" fillId="0" borderId="65" xfId="0" applyFont="1" applyBorder="1"/>
    <xf numFmtId="0" fontId="2" fillId="0" borderId="37" xfId="0" applyFont="1" applyFill="1" applyBorder="1"/>
    <xf numFmtId="0" fontId="6" fillId="0" borderId="37" xfId="0" applyFont="1" applyFill="1" applyBorder="1"/>
    <xf numFmtId="0" fontId="2" fillId="2" borderId="47" xfId="0" applyFont="1" applyFill="1" applyBorder="1"/>
    <xf numFmtId="0" fontId="8" fillId="0" borderId="46" xfId="0" applyFont="1" applyFill="1" applyBorder="1"/>
    <xf numFmtId="3" fontId="2" fillId="0" borderId="48" xfId="0" applyNumberFormat="1" applyFont="1" applyBorder="1"/>
    <xf numFmtId="0" fontId="4" fillId="0" borderId="48" xfId="0" applyFont="1" applyBorder="1"/>
    <xf numFmtId="0" fontId="9" fillId="4" borderId="49" xfId="0" applyFont="1" applyFill="1" applyBorder="1"/>
    <xf numFmtId="3" fontId="8" fillId="0" borderId="23" xfId="0" applyNumberFormat="1" applyFont="1" applyFill="1" applyBorder="1"/>
    <xf numFmtId="3" fontId="8" fillId="0" borderId="19" xfId="0" applyNumberFormat="1" applyFont="1" applyFill="1" applyBorder="1"/>
    <xf numFmtId="3" fontId="2" fillId="0" borderId="19" xfId="0" applyNumberFormat="1" applyFont="1" applyBorder="1"/>
    <xf numFmtId="3" fontId="4" fillId="0" borderId="19" xfId="0" applyNumberFormat="1" applyFont="1" applyBorder="1"/>
    <xf numFmtId="3" fontId="8" fillId="0" borderId="12" xfId="0" applyNumberFormat="1" applyFont="1" applyFill="1" applyBorder="1"/>
    <xf numFmtId="3" fontId="4" fillId="0" borderId="27" xfId="0" applyNumberFormat="1" applyFont="1" applyBorder="1"/>
    <xf numFmtId="3" fontId="4" fillId="0" borderId="53" xfId="0" applyNumberFormat="1" applyFont="1" applyBorder="1"/>
    <xf numFmtId="3" fontId="8" fillId="0" borderId="27" xfId="0" applyNumberFormat="1" applyFont="1" applyFill="1" applyBorder="1"/>
    <xf numFmtId="3" fontId="2" fillId="0" borderId="23" xfId="0" applyNumberFormat="1" applyFont="1" applyFill="1" applyBorder="1"/>
    <xf numFmtId="3" fontId="6" fillId="0" borderId="23" xfId="0" applyNumberFormat="1" applyFont="1" applyFill="1" applyBorder="1"/>
    <xf numFmtId="3" fontId="9" fillId="4" borderId="23" xfId="0" applyNumberFormat="1" applyFont="1" applyFill="1" applyBorder="1"/>
    <xf numFmtId="3" fontId="10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3" fontId="8" fillId="0" borderId="49" xfId="0" applyNumberFormat="1" applyFont="1" applyFill="1" applyBorder="1"/>
    <xf numFmtId="3" fontId="8" fillId="0" borderId="48" xfId="0" applyNumberFormat="1" applyFont="1" applyFill="1" applyBorder="1"/>
    <xf numFmtId="3" fontId="5" fillId="0" borderId="48" xfId="0" applyNumberFormat="1" applyFont="1" applyBorder="1"/>
    <xf numFmtId="3" fontId="7" fillId="0" borderId="49" xfId="0" applyNumberFormat="1" applyFont="1" applyBorder="1"/>
    <xf numFmtId="3" fontId="7" fillId="0" borderId="2" xfId="0" applyNumberFormat="1" applyFont="1" applyBorder="1"/>
    <xf numFmtId="3" fontId="2" fillId="0" borderId="46" xfId="0" applyNumberFormat="1" applyFont="1" applyBorder="1"/>
    <xf numFmtId="3" fontId="7" fillId="0" borderId="48" xfId="0" applyNumberFormat="1" applyFont="1" applyBorder="1"/>
    <xf numFmtId="3" fontId="2" fillId="0" borderId="49" xfId="0" applyNumberFormat="1" applyFont="1" applyFill="1" applyBorder="1"/>
    <xf numFmtId="3" fontId="7" fillId="0" borderId="49" xfId="0" applyNumberFormat="1" applyFont="1" applyFill="1" applyBorder="1"/>
    <xf numFmtId="3" fontId="10" fillId="2" borderId="8" xfId="0" applyNumberFormat="1" applyFont="1" applyFill="1" applyBorder="1" applyAlignment="1">
      <alignment horizontal="right"/>
    </xf>
    <xf numFmtId="3" fontId="2" fillId="0" borderId="27" xfId="0" applyNumberFormat="1" applyFont="1" applyBorder="1"/>
    <xf numFmtId="3" fontId="2" fillId="0" borderId="53" xfId="0" applyNumberFormat="1" applyFont="1" applyBorder="1"/>
    <xf numFmtId="3" fontId="7" fillId="0" borderId="19" xfId="0" applyNumberFormat="1" applyFont="1" applyFill="1" applyBorder="1"/>
    <xf numFmtId="3" fontId="7" fillId="0" borderId="23" xfId="0" applyNumberFormat="1" applyFont="1" applyFill="1" applyBorder="1"/>
    <xf numFmtId="3" fontId="2" fillId="0" borderId="19" xfId="0" applyNumberFormat="1" applyFont="1" applyFill="1" applyBorder="1"/>
    <xf numFmtId="3" fontId="6" fillId="6" borderId="52" xfId="0" applyNumberFormat="1" applyFont="1" applyFill="1" applyBorder="1" applyAlignment="1">
      <alignment horizontal="right"/>
    </xf>
    <xf numFmtId="3" fontId="6" fillId="6" borderId="36" xfId="0" applyNumberFormat="1" applyFont="1" applyFill="1" applyBorder="1" applyAlignment="1">
      <alignment horizontal="right"/>
    </xf>
    <xf numFmtId="3" fontId="6" fillId="6" borderId="60" xfId="0" applyNumberFormat="1" applyFont="1" applyFill="1" applyBorder="1" applyAlignment="1">
      <alignment horizontal="right"/>
    </xf>
    <xf numFmtId="3" fontId="6" fillId="6" borderId="35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left"/>
    </xf>
    <xf numFmtId="0" fontId="2" fillId="0" borderId="18" xfId="0" applyFont="1" applyFill="1" applyBorder="1"/>
    <xf numFmtId="0" fontId="2" fillId="0" borderId="35" xfId="0" applyFont="1" applyBorder="1"/>
    <xf numFmtId="3" fontId="7" fillId="0" borderId="20" xfId="0" applyNumberFormat="1" applyFont="1" applyFill="1" applyBorder="1" applyAlignment="1">
      <alignment horizontal="right"/>
    </xf>
    <xf numFmtId="0" fontId="2" fillId="0" borderId="56" xfId="0" applyFont="1" applyBorder="1"/>
    <xf numFmtId="0" fontId="2" fillId="0" borderId="29" xfId="0" applyFont="1" applyFill="1" applyBorder="1"/>
    <xf numFmtId="3" fontId="7" fillId="0" borderId="5" xfId="0" applyNumberFormat="1" applyFont="1" applyFill="1" applyBorder="1" applyAlignment="1">
      <alignment horizontal="right"/>
    </xf>
    <xf numFmtId="0" fontId="25" fillId="0" borderId="0" xfId="0" applyFont="1"/>
    <xf numFmtId="0" fontId="26" fillId="9" borderId="16" xfId="0" applyFont="1" applyFill="1" applyBorder="1" applyAlignment="1">
      <alignment horizontal="center" vertical="center"/>
    </xf>
    <xf numFmtId="3" fontId="26" fillId="9" borderId="16" xfId="0" applyNumberFormat="1" applyFont="1" applyFill="1" applyBorder="1" applyAlignment="1">
      <alignment horizontal="center" vertical="center" wrapText="1"/>
    </xf>
    <xf numFmtId="3" fontId="26" fillId="9" borderId="16" xfId="0" applyNumberFormat="1" applyFont="1" applyFill="1" applyBorder="1" applyAlignment="1">
      <alignment horizontal="center" vertical="center"/>
    </xf>
    <xf numFmtId="3" fontId="27" fillId="11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right"/>
    </xf>
    <xf numFmtId="3" fontId="29" fillId="11" borderId="30" xfId="0" applyNumberFormat="1" applyFont="1" applyFill="1" applyBorder="1"/>
    <xf numFmtId="3" fontId="30" fillId="0" borderId="0" xfId="0" applyNumberFormat="1" applyFont="1"/>
    <xf numFmtId="0" fontId="28" fillId="0" borderId="14" xfId="0" applyFont="1" applyBorder="1"/>
    <xf numFmtId="0" fontId="28" fillId="0" borderId="15" xfId="0" applyFont="1" applyBorder="1"/>
    <xf numFmtId="0" fontId="28" fillId="0" borderId="9" xfId="0" applyFont="1" applyBorder="1"/>
    <xf numFmtId="49" fontId="5" fillId="0" borderId="27" xfId="0" applyNumberFormat="1" applyFont="1" applyFill="1" applyBorder="1" applyAlignment="1">
      <alignment horizontal="right"/>
    </xf>
    <xf numFmtId="3" fontId="29" fillId="11" borderId="27" xfId="0" applyNumberFormat="1" applyFont="1" applyFill="1" applyBorder="1"/>
    <xf numFmtId="0" fontId="31" fillId="0" borderId="21" xfId="0" applyFont="1" applyBorder="1"/>
    <xf numFmtId="3" fontId="32" fillId="0" borderId="22" xfId="0" applyNumberFormat="1" applyFont="1" applyFill="1" applyBorder="1" applyAlignment="1">
      <alignment horizontal="right"/>
    </xf>
    <xf numFmtId="43" fontId="28" fillId="0" borderId="24" xfId="1" applyNumberFormat="1" applyFont="1" applyBorder="1"/>
    <xf numFmtId="49" fontId="5" fillId="0" borderId="19" xfId="0" applyNumberFormat="1" applyFont="1" applyFill="1" applyBorder="1" applyAlignment="1">
      <alignment horizontal="right"/>
    </xf>
    <xf numFmtId="0" fontId="5" fillId="0" borderId="19" xfId="0" applyFont="1" applyBorder="1"/>
    <xf numFmtId="3" fontId="29" fillId="11" borderId="19" xfId="0" applyNumberFormat="1" applyFont="1" applyFill="1" applyBorder="1"/>
    <xf numFmtId="0" fontId="31" fillId="0" borderId="21" xfId="0" applyFont="1" applyFill="1" applyBorder="1"/>
    <xf numFmtId="0" fontId="5" fillId="0" borderId="19" xfId="0" applyFont="1" applyFill="1" applyBorder="1"/>
    <xf numFmtId="49" fontId="5" fillId="0" borderId="27" xfId="0" applyNumberFormat="1" applyFont="1" applyFill="1" applyBorder="1" applyAlignment="1">
      <alignment horizontal="left"/>
    </xf>
    <xf numFmtId="49" fontId="5" fillId="0" borderId="53" xfId="0" applyNumberFormat="1" applyFont="1" applyFill="1" applyBorder="1" applyAlignment="1">
      <alignment horizontal="right"/>
    </xf>
    <xf numFmtId="0" fontId="5" fillId="0" borderId="53" xfId="0" applyFont="1" applyFill="1" applyBorder="1"/>
    <xf numFmtId="49" fontId="5" fillId="0" borderId="23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3" fontId="29" fillId="11" borderId="23" xfId="0" applyNumberFormat="1" applyFont="1" applyFill="1" applyBorder="1"/>
    <xf numFmtId="3" fontId="31" fillId="0" borderId="22" xfId="0" applyNumberFormat="1" applyFont="1" applyFill="1" applyBorder="1" applyAlignment="1">
      <alignment horizontal="right"/>
    </xf>
    <xf numFmtId="164" fontId="28" fillId="0" borderId="24" xfId="1" applyNumberFormat="1" applyFont="1" applyBorder="1"/>
    <xf numFmtId="49" fontId="5" fillId="0" borderId="58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left"/>
    </xf>
    <xf numFmtId="3" fontId="29" fillId="11" borderId="58" xfId="0" applyNumberFormat="1" applyFont="1" applyFill="1" applyBorder="1"/>
    <xf numFmtId="0" fontId="31" fillId="0" borderId="21" xfId="0" applyFont="1" applyBorder="1" applyAlignment="1">
      <alignment horizontal="left"/>
    </xf>
    <xf numFmtId="3" fontId="29" fillId="11" borderId="12" xfId="0" applyNumberFormat="1" applyFont="1" applyFill="1" applyBorder="1"/>
    <xf numFmtId="49" fontId="5" fillId="0" borderId="19" xfId="0" applyNumberFormat="1" applyFont="1" applyFill="1" applyBorder="1" applyAlignment="1">
      <alignment horizontal="left"/>
    </xf>
    <xf numFmtId="49" fontId="5" fillId="0" borderId="23" xfId="0" applyNumberFormat="1" applyFont="1" applyBorder="1" applyAlignment="1">
      <alignment horizontal="right"/>
    </xf>
    <xf numFmtId="0" fontId="5" fillId="0" borderId="23" xfId="0" applyFont="1" applyFill="1" applyBorder="1"/>
    <xf numFmtId="0" fontId="33" fillId="0" borderId="21" xfId="0" applyFont="1" applyBorder="1"/>
    <xf numFmtId="3" fontId="33" fillId="0" borderId="22" xfId="0" applyNumberFormat="1" applyFont="1" applyFill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0" fontId="28" fillId="13" borderId="21" xfId="0" applyFont="1" applyFill="1" applyBorder="1"/>
    <xf numFmtId="3" fontId="34" fillId="13" borderId="22" xfId="0" applyNumberFormat="1" applyFont="1" applyFill="1" applyBorder="1" applyAlignment="1">
      <alignment horizontal="right"/>
    </xf>
    <xf numFmtId="43" fontId="28" fillId="13" borderId="24" xfId="1" applyNumberFormat="1" applyFont="1" applyFill="1" applyBorder="1"/>
    <xf numFmtId="3" fontId="36" fillId="14" borderId="64" xfId="0" applyNumberFormat="1" applyFont="1" applyFill="1" applyBorder="1"/>
    <xf numFmtId="3" fontId="29" fillId="11" borderId="64" xfId="0" applyNumberFormat="1" applyFont="1" applyFill="1" applyBorder="1"/>
    <xf numFmtId="3" fontId="37" fillId="0" borderId="0" xfId="0" applyNumberFormat="1" applyFont="1"/>
    <xf numFmtId="3" fontId="37" fillId="0" borderId="0" xfId="0" applyNumberFormat="1" applyFont="1" applyFill="1" applyBorder="1" applyAlignment="1"/>
    <xf numFmtId="3" fontId="25" fillId="0" borderId="0" xfId="0" applyNumberFormat="1" applyFont="1"/>
    <xf numFmtId="3" fontId="38" fillId="0" borderId="0" xfId="0" applyNumberFormat="1" applyFont="1"/>
    <xf numFmtId="0" fontId="25" fillId="0" borderId="0" xfId="0" applyFont="1" applyFill="1"/>
    <xf numFmtId="0" fontId="39" fillId="15" borderId="0" xfId="0" applyFont="1" applyFill="1" applyBorder="1"/>
    <xf numFmtId="43" fontId="25" fillId="0" borderId="0" xfId="0" applyNumberFormat="1" applyFont="1"/>
    <xf numFmtId="0" fontId="28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0" fillId="0" borderId="66" xfId="0" applyFill="1" applyBorder="1"/>
    <xf numFmtId="0" fontId="0" fillId="0" borderId="6" xfId="0" applyFill="1" applyBorder="1"/>
    <xf numFmtId="49" fontId="5" fillId="0" borderId="7" xfId="0" applyNumberFormat="1" applyFont="1" applyFill="1" applyBorder="1" applyAlignment="1">
      <alignment horizontal="right"/>
    </xf>
    <xf numFmtId="0" fontId="5" fillId="0" borderId="15" xfId="0" applyFont="1" applyBorder="1"/>
    <xf numFmtId="3" fontId="5" fillId="0" borderId="16" xfId="0" applyNumberFormat="1" applyFont="1" applyFill="1" applyBorder="1" applyAlignment="1"/>
    <xf numFmtId="49" fontId="5" fillId="0" borderId="65" xfId="0" applyNumberFormat="1" applyFont="1" applyFill="1" applyBorder="1" applyAlignment="1">
      <alignment horizontal="left"/>
    </xf>
    <xf numFmtId="0" fontId="5" fillId="0" borderId="5" xfId="0" applyFont="1" applyBorder="1"/>
    <xf numFmtId="3" fontId="0" fillId="0" borderId="30" xfId="0" applyNumberFormat="1" applyBorder="1"/>
    <xf numFmtId="49" fontId="35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/>
    <xf numFmtId="3" fontId="29" fillId="0" borderId="0" xfId="0" applyNumberFormat="1" applyFont="1" applyFill="1" applyBorder="1"/>
    <xf numFmtId="3" fontId="30" fillId="0" borderId="0" xfId="0" applyNumberFormat="1" applyFont="1" applyFill="1"/>
    <xf numFmtId="0" fontId="0" fillId="0" borderId="0" xfId="0" applyFill="1"/>
    <xf numFmtId="3" fontId="4" fillId="0" borderId="53" xfId="0" applyNumberFormat="1" applyFont="1" applyFill="1" applyBorder="1" applyAlignment="1"/>
    <xf numFmtId="0" fontId="7" fillId="0" borderId="0" xfId="0" applyFont="1" applyFill="1"/>
    <xf numFmtId="3" fontId="0" fillId="0" borderId="0" xfId="0" applyNumberFormat="1"/>
    <xf numFmtId="49" fontId="5" fillId="0" borderId="16" xfId="0" applyNumberFormat="1" applyFont="1" applyBorder="1" applyAlignment="1">
      <alignment horizontal="right"/>
    </xf>
    <xf numFmtId="0" fontId="5" fillId="0" borderId="16" xfId="0" applyFont="1" applyFill="1" applyBorder="1"/>
    <xf numFmtId="3" fontId="29" fillId="11" borderId="16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2" fillId="0" borderId="8" xfId="0" applyFont="1" applyBorder="1" applyAlignme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10" fillId="10" borderId="60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12" borderId="7" xfId="0" applyFont="1" applyFill="1" applyBorder="1" applyAlignment="1">
      <alignment horizontal="center"/>
    </xf>
    <xf numFmtId="0" fontId="28" fillId="12" borderId="8" xfId="0" applyFont="1" applyFill="1" applyBorder="1" applyAlignment="1">
      <alignment horizontal="center"/>
    </xf>
    <xf numFmtId="0" fontId="28" fillId="12" borderId="64" xfId="0" applyFont="1" applyFill="1" applyBorder="1" applyAlignment="1">
      <alignment horizontal="center"/>
    </xf>
    <xf numFmtId="49" fontId="35" fillId="14" borderId="7" xfId="0" applyNumberFormat="1" applyFont="1" applyFill="1" applyBorder="1" applyAlignment="1">
      <alignment horizontal="center"/>
    </xf>
    <xf numFmtId="49" fontId="35" fillId="14" borderId="64" xfId="0" applyNumberFormat="1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1"/>
  <sheetViews>
    <sheetView tabSelected="1" zoomScale="110" zoomScaleNormal="110"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J1"/>
    </sheetView>
  </sheetViews>
  <sheetFormatPr defaultRowHeight="15" x14ac:dyDescent="0.25"/>
  <cols>
    <col min="1" max="1" width="6.42578125" customWidth="1"/>
    <col min="2" max="2" width="59" customWidth="1"/>
    <col min="3" max="3" width="0.5703125" customWidth="1"/>
    <col min="4" max="4" width="12.42578125" customWidth="1"/>
    <col min="5" max="5" width="11.28515625" customWidth="1"/>
    <col min="6" max="6" width="12.5703125" customWidth="1"/>
    <col min="7" max="7" width="11.28515625" customWidth="1"/>
    <col min="8" max="8" width="12" customWidth="1"/>
    <col min="9" max="9" width="11.5703125" customWidth="1"/>
    <col min="10" max="10" width="12.85546875" customWidth="1"/>
  </cols>
  <sheetData>
    <row r="1" spans="1:11" ht="18.75" thickBot="1" x14ac:dyDescent="0.3">
      <c r="A1" s="491" t="s">
        <v>0</v>
      </c>
      <c r="B1" s="492"/>
      <c r="C1" s="492"/>
      <c r="D1" s="492"/>
      <c r="E1" s="492"/>
      <c r="F1" s="492"/>
      <c r="G1" s="492"/>
      <c r="H1" s="492"/>
      <c r="I1" s="492"/>
      <c r="J1" s="492"/>
      <c r="K1" s="1"/>
    </row>
    <row r="2" spans="1:11" ht="46.5" customHeight="1" x14ac:dyDescent="0.25">
      <c r="A2" s="493" t="s">
        <v>1</v>
      </c>
      <c r="B2" s="494"/>
      <c r="C2" s="497" t="s">
        <v>2</v>
      </c>
      <c r="D2" s="499" t="s">
        <v>3</v>
      </c>
      <c r="E2" s="499" t="s">
        <v>231</v>
      </c>
      <c r="F2" s="499" t="s">
        <v>232</v>
      </c>
      <c r="G2" s="499" t="s">
        <v>233</v>
      </c>
      <c r="H2" s="537">
        <v>2021</v>
      </c>
      <c r="I2" s="537">
        <v>2022</v>
      </c>
      <c r="J2" s="537">
        <v>2023</v>
      </c>
      <c r="K2" s="1"/>
    </row>
    <row r="3" spans="1:11" ht="15.75" thickBot="1" x14ac:dyDescent="0.3">
      <c r="A3" s="495"/>
      <c r="B3" s="496"/>
      <c r="C3" s="498"/>
      <c r="D3" s="500"/>
      <c r="E3" s="500"/>
      <c r="F3" s="500"/>
      <c r="G3" s="500"/>
      <c r="H3" s="538"/>
      <c r="I3" s="538"/>
      <c r="J3" s="538"/>
      <c r="K3" s="1"/>
    </row>
    <row r="4" spans="1:11" ht="15.75" thickBot="1" x14ac:dyDescent="0.3">
      <c r="A4" s="501" t="s">
        <v>4</v>
      </c>
      <c r="B4" s="502"/>
      <c r="C4" s="362">
        <f t="shared" ref="C4:J4" si="0">SUM(C5:C11)</f>
        <v>1027468</v>
      </c>
      <c r="D4" s="2">
        <f t="shared" si="0"/>
        <v>1080198</v>
      </c>
      <c r="E4" s="2">
        <f t="shared" si="0"/>
        <v>1187235</v>
      </c>
      <c r="F4" s="2">
        <f t="shared" si="0"/>
        <v>1271380</v>
      </c>
      <c r="G4" s="2">
        <f t="shared" si="0"/>
        <v>1197480</v>
      </c>
      <c r="H4" s="2">
        <f t="shared" si="0"/>
        <v>1241080</v>
      </c>
      <c r="I4" s="2">
        <f t="shared" si="0"/>
        <v>1237580</v>
      </c>
      <c r="J4" s="2">
        <f t="shared" si="0"/>
        <v>1240380</v>
      </c>
      <c r="K4" s="1"/>
    </row>
    <row r="5" spans="1:11" ht="15.75" thickBot="1" x14ac:dyDescent="0.3">
      <c r="A5" s="3">
        <v>111</v>
      </c>
      <c r="B5" s="125" t="s">
        <v>5</v>
      </c>
      <c r="C5" s="4">
        <v>972038</v>
      </c>
      <c r="D5" s="5">
        <v>1022504</v>
      </c>
      <c r="E5" s="6">
        <v>1127294</v>
      </c>
      <c r="F5" s="6">
        <v>1194000</v>
      </c>
      <c r="G5" s="6">
        <f>1194000-105374+23374+8100</f>
        <v>1120100</v>
      </c>
      <c r="H5" s="6">
        <v>1158000</v>
      </c>
      <c r="I5" s="6">
        <v>1154000</v>
      </c>
      <c r="J5" s="6">
        <f>1160000-3200</f>
        <v>1156800</v>
      </c>
      <c r="K5" s="1"/>
    </row>
    <row r="6" spans="1:11" ht="15.75" thickBot="1" x14ac:dyDescent="0.3">
      <c r="A6" s="7">
        <v>121</v>
      </c>
      <c r="B6" s="358" t="s">
        <v>6</v>
      </c>
      <c r="C6" s="9">
        <v>31944</v>
      </c>
      <c r="D6" s="10">
        <v>32263</v>
      </c>
      <c r="E6" s="10">
        <v>32335</v>
      </c>
      <c r="F6" s="11">
        <v>36980</v>
      </c>
      <c r="G6" s="11">
        <v>36980</v>
      </c>
      <c r="H6" s="11">
        <f>36980+4000</f>
        <v>40980</v>
      </c>
      <c r="I6" s="11">
        <f t="shared" ref="I6:J6" si="1">36980+4000</f>
        <v>40980</v>
      </c>
      <c r="J6" s="11">
        <f t="shared" si="1"/>
        <v>40980</v>
      </c>
      <c r="K6" s="1"/>
    </row>
    <row r="7" spans="1:11" x14ac:dyDescent="0.25">
      <c r="A7" s="12">
        <v>133</v>
      </c>
      <c r="B7" s="359" t="s">
        <v>7</v>
      </c>
      <c r="C7" s="14">
        <v>894</v>
      </c>
      <c r="D7" s="15">
        <v>882</v>
      </c>
      <c r="E7" s="15">
        <v>837</v>
      </c>
      <c r="F7" s="16">
        <v>1000</v>
      </c>
      <c r="G7" s="16">
        <v>1000</v>
      </c>
      <c r="H7" s="16">
        <f>1000+200</f>
        <v>1200</v>
      </c>
      <c r="I7" s="16">
        <f t="shared" ref="I7:J7" si="2">1000+200</f>
        <v>1200</v>
      </c>
      <c r="J7" s="16">
        <f t="shared" si="2"/>
        <v>1200</v>
      </c>
      <c r="K7" s="1"/>
    </row>
    <row r="8" spans="1:11" x14ac:dyDescent="0.25">
      <c r="A8" s="17">
        <v>133</v>
      </c>
      <c r="B8" s="360" t="s">
        <v>8</v>
      </c>
      <c r="C8" s="19">
        <v>280</v>
      </c>
      <c r="D8" s="20">
        <v>280</v>
      </c>
      <c r="E8" s="20">
        <v>520</v>
      </c>
      <c r="F8" s="21">
        <v>400</v>
      </c>
      <c r="G8" s="21">
        <v>400</v>
      </c>
      <c r="H8" s="21">
        <v>400</v>
      </c>
      <c r="I8" s="21">
        <v>400</v>
      </c>
      <c r="J8" s="21">
        <v>400</v>
      </c>
      <c r="K8" s="1"/>
    </row>
    <row r="9" spans="1:11" x14ac:dyDescent="0.25">
      <c r="A9" s="17">
        <v>133</v>
      </c>
      <c r="B9" s="360" t="s">
        <v>9</v>
      </c>
      <c r="C9" s="19">
        <v>1454</v>
      </c>
      <c r="D9" s="20">
        <v>1587</v>
      </c>
      <c r="E9" s="20">
        <v>2465</v>
      </c>
      <c r="F9" s="21">
        <v>3000</v>
      </c>
      <c r="G9" s="21">
        <v>3000</v>
      </c>
      <c r="H9" s="21">
        <v>3000</v>
      </c>
      <c r="I9" s="21">
        <v>3000</v>
      </c>
      <c r="J9" s="21">
        <v>3000</v>
      </c>
      <c r="K9" s="1"/>
    </row>
    <row r="10" spans="1:11" x14ac:dyDescent="0.25">
      <c r="A10" s="17">
        <v>133</v>
      </c>
      <c r="B10" s="360" t="s">
        <v>10</v>
      </c>
      <c r="C10" s="19">
        <v>3624</v>
      </c>
      <c r="D10" s="20">
        <v>3468</v>
      </c>
      <c r="E10" s="20">
        <v>5114</v>
      </c>
      <c r="F10" s="21">
        <v>6000</v>
      </c>
      <c r="G10" s="21">
        <v>6000</v>
      </c>
      <c r="H10" s="21">
        <v>2500</v>
      </c>
      <c r="I10" s="21">
        <v>3000</v>
      </c>
      <c r="J10" s="21">
        <v>3000</v>
      </c>
      <c r="K10" s="1"/>
    </row>
    <row r="11" spans="1:11" ht="15.75" thickBot="1" x14ac:dyDescent="0.3">
      <c r="A11" s="22">
        <v>133</v>
      </c>
      <c r="B11" s="361" t="s">
        <v>11</v>
      </c>
      <c r="C11" s="24">
        <v>17234</v>
      </c>
      <c r="D11" s="25">
        <v>19214</v>
      </c>
      <c r="E11" s="26">
        <v>18670</v>
      </c>
      <c r="F11" s="26">
        <v>30000</v>
      </c>
      <c r="G11" s="26">
        <v>30000</v>
      </c>
      <c r="H11" s="26">
        <f>30000+5000</f>
        <v>35000</v>
      </c>
      <c r="I11" s="26">
        <f t="shared" ref="I11:J11" si="3">30000+5000</f>
        <v>35000</v>
      </c>
      <c r="J11" s="26">
        <f t="shared" si="3"/>
        <v>35000</v>
      </c>
      <c r="K11" s="27">
        <f>SUM(H7:H11)</f>
        <v>42100</v>
      </c>
    </row>
    <row r="12" spans="1:11" ht="15.75" thickBot="1" x14ac:dyDescent="0.3">
      <c r="A12" s="501" t="s">
        <v>12</v>
      </c>
      <c r="B12" s="502"/>
      <c r="C12" s="362">
        <f t="shared" ref="C12:J12" si="4">SUM(C13:C34)</f>
        <v>161813</v>
      </c>
      <c r="D12" s="362">
        <f t="shared" si="4"/>
        <v>218601</v>
      </c>
      <c r="E12" s="362">
        <f t="shared" si="4"/>
        <v>202091</v>
      </c>
      <c r="F12" s="362">
        <f t="shared" si="4"/>
        <v>212120</v>
      </c>
      <c r="G12" s="362">
        <f t="shared" si="4"/>
        <v>171149</v>
      </c>
      <c r="H12" s="362">
        <f t="shared" si="4"/>
        <v>193181</v>
      </c>
      <c r="I12" s="362">
        <f t="shared" si="4"/>
        <v>207914</v>
      </c>
      <c r="J12" s="362">
        <f t="shared" si="4"/>
        <v>207914</v>
      </c>
      <c r="K12" s="1"/>
    </row>
    <row r="13" spans="1:11" x14ac:dyDescent="0.25">
      <c r="A13" s="28">
        <v>212</v>
      </c>
      <c r="B13" s="29" t="s">
        <v>13</v>
      </c>
      <c r="C13" s="30">
        <v>2027</v>
      </c>
      <c r="D13" s="31">
        <v>2117</v>
      </c>
      <c r="E13" s="32">
        <v>2105</v>
      </c>
      <c r="F13" s="32">
        <v>2174</v>
      </c>
      <c r="G13" s="32">
        <v>2174</v>
      </c>
      <c r="H13" s="32">
        <v>2174</v>
      </c>
      <c r="I13" s="32">
        <v>1907</v>
      </c>
      <c r="J13" s="32">
        <v>1907</v>
      </c>
      <c r="K13" s="1"/>
    </row>
    <row r="14" spans="1:11" x14ac:dyDescent="0.25">
      <c r="A14" s="12">
        <v>212</v>
      </c>
      <c r="B14" s="13" t="s">
        <v>14</v>
      </c>
      <c r="C14" s="14">
        <v>189</v>
      </c>
      <c r="D14" s="15">
        <v>23970</v>
      </c>
      <c r="E14" s="16">
        <v>7680</v>
      </c>
      <c r="F14" s="16">
        <v>2000</v>
      </c>
      <c r="G14" s="16">
        <f>2000+300</f>
        <v>2300</v>
      </c>
      <c r="H14" s="16">
        <v>1000</v>
      </c>
      <c r="I14" s="16">
        <v>1000</v>
      </c>
      <c r="J14" s="16">
        <v>1000</v>
      </c>
      <c r="K14" s="27">
        <f>SUM(H13:H14)</f>
        <v>3174</v>
      </c>
    </row>
    <row r="15" spans="1:11" x14ac:dyDescent="0.25">
      <c r="A15" s="17">
        <v>212</v>
      </c>
      <c r="B15" s="18" t="s">
        <v>15</v>
      </c>
      <c r="C15" s="19">
        <v>3975</v>
      </c>
      <c r="D15" s="20">
        <v>3731</v>
      </c>
      <c r="E15" s="33">
        <v>3649</v>
      </c>
      <c r="F15" s="33">
        <v>4092</v>
      </c>
      <c r="G15" s="33">
        <v>4092</v>
      </c>
      <c r="H15" s="33">
        <v>3812</v>
      </c>
      <c r="I15" s="33">
        <v>3812</v>
      </c>
      <c r="J15" s="33">
        <v>3812</v>
      </c>
      <c r="K15" s="1"/>
    </row>
    <row r="16" spans="1:11" x14ac:dyDescent="0.25">
      <c r="A16" s="17">
        <v>212</v>
      </c>
      <c r="B16" s="18" t="s">
        <v>16</v>
      </c>
      <c r="C16" s="34">
        <v>17332</v>
      </c>
      <c r="D16" s="21">
        <v>17507</v>
      </c>
      <c r="E16" s="21">
        <v>17433</v>
      </c>
      <c r="F16" s="21">
        <v>22034</v>
      </c>
      <c r="G16" s="21">
        <f>22034-6211+540+120</f>
        <v>16483</v>
      </c>
      <c r="H16" s="21">
        <v>16985</v>
      </c>
      <c r="I16" s="21">
        <v>16985</v>
      </c>
      <c r="J16" s="21">
        <v>16985</v>
      </c>
      <c r="K16" s="27"/>
    </row>
    <row r="17" spans="1:11" ht="15.75" thickBot="1" x14ac:dyDescent="0.3">
      <c r="A17" s="35">
        <v>212</v>
      </c>
      <c r="B17" s="36" t="s">
        <v>17</v>
      </c>
      <c r="C17" s="37">
        <v>5</v>
      </c>
      <c r="D17" s="38">
        <v>400</v>
      </c>
      <c r="E17" s="39">
        <v>1280</v>
      </c>
      <c r="F17" s="39">
        <v>2000</v>
      </c>
      <c r="G17" s="39">
        <f>2000-2000</f>
        <v>0</v>
      </c>
      <c r="H17" s="39">
        <v>0</v>
      </c>
      <c r="I17" s="39">
        <v>0</v>
      </c>
      <c r="J17" s="39">
        <v>0</v>
      </c>
      <c r="K17" s="27">
        <f>SUM(H15:H17)</f>
        <v>20797</v>
      </c>
    </row>
    <row r="18" spans="1:11" ht="15.75" thickBot="1" x14ac:dyDescent="0.3">
      <c r="A18" s="7">
        <v>221</v>
      </c>
      <c r="B18" s="8" t="s">
        <v>18</v>
      </c>
      <c r="C18" s="9">
        <v>4093</v>
      </c>
      <c r="D18" s="40">
        <v>4796</v>
      </c>
      <c r="E18" s="41">
        <v>5069</v>
      </c>
      <c r="F18" s="41">
        <v>5100</v>
      </c>
      <c r="G18" s="41">
        <v>5100</v>
      </c>
      <c r="H18" s="41">
        <v>5100</v>
      </c>
      <c r="I18" s="41">
        <v>5100</v>
      </c>
      <c r="J18" s="41">
        <v>5100</v>
      </c>
      <c r="K18" s="1"/>
    </row>
    <row r="19" spans="1:11" ht="15.75" thickBot="1" x14ac:dyDescent="0.3">
      <c r="A19" s="35">
        <v>222</v>
      </c>
      <c r="B19" s="36" t="s">
        <v>19</v>
      </c>
      <c r="C19" s="37">
        <v>0</v>
      </c>
      <c r="D19" s="38">
        <v>90</v>
      </c>
      <c r="E19" s="39">
        <v>400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1"/>
    </row>
    <row r="20" spans="1:11" x14ac:dyDescent="0.25">
      <c r="A20" s="12">
        <v>223</v>
      </c>
      <c r="B20" s="13" t="s">
        <v>20</v>
      </c>
      <c r="C20" s="14">
        <v>713</v>
      </c>
      <c r="D20" s="15">
        <v>671</v>
      </c>
      <c r="E20" s="16">
        <v>503</v>
      </c>
      <c r="F20" s="16">
        <v>900</v>
      </c>
      <c r="G20" s="16">
        <v>900</v>
      </c>
      <c r="H20" s="16">
        <v>350</v>
      </c>
      <c r="I20" s="16">
        <v>350</v>
      </c>
      <c r="J20" s="16">
        <v>350</v>
      </c>
      <c r="K20" s="1"/>
    </row>
    <row r="21" spans="1:11" x14ac:dyDescent="0.25">
      <c r="A21" s="17">
        <v>223</v>
      </c>
      <c r="B21" s="18" t="s">
        <v>21</v>
      </c>
      <c r="C21" s="19">
        <v>16518</v>
      </c>
      <c r="D21" s="20">
        <v>17452</v>
      </c>
      <c r="E21" s="21">
        <v>15427</v>
      </c>
      <c r="F21" s="21">
        <v>19000</v>
      </c>
      <c r="G21" s="21">
        <v>19000</v>
      </c>
      <c r="H21" s="21">
        <f>19000+3000</f>
        <v>22000</v>
      </c>
      <c r="I21" s="21">
        <f t="shared" ref="I21:J21" si="5">19000+3000</f>
        <v>22000</v>
      </c>
      <c r="J21" s="21">
        <f t="shared" si="5"/>
        <v>22000</v>
      </c>
      <c r="K21" s="1"/>
    </row>
    <row r="22" spans="1:11" x14ac:dyDescent="0.25">
      <c r="A22" s="17">
        <v>223</v>
      </c>
      <c r="B22" s="18" t="s">
        <v>22</v>
      </c>
      <c r="C22" s="19">
        <v>0</v>
      </c>
      <c r="D22" s="20">
        <v>0</v>
      </c>
      <c r="E22" s="21">
        <v>0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  <c r="K22" s="1"/>
    </row>
    <row r="23" spans="1:11" x14ac:dyDescent="0.25">
      <c r="A23" s="17">
        <v>223</v>
      </c>
      <c r="B23" s="18" t="s">
        <v>23</v>
      </c>
      <c r="C23" s="19">
        <v>34491</v>
      </c>
      <c r="D23" s="20">
        <v>32466</v>
      </c>
      <c r="E23" s="21">
        <v>31823</v>
      </c>
      <c r="F23" s="21">
        <v>35000</v>
      </c>
      <c r="G23" s="21">
        <f>35000-3000-30000-1000</f>
        <v>1000</v>
      </c>
      <c r="H23" s="21">
        <f>500+15000</f>
        <v>15500</v>
      </c>
      <c r="I23" s="21">
        <v>30500</v>
      </c>
      <c r="J23" s="21">
        <v>30500</v>
      </c>
      <c r="K23" s="1"/>
    </row>
    <row r="24" spans="1:11" x14ac:dyDescent="0.25">
      <c r="A24" s="17">
        <v>223</v>
      </c>
      <c r="B24" s="18" t="s">
        <v>24</v>
      </c>
      <c r="C24" s="19">
        <v>519</v>
      </c>
      <c r="D24" s="20">
        <v>342</v>
      </c>
      <c r="E24" s="21">
        <v>255</v>
      </c>
      <c r="F24" s="21">
        <v>500</v>
      </c>
      <c r="G24" s="21">
        <v>500</v>
      </c>
      <c r="H24" s="21">
        <v>500</v>
      </c>
      <c r="I24" s="21">
        <v>500</v>
      </c>
      <c r="J24" s="21">
        <v>500</v>
      </c>
      <c r="K24" s="1"/>
    </row>
    <row r="25" spans="1:11" x14ac:dyDescent="0.25">
      <c r="A25" s="17">
        <v>223</v>
      </c>
      <c r="B25" s="18" t="s">
        <v>25</v>
      </c>
      <c r="C25" s="19">
        <v>5000</v>
      </c>
      <c r="D25" s="20">
        <v>1000</v>
      </c>
      <c r="E25" s="21">
        <v>0</v>
      </c>
      <c r="F25" s="21">
        <v>0</v>
      </c>
      <c r="G25" s="21"/>
      <c r="H25" s="21"/>
      <c r="I25" s="21"/>
      <c r="J25" s="21"/>
      <c r="K25" s="1"/>
    </row>
    <row r="26" spans="1:11" x14ac:dyDescent="0.25">
      <c r="A26" s="17">
        <v>223</v>
      </c>
      <c r="B26" s="18" t="s">
        <v>26</v>
      </c>
      <c r="C26" s="19">
        <v>490</v>
      </c>
      <c r="D26" s="20">
        <v>597</v>
      </c>
      <c r="E26" s="21">
        <v>913</v>
      </c>
      <c r="F26" s="21">
        <v>700</v>
      </c>
      <c r="G26" s="21">
        <v>980</v>
      </c>
      <c r="H26" s="21">
        <v>1200</v>
      </c>
      <c r="I26" s="21">
        <v>1200</v>
      </c>
      <c r="J26" s="21">
        <v>1200</v>
      </c>
      <c r="K26" s="1"/>
    </row>
    <row r="27" spans="1:11" x14ac:dyDescent="0.25">
      <c r="A27" s="17">
        <v>223</v>
      </c>
      <c r="B27" s="18" t="s">
        <v>27</v>
      </c>
      <c r="C27" s="19">
        <v>33709</v>
      </c>
      <c r="D27" s="20">
        <v>32850</v>
      </c>
      <c r="E27" s="21">
        <v>30304</v>
      </c>
      <c r="F27" s="21">
        <v>33000</v>
      </c>
      <c r="G27" s="21">
        <f t="shared" ref="G27" si="6">31000+2000</f>
        <v>33000</v>
      </c>
      <c r="H27" s="21">
        <v>40000</v>
      </c>
      <c r="I27" s="21">
        <v>40000</v>
      </c>
      <c r="J27" s="21">
        <v>40000</v>
      </c>
      <c r="K27" s="1"/>
    </row>
    <row r="28" spans="1:11" x14ac:dyDescent="0.25">
      <c r="A28" s="17">
        <v>223</v>
      </c>
      <c r="B28" s="18" t="s">
        <v>28</v>
      </c>
      <c r="C28" s="19">
        <v>18990</v>
      </c>
      <c r="D28" s="20">
        <v>15782</v>
      </c>
      <c r="E28" s="21">
        <v>17085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1"/>
    </row>
    <row r="29" spans="1:11" x14ac:dyDescent="0.25">
      <c r="A29" s="17">
        <v>223</v>
      </c>
      <c r="B29" s="18" t="s">
        <v>29</v>
      </c>
      <c r="C29" s="19">
        <f>17009</f>
        <v>17009</v>
      </c>
      <c r="D29" s="20">
        <v>17553</v>
      </c>
      <c r="E29" s="21">
        <v>24783</v>
      </c>
      <c r="F29" s="21">
        <v>45100</v>
      </c>
      <c r="G29" s="21">
        <v>45100</v>
      </c>
      <c r="H29" s="21">
        <v>46600</v>
      </c>
      <c r="I29" s="21">
        <v>46600</v>
      </c>
      <c r="J29" s="21">
        <v>46600</v>
      </c>
      <c r="K29" s="1"/>
    </row>
    <row r="30" spans="1:11" x14ac:dyDescent="0.25">
      <c r="A30" s="17">
        <v>223</v>
      </c>
      <c r="B30" s="18" t="s">
        <v>30</v>
      </c>
      <c r="C30" s="19">
        <v>4</v>
      </c>
      <c r="D30" s="20">
        <v>87</v>
      </c>
      <c r="E30" s="21">
        <v>43</v>
      </c>
      <c r="F30" s="21">
        <v>120</v>
      </c>
      <c r="G30" s="21">
        <v>120</v>
      </c>
      <c r="H30" s="21">
        <v>60</v>
      </c>
      <c r="I30" s="21">
        <v>60</v>
      </c>
      <c r="J30" s="21">
        <v>60</v>
      </c>
      <c r="K30" s="27">
        <f>SUM(H20:H30)</f>
        <v>126310</v>
      </c>
    </row>
    <row r="31" spans="1:11" x14ac:dyDescent="0.25">
      <c r="A31" s="17">
        <v>223</v>
      </c>
      <c r="B31" s="18" t="s">
        <v>31</v>
      </c>
      <c r="C31" s="19">
        <v>5175</v>
      </c>
      <c r="D31" s="20">
        <v>1650</v>
      </c>
      <c r="E31" s="46">
        <v>0</v>
      </c>
      <c r="F31" s="46">
        <v>0</v>
      </c>
      <c r="G31" s="21"/>
      <c r="H31" s="21"/>
      <c r="I31" s="21"/>
      <c r="J31" s="21"/>
      <c r="K31" s="1"/>
    </row>
    <row r="32" spans="1:11" ht="15.75" thickBot="1" x14ac:dyDescent="0.3">
      <c r="A32" s="17">
        <v>223</v>
      </c>
      <c r="B32" s="18" t="s">
        <v>32</v>
      </c>
      <c r="C32" s="19">
        <v>1568</v>
      </c>
      <c r="D32" s="42">
        <v>45540</v>
      </c>
      <c r="E32" s="48">
        <v>2057</v>
      </c>
      <c r="F32" s="48">
        <v>2200</v>
      </c>
      <c r="G32" s="21">
        <v>2200</v>
      </c>
      <c r="H32" s="21">
        <v>2400</v>
      </c>
      <c r="I32" s="21">
        <v>2400</v>
      </c>
      <c r="J32" s="21">
        <v>2400</v>
      </c>
      <c r="K32" s="1"/>
    </row>
    <row r="33" spans="1:11" x14ac:dyDescent="0.25">
      <c r="A33" s="43">
        <v>223</v>
      </c>
      <c r="B33" s="44" t="s">
        <v>33</v>
      </c>
      <c r="C33" s="19">
        <v>0</v>
      </c>
      <c r="D33" s="45">
        <v>0</v>
      </c>
      <c r="E33" s="46">
        <v>41282</v>
      </c>
      <c r="F33" s="46">
        <v>38000</v>
      </c>
      <c r="G33" s="46">
        <v>38000</v>
      </c>
      <c r="H33" s="46">
        <v>35300</v>
      </c>
      <c r="I33" s="46">
        <v>35300</v>
      </c>
      <c r="J33" s="46">
        <v>35300</v>
      </c>
      <c r="K33" s="1"/>
    </row>
    <row r="34" spans="1:11" ht="15.75" thickBot="1" x14ac:dyDescent="0.3">
      <c r="A34" s="22">
        <v>223</v>
      </c>
      <c r="B34" s="23" t="s">
        <v>34</v>
      </c>
      <c r="C34" s="24">
        <v>6</v>
      </c>
      <c r="D34" s="47">
        <v>0</v>
      </c>
      <c r="E34" s="48">
        <v>0</v>
      </c>
      <c r="F34" s="48">
        <v>100</v>
      </c>
      <c r="G34" s="48">
        <v>100</v>
      </c>
      <c r="H34" s="48">
        <v>100</v>
      </c>
      <c r="I34" s="48">
        <v>100</v>
      </c>
      <c r="J34" s="48">
        <v>100</v>
      </c>
      <c r="K34" s="27">
        <f>SUM(H20:H34)</f>
        <v>164110</v>
      </c>
    </row>
    <row r="35" spans="1:11" ht="15.75" thickBot="1" x14ac:dyDescent="0.3">
      <c r="A35" s="49" t="s">
        <v>35</v>
      </c>
      <c r="B35" s="50"/>
      <c r="C35" s="362">
        <f t="shared" ref="C35:J35" si="7">SUM(C36)</f>
        <v>363</v>
      </c>
      <c r="D35" s="363">
        <f t="shared" si="7"/>
        <v>258</v>
      </c>
      <c r="E35" s="2">
        <f t="shared" si="7"/>
        <v>396</v>
      </c>
      <c r="F35" s="2">
        <f t="shared" si="7"/>
        <v>460</v>
      </c>
      <c r="G35" s="2">
        <f t="shared" si="7"/>
        <v>460</v>
      </c>
      <c r="H35" s="2">
        <f t="shared" si="7"/>
        <v>70</v>
      </c>
      <c r="I35" s="2">
        <f t="shared" si="7"/>
        <v>70</v>
      </c>
      <c r="J35" s="2">
        <f t="shared" si="7"/>
        <v>70</v>
      </c>
      <c r="K35" s="1"/>
    </row>
    <row r="36" spans="1:11" ht="15.75" thickBot="1" x14ac:dyDescent="0.3">
      <c r="A36" s="51">
        <v>240</v>
      </c>
      <c r="B36" s="47" t="s">
        <v>36</v>
      </c>
      <c r="C36" s="365">
        <v>363</v>
      </c>
      <c r="D36" s="364">
        <v>258</v>
      </c>
      <c r="E36" s="38">
        <v>396</v>
      </c>
      <c r="F36" s="38">
        <v>460</v>
      </c>
      <c r="G36" s="38">
        <v>460</v>
      </c>
      <c r="H36" s="38">
        <v>70</v>
      </c>
      <c r="I36" s="38">
        <v>70</v>
      </c>
      <c r="J36" s="38">
        <v>70</v>
      </c>
      <c r="K36" s="1"/>
    </row>
    <row r="37" spans="1:11" ht="15.75" thickBot="1" x14ac:dyDescent="0.3">
      <c r="A37" s="49" t="s">
        <v>37</v>
      </c>
      <c r="B37" s="50"/>
      <c r="C37" s="362">
        <f t="shared" ref="C37:J37" si="8">SUM(C38:C44)</f>
        <v>36541</v>
      </c>
      <c r="D37" s="362">
        <f t="shared" si="8"/>
        <v>32063</v>
      </c>
      <c r="E37" s="362">
        <f t="shared" si="8"/>
        <v>24990</v>
      </c>
      <c r="F37" s="362">
        <f t="shared" si="8"/>
        <v>54460</v>
      </c>
      <c r="G37" s="362">
        <f t="shared" si="8"/>
        <v>36100</v>
      </c>
      <c r="H37" s="362">
        <f t="shared" si="8"/>
        <v>35158</v>
      </c>
      <c r="I37" s="362">
        <f t="shared" si="8"/>
        <v>34330</v>
      </c>
      <c r="J37" s="362">
        <f t="shared" si="8"/>
        <v>34330</v>
      </c>
      <c r="K37" s="1"/>
    </row>
    <row r="38" spans="1:11" x14ac:dyDescent="0.25">
      <c r="A38" s="52">
        <v>292</v>
      </c>
      <c r="B38" s="53" t="s">
        <v>38</v>
      </c>
      <c r="C38" s="54">
        <v>1054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1"/>
    </row>
    <row r="39" spans="1:11" x14ac:dyDescent="0.25">
      <c r="A39" s="52">
        <v>292</v>
      </c>
      <c r="B39" s="53" t="s">
        <v>39</v>
      </c>
      <c r="C39" s="54">
        <v>326</v>
      </c>
      <c r="D39" s="56">
        <v>279</v>
      </c>
      <c r="E39" s="55">
        <v>241</v>
      </c>
      <c r="F39" s="55">
        <v>600</v>
      </c>
      <c r="G39" s="55">
        <v>600</v>
      </c>
      <c r="H39" s="55">
        <v>300</v>
      </c>
      <c r="I39" s="55">
        <v>300</v>
      </c>
      <c r="J39" s="55">
        <v>300</v>
      </c>
      <c r="K39" s="1"/>
    </row>
    <row r="40" spans="1:11" x14ac:dyDescent="0.25">
      <c r="A40" s="57">
        <v>292</v>
      </c>
      <c r="B40" s="58" t="s">
        <v>40</v>
      </c>
      <c r="C40" s="59">
        <v>1998</v>
      </c>
      <c r="D40" s="60">
        <v>3206</v>
      </c>
      <c r="E40" s="61">
        <v>2949</v>
      </c>
      <c r="F40" s="61">
        <v>2000</v>
      </c>
      <c r="G40" s="61">
        <v>1000</v>
      </c>
      <c r="H40" s="61">
        <v>1000</v>
      </c>
      <c r="I40" s="61">
        <v>1000</v>
      </c>
      <c r="J40" s="61">
        <v>1000</v>
      </c>
      <c r="K40" s="1"/>
    </row>
    <row r="41" spans="1:11" x14ac:dyDescent="0.25">
      <c r="A41" s="57">
        <v>292</v>
      </c>
      <c r="B41" s="58" t="s">
        <v>41</v>
      </c>
      <c r="C41" s="59">
        <v>16161</v>
      </c>
      <c r="D41" s="60">
        <v>7460</v>
      </c>
      <c r="E41" s="60">
        <v>308</v>
      </c>
      <c r="F41" s="60">
        <v>2000</v>
      </c>
      <c r="G41" s="60">
        <v>2000</v>
      </c>
      <c r="H41" s="60">
        <v>500</v>
      </c>
      <c r="I41" s="60">
        <v>500</v>
      </c>
      <c r="J41" s="60">
        <v>500</v>
      </c>
      <c r="K41" s="1"/>
    </row>
    <row r="42" spans="1:11" x14ac:dyDescent="0.25">
      <c r="A42" s="57">
        <v>292</v>
      </c>
      <c r="B42" s="18" t="s">
        <v>42</v>
      </c>
      <c r="C42" s="62">
        <v>210</v>
      </c>
      <c r="D42" s="63">
        <v>232</v>
      </c>
      <c r="E42" s="64">
        <v>252</v>
      </c>
      <c r="F42" s="64">
        <v>260</v>
      </c>
      <c r="G42" s="64">
        <v>280</v>
      </c>
      <c r="H42" s="64">
        <v>300</v>
      </c>
      <c r="I42" s="64">
        <v>300</v>
      </c>
      <c r="J42" s="64">
        <v>300</v>
      </c>
      <c r="K42" s="1"/>
    </row>
    <row r="43" spans="1:11" x14ac:dyDescent="0.25">
      <c r="A43" s="57">
        <v>292</v>
      </c>
      <c r="B43" s="58" t="s">
        <v>236</v>
      </c>
      <c r="C43" s="59">
        <f>16422-C42</f>
        <v>16212</v>
      </c>
      <c r="D43" s="61">
        <f>21118-D42</f>
        <v>20886</v>
      </c>
      <c r="E43" s="60">
        <v>21100</v>
      </c>
      <c r="F43" s="60">
        <v>49600</v>
      </c>
      <c r="G43" s="60">
        <v>32220</v>
      </c>
      <c r="H43" s="60">
        <v>33058</v>
      </c>
      <c r="I43" s="60">
        <v>32230</v>
      </c>
      <c r="J43" s="60">
        <v>32230</v>
      </c>
      <c r="K43" s="1"/>
    </row>
    <row r="44" spans="1:11" ht="15.75" thickBot="1" x14ac:dyDescent="0.3">
      <c r="A44" s="57">
        <v>292</v>
      </c>
      <c r="B44" s="58" t="s">
        <v>43</v>
      </c>
      <c r="C44" s="59">
        <v>580</v>
      </c>
      <c r="D44" s="60">
        <v>0</v>
      </c>
      <c r="E44" s="60">
        <v>140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1"/>
    </row>
    <row r="45" spans="1:11" ht="15.75" thickBot="1" x14ac:dyDescent="0.3">
      <c r="A45" s="65" t="s">
        <v>44</v>
      </c>
      <c r="B45" s="366"/>
      <c r="C45" s="362">
        <f t="shared" ref="C45:J45" si="9">SUM(C46:C75)</f>
        <v>563928</v>
      </c>
      <c r="D45" s="389">
        <f t="shared" si="9"/>
        <v>573732</v>
      </c>
      <c r="E45" s="362">
        <f t="shared" si="9"/>
        <v>688399</v>
      </c>
      <c r="F45" s="2">
        <f t="shared" si="9"/>
        <v>753780</v>
      </c>
      <c r="G45" s="2">
        <f t="shared" si="9"/>
        <v>830812</v>
      </c>
      <c r="H45" s="2">
        <f t="shared" si="9"/>
        <v>749000</v>
      </c>
      <c r="I45" s="2">
        <f t="shared" si="9"/>
        <v>761620</v>
      </c>
      <c r="J45" s="2">
        <f t="shared" si="9"/>
        <v>759620</v>
      </c>
      <c r="K45" s="1"/>
    </row>
    <row r="46" spans="1:11" x14ac:dyDescent="0.25">
      <c r="A46" s="67">
        <v>311</v>
      </c>
      <c r="B46" s="367" t="s">
        <v>45</v>
      </c>
      <c r="C46" s="377">
        <v>2000</v>
      </c>
      <c r="D46" s="390">
        <v>8000</v>
      </c>
      <c r="E46" s="377">
        <v>3000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1"/>
    </row>
    <row r="47" spans="1:11" x14ac:dyDescent="0.25">
      <c r="A47" s="67">
        <v>311</v>
      </c>
      <c r="B47" s="367" t="s">
        <v>46</v>
      </c>
      <c r="C47" s="377">
        <v>0</v>
      </c>
      <c r="D47" s="390">
        <v>4840</v>
      </c>
      <c r="E47" s="377">
        <v>460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1"/>
    </row>
    <row r="48" spans="1:11" x14ac:dyDescent="0.25">
      <c r="A48" s="69">
        <v>312</v>
      </c>
      <c r="B48" s="367" t="s">
        <v>47</v>
      </c>
      <c r="C48" s="378">
        <v>0</v>
      </c>
      <c r="D48" s="391">
        <v>0</v>
      </c>
      <c r="E48" s="378">
        <v>6000</v>
      </c>
      <c r="F48" s="70">
        <v>0</v>
      </c>
      <c r="G48" s="70">
        <v>8000</v>
      </c>
      <c r="H48" s="70">
        <v>0</v>
      </c>
      <c r="I48" s="70">
        <v>0</v>
      </c>
      <c r="J48" s="70">
        <v>0</v>
      </c>
      <c r="K48" s="1"/>
    </row>
    <row r="49" spans="1:11" x14ac:dyDescent="0.25">
      <c r="A49" s="67">
        <v>312</v>
      </c>
      <c r="B49" s="367" t="s">
        <v>48</v>
      </c>
      <c r="C49" s="377">
        <v>0</v>
      </c>
      <c r="D49" s="392">
        <v>0</v>
      </c>
      <c r="E49" s="377">
        <v>5392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1"/>
    </row>
    <row r="50" spans="1:11" x14ac:dyDescent="0.25">
      <c r="A50" s="67">
        <v>312</v>
      </c>
      <c r="B50" s="367" t="s">
        <v>272</v>
      </c>
      <c r="C50" s="377">
        <v>2089</v>
      </c>
      <c r="D50" s="374">
        <v>2072</v>
      </c>
      <c r="E50" s="377">
        <v>6211</v>
      </c>
      <c r="F50" s="68">
        <v>4000</v>
      </c>
      <c r="G50" s="68">
        <v>4000</v>
      </c>
      <c r="H50" s="68">
        <v>4000</v>
      </c>
      <c r="I50" s="68">
        <v>2000</v>
      </c>
      <c r="J50" s="68">
        <v>0</v>
      </c>
      <c r="K50" s="1"/>
    </row>
    <row r="51" spans="1:11" x14ac:dyDescent="0.25">
      <c r="A51" s="69">
        <v>312</v>
      </c>
      <c r="B51" s="367" t="s">
        <v>49</v>
      </c>
      <c r="C51" s="378"/>
      <c r="D51" s="374">
        <v>3500</v>
      </c>
      <c r="E51" s="378">
        <v>0</v>
      </c>
      <c r="F51" s="70">
        <v>0</v>
      </c>
      <c r="G51" s="70"/>
      <c r="H51" s="70"/>
      <c r="I51" s="70"/>
      <c r="J51" s="70"/>
      <c r="K51" s="1"/>
    </row>
    <row r="52" spans="1:11" x14ac:dyDescent="0.25">
      <c r="A52" s="71">
        <v>312</v>
      </c>
      <c r="B52" s="360" t="s">
        <v>273</v>
      </c>
      <c r="C52" s="379">
        <v>5791</v>
      </c>
      <c r="D52" s="374">
        <v>2899</v>
      </c>
      <c r="E52" s="379">
        <v>27030</v>
      </c>
      <c r="F52" s="16">
        <v>56460</v>
      </c>
      <c r="G52" s="16">
        <v>56460</v>
      </c>
      <c r="H52" s="16">
        <v>34900</v>
      </c>
      <c r="I52" s="16">
        <v>34900</v>
      </c>
      <c r="J52" s="16">
        <v>34900</v>
      </c>
      <c r="K52" s="1"/>
    </row>
    <row r="53" spans="1:11" x14ac:dyDescent="0.25">
      <c r="A53" s="71">
        <v>312</v>
      </c>
      <c r="B53" s="360" t="s">
        <v>274</v>
      </c>
      <c r="C53" s="379">
        <v>645</v>
      </c>
      <c r="D53" s="374">
        <v>739</v>
      </c>
      <c r="E53" s="379">
        <v>227</v>
      </c>
      <c r="F53" s="16">
        <v>220</v>
      </c>
      <c r="G53" s="16">
        <v>270</v>
      </c>
      <c r="H53" s="16">
        <v>320</v>
      </c>
      <c r="I53" s="16">
        <v>320</v>
      </c>
      <c r="J53" s="16">
        <v>320</v>
      </c>
      <c r="K53" s="1"/>
    </row>
    <row r="54" spans="1:11" x14ac:dyDescent="0.25">
      <c r="A54" s="67">
        <v>312</v>
      </c>
      <c r="B54" s="367" t="s">
        <v>50</v>
      </c>
      <c r="C54" s="377">
        <v>0</v>
      </c>
      <c r="D54" s="393">
        <v>0</v>
      </c>
      <c r="E54" s="377">
        <v>300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1"/>
    </row>
    <row r="55" spans="1:11" x14ac:dyDescent="0.25">
      <c r="A55" s="71">
        <v>312</v>
      </c>
      <c r="B55" s="119" t="s">
        <v>51</v>
      </c>
      <c r="C55" s="380">
        <v>13737</v>
      </c>
      <c r="D55" s="374">
        <v>15058</v>
      </c>
      <c r="E55" s="14">
        <v>3305</v>
      </c>
      <c r="F55" s="73">
        <v>6280</v>
      </c>
      <c r="G55" s="73">
        <v>6280</v>
      </c>
      <c r="H55" s="73">
        <v>6280</v>
      </c>
      <c r="I55" s="73">
        <v>6280</v>
      </c>
      <c r="J55" s="73">
        <v>6280</v>
      </c>
      <c r="K55" s="1"/>
    </row>
    <row r="56" spans="1:11" x14ac:dyDescent="0.25">
      <c r="A56" s="71">
        <v>312</v>
      </c>
      <c r="B56" s="359" t="s">
        <v>239</v>
      </c>
      <c r="C56" s="380">
        <v>0</v>
      </c>
      <c r="D56" s="374">
        <v>0</v>
      </c>
      <c r="E56" s="14">
        <v>0</v>
      </c>
      <c r="F56" s="73">
        <v>0</v>
      </c>
      <c r="G56" s="73">
        <v>18600</v>
      </c>
      <c r="H56" s="73">
        <v>0</v>
      </c>
      <c r="I56" s="73">
        <v>0</v>
      </c>
      <c r="J56" s="73">
        <v>0</v>
      </c>
      <c r="K56" s="27"/>
    </row>
    <row r="57" spans="1:11" x14ac:dyDescent="0.25">
      <c r="A57" s="71">
        <v>312</v>
      </c>
      <c r="B57" s="119" t="s">
        <v>52</v>
      </c>
      <c r="C57" s="380">
        <v>0</v>
      </c>
      <c r="D57" s="374">
        <v>0</v>
      </c>
      <c r="E57" s="14">
        <v>0</v>
      </c>
      <c r="F57" s="73">
        <v>3800</v>
      </c>
      <c r="G57" s="73">
        <v>3800</v>
      </c>
      <c r="H57" s="73"/>
      <c r="I57" s="73"/>
      <c r="J57" s="73"/>
      <c r="K57" s="1"/>
    </row>
    <row r="58" spans="1:11" x14ac:dyDescent="0.25">
      <c r="A58" s="71">
        <v>312</v>
      </c>
      <c r="B58" s="119" t="s">
        <v>53</v>
      </c>
      <c r="C58" s="380">
        <v>0</v>
      </c>
      <c r="D58" s="374">
        <v>0</v>
      </c>
      <c r="E58" s="14">
        <v>0</v>
      </c>
      <c r="F58" s="73">
        <v>950</v>
      </c>
      <c r="G58" s="73">
        <v>950</v>
      </c>
      <c r="H58" s="73">
        <v>280</v>
      </c>
      <c r="I58" s="73">
        <v>0</v>
      </c>
      <c r="J58" s="73">
        <v>0</v>
      </c>
      <c r="K58" s="1"/>
    </row>
    <row r="59" spans="1:11" x14ac:dyDescent="0.25">
      <c r="A59" s="67">
        <v>312</v>
      </c>
      <c r="B59" s="367" t="s">
        <v>54</v>
      </c>
      <c r="C59" s="377">
        <v>0</v>
      </c>
      <c r="D59" s="394">
        <v>0</v>
      </c>
      <c r="E59" s="377">
        <v>30</v>
      </c>
      <c r="F59" s="68">
        <v>40</v>
      </c>
      <c r="G59" s="68">
        <v>40</v>
      </c>
      <c r="H59" s="68">
        <v>1540</v>
      </c>
      <c r="I59" s="68">
        <v>40</v>
      </c>
      <c r="J59" s="68">
        <v>40</v>
      </c>
      <c r="K59" s="27"/>
    </row>
    <row r="60" spans="1:11" ht="15.75" thickBot="1" x14ac:dyDescent="0.3">
      <c r="A60" s="356">
        <v>312</v>
      </c>
      <c r="B60" s="368" t="s">
        <v>237</v>
      </c>
      <c r="C60" s="381">
        <v>0</v>
      </c>
      <c r="D60" s="395">
        <v>0</v>
      </c>
      <c r="E60" s="381">
        <v>0</v>
      </c>
      <c r="F60" s="357">
        <v>0</v>
      </c>
      <c r="G60" s="357">
        <v>4440</v>
      </c>
      <c r="H60" s="357">
        <v>0</v>
      </c>
      <c r="I60" s="357">
        <v>0</v>
      </c>
      <c r="J60" s="357">
        <v>0</v>
      </c>
      <c r="K60" s="27">
        <f>SUM(H48:H60)</f>
        <v>47320</v>
      </c>
    </row>
    <row r="61" spans="1:11" x14ac:dyDescent="0.25">
      <c r="A61" s="71">
        <v>312</v>
      </c>
      <c r="B61" s="86" t="s">
        <v>55</v>
      </c>
      <c r="C61" s="380">
        <v>12616</v>
      </c>
      <c r="D61" s="374">
        <v>16521</v>
      </c>
      <c r="E61" s="379">
        <v>19278</v>
      </c>
      <c r="F61" s="16">
        <v>24800</v>
      </c>
      <c r="G61" s="16">
        <v>24800</v>
      </c>
      <c r="H61" s="16">
        <v>24400</v>
      </c>
      <c r="I61" s="16">
        <v>24400</v>
      </c>
      <c r="J61" s="16">
        <v>24400</v>
      </c>
      <c r="K61" s="1"/>
    </row>
    <row r="62" spans="1:11" x14ac:dyDescent="0.25">
      <c r="A62" s="71">
        <v>312</v>
      </c>
      <c r="B62" s="119" t="s">
        <v>56</v>
      </c>
      <c r="C62" s="380">
        <v>22490</v>
      </c>
      <c r="D62" s="374">
        <v>18300</v>
      </c>
      <c r="E62" s="379">
        <v>8700</v>
      </c>
      <c r="F62" s="15">
        <v>10200</v>
      </c>
      <c r="G62" s="16">
        <v>10200</v>
      </c>
      <c r="H62" s="16">
        <f>15700-5500</f>
        <v>10200</v>
      </c>
      <c r="I62" s="16">
        <v>10200</v>
      </c>
      <c r="J62" s="16">
        <v>10200</v>
      </c>
      <c r="K62" s="1"/>
    </row>
    <row r="63" spans="1:11" ht="15.75" thickBot="1" x14ac:dyDescent="0.3">
      <c r="A63" s="77">
        <v>312</v>
      </c>
      <c r="B63" s="166" t="s">
        <v>57</v>
      </c>
      <c r="C63" s="382">
        <v>7511</v>
      </c>
      <c r="D63" s="396">
        <v>7851</v>
      </c>
      <c r="E63" s="401">
        <v>8430</v>
      </c>
      <c r="F63" s="79">
        <f>7900+200</f>
        <v>8100</v>
      </c>
      <c r="G63" s="79">
        <v>10800</v>
      </c>
      <c r="H63" s="79">
        <f>4200+7600</f>
        <v>11800</v>
      </c>
      <c r="I63" s="79">
        <v>11800</v>
      </c>
      <c r="J63" s="79">
        <v>11800</v>
      </c>
      <c r="K63" s="27">
        <f>SUM(H61:H63)</f>
        <v>46400</v>
      </c>
    </row>
    <row r="64" spans="1:11" x14ac:dyDescent="0.25">
      <c r="A64" s="71">
        <v>312</v>
      </c>
      <c r="B64" s="86" t="s">
        <v>280</v>
      </c>
      <c r="C64" s="380">
        <v>2100</v>
      </c>
      <c r="D64" s="397">
        <v>2000</v>
      </c>
      <c r="E64" s="379">
        <v>3500</v>
      </c>
      <c r="F64" s="16">
        <v>0</v>
      </c>
      <c r="G64" s="16">
        <v>0</v>
      </c>
      <c r="H64" s="16">
        <f>10000+2000</f>
        <v>12000</v>
      </c>
      <c r="I64" s="16">
        <v>0</v>
      </c>
      <c r="J64" s="16">
        <v>0</v>
      </c>
      <c r="K64" s="1"/>
    </row>
    <row r="65" spans="1:11" x14ac:dyDescent="0.25">
      <c r="A65" s="71">
        <v>312</v>
      </c>
      <c r="B65" s="86" t="s">
        <v>58</v>
      </c>
      <c r="C65" s="380">
        <v>10000</v>
      </c>
      <c r="D65" s="398">
        <v>10000</v>
      </c>
      <c r="E65" s="379">
        <v>0</v>
      </c>
      <c r="F65" s="16"/>
      <c r="G65" s="16"/>
      <c r="H65" s="16"/>
      <c r="I65" s="16"/>
      <c r="J65" s="16"/>
      <c r="K65" s="1"/>
    </row>
    <row r="66" spans="1:11" x14ac:dyDescent="0.25">
      <c r="A66" s="71">
        <v>312</v>
      </c>
      <c r="B66" s="119" t="s">
        <v>59</v>
      </c>
      <c r="C66" s="380">
        <v>1400</v>
      </c>
      <c r="D66" s="399">
        <v>1400</v>
      </c>
      <c r="E66" s="379">
        <v>3000</v>
      </c>
      <c r="F66" s="16">
        <v>3000</v>
      </c>
      <c r="G66" s="16">
        <v>3000</v>
      </c>
      <c r="H66" s="16">
        <v>3000</v>
      </c>
      <c r="I66" s="16">
        <v>3000</v>
      </c>
      <c r="J66" s="16">
        <v>3000</v>
      </c>
      <c r="K66" s="1"/>
    </row>
    <row r="67" spans="1:11" x14ac:dyDescent="0.25">
      <c r="A67" s="80">
        <v>312</v>
      </c>
      <c r="B67" s="369" t="s">
        <v>60</v>
      </c>
      <c r="C67" s="383">
        <v>15485</v>
      </c>
      <c r="D67" s="374">
        <v>0</v>
      </c>
      <c r="E67" s="402">
        <v>0</v>
      </c>
      <c r="F67" s="82"/>
      <c r="G67" s="82"/>
      <c r="H67" s="82"/>
      <c r="I67" s="82"/>
      <c r="J67" s="82"/>
      <c r="K67" s="1"/>
    </row>
    <row r="68" spans="1:11" ht="15.75" thickBot="1" x14ac:dyDescent="0.3">
      <c r="A68" s="74">
        <v>312</v>
      </c>
      <c r="B68" s="83" t="s">
        <v>61</v>
      </c>
      <c r="C68" s="384">
        <v>8000</v>
      </c>
      <c r="D68" s="373">
        <v>11300</v>
      </c>
      <c r="E68" s="384">
        <v>13785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27">
        <f>SUM(H64:H68)</f>
        <v>15000</v>
      </c>
    </row>
    <row r="69" spans="1:11" x14ac:dyDescent="0.25">
      <c r="A69" s="71">
        <v>312</v>
      </c>
      <c r="B69" s="359" t="s">
        <v>62</v>
      </c>
      <c r="C69" s="379">
        <v>3966</v>
      </c>
      <c r="D69" s="394">
        <v>4139</v>
      </c>
      <c r="E69" s="403">
        <v>4569</v>
      </c>
      <c r="F69" s="84">
        <v>4830</v>
      </c>
      <c r="G69" s="84">
        <v>4830</v>
      </c>
      <c r="H69" s="84">
        <v>4980</v>
      </c>
      <c r="I69" s="84">
        <v>4980</v>
      </c>
      <c r="J69" s="84">
        <v>4980</v>
      </c>
      <c r="K69" s="1"/>
    </row>
    <row r="70" spans="1:11" x14ac:dyDescent="0.25">
      <c r="A70" s="85">
        <v>312</v>
      </c>
      <c r="B70" s="370" t="s">
        <v>63</v>
      </c>
      <c r="C70" s="385">
        <v>3018</v>
      </c>
      <c r="D70" s="398">
        <v>3476</v>
      </c>
      <c r="E70" s="385">
        <v>3771</v>
      </c>
      <c r="F70" s="21">
        <v>3300</v>
      </c>
      <c r="G70" s="21">
        <v>4200</v>
      </c>
      <c r="H70" s="21">
        <v>4200</v>
      </c>
      <c r="I70" s="21">
        <v>4200</v>
      </c>
      <c r="J70" s="21">
        <v>4200</v>
      </c>
      <c r="K70" s="1"/>
    </row>
    <row r="71" spans="1:11" x14ac:dyDescent="0.25">
      <c r="A71" s="85">
        <v>312</v>
      </c>
      <c r="B71" s="371" t="s">
        <v>64</v>
      </c>
      <c r="C71" s="386">
        <v>2774</v>
      </c>
      <c r="D71" s="399">
        <v>2919</v>
      </c>
      <c r="E71" s="404">
        <v>2837</v>
      </c>
      <c r="F71" s="33">
        <v>3000</v>
      </c>
      <c r="G71" s="33">
        <v>3455</v>
      </c>
      <c r="H71" s="33">
        <v>3000</v>
      </c>
      <c r="I71" s="33">
        <v>3000</v>
      </c>
      <c r="J71" s="33">
        <v>3000</v>
      </c>
      <c r="K71" s="1"/>
    </row>
    <row r="72" spans="1:11" x14ac:dyDescent="0.25">
      <c r="A72" s="71">
        <v>312</v>
      </c>
      <c r="B72" s="119" t="s">
        <v>65</v>
      </c>
      <c r="C72" s="380">
        <v>12162</v>
      </c>
      <c r="D72" s="374">
        <v>12162</v>
      </c>
      <c r="E72" s="405">
        <v>50858</v>
      </c>
      <c r="F72" s="16">
        <v>75000</v>
      </c>
      <c r="G72" s="16">
        <v>85600</v>
      </c>
      <c r="H72" s="16">
        <f>11400+35000</f>
        <v>46400</v>
      </c>
      <c r="I72" s="16">
        <v>60000</v>
      </c>
      <c r="J72" s="16">
        <v>60000</v>
      </c>
      <c r="K72" s="1"/>
    </row>
    <row r="73" spans="1:11" x14ac:dyDescent="0.25">
      <c r="A73" s="71">
        <v>312</v>
      </c>
      <c r="B73" s="359" t="s">
        <v>238</v>
      </c>
      <c r="C73" s="380">
        <v>0</v>
      </c>
      <c r="D73" s="374">
        <v>0</v>
      </c>
      <c r="E73" s="405">
        <v>0</v>
      </c>
      <c r="F73" s="16">
        <v>0</v>
      </c>
      <c r="G73" s="16">
        <v>4640</v>
      </c>
      <c r="H73" s="16">
        <f>2100+3100</f>
        <v>5200</v>
      </c>
      <c r="I73" s="16">
        <v>0</v>
      </c>
      <c r="J73" s="16">
        <v>0</v>
      </c>
      <c r="K73" s="1"/>
    </row>
    <row r="74" spans="1:11" x14ac:dyDescent="0.25">
      <c r="A74" s="71">
        <v>312</v>
      </c>
      <c r="B74" s="119" t="s">
        <v>66</v>
      </c>
      <c r="C74" s="380">
        <v>0</v>
      </c>
      <c r="D74" s="375"/>
      <c r="E74" s="405">
        <v>31104</v>
      </c>
      <c r="F74" s="16">
        <v>33700</v>
      </c>
      <c r="G74" s="16">
        <v>33700</v>
      </c>
      <c r="H74" s="16">
        <v>20000</v>
      </c>
      <c r="I74" s="16">
        <v>40000</v>
      </c>
      <c r="J74" s="16">
        <v>40000</v>
      </c>
      <c r="K74" s="27">
        <f>SUM(H69:H74)</f>
        <v>83780</v>
      </c>
    </row>
    <row r="75" spans="1:11" ht="16.5" thickBot="1" x14ac:dyDescent="0.3">
      <c r="A75" s="87">
        <v>312</v>
      </c>
      <c r="B75" s="88" t="s">
        <v>67</v>
      </c>
      <c r="C75" s="387">
        <v>438144</v>
      </c>
      <c r="D75" s="376">
        <v>446556</v>
      </c>
      <c r="E75" s="387">
        <v>486612</v>
      </c>
      <c r="F75" s="89">
        <v>516100</v>
      </c>
      <c r="G75" s="89">
        <v>542747</v>
      </c>
      <c r="H75" s="89">
        <v>556500</v>
      </c>
      <c r="I75" s="89">
        <v>556500</v>
      </c>
      <c r="J75" s="89">
        <v>556500</v>
      </c>
      <c r="K75" s="27">
        <f>SUM(H69:H75)</f>
        <v>640280</v>
      </c>
    </row>
    <row r="76" spans="1:11" ht="16.5" thickBot="1" x14ac:dyDescent="0.3">
      <c r="A76" s="90" t="s">
        <v>68</v>
      </c>
      <c r="B76" s="372"/>
      <c r="C76" s="388">
        <f t="shared" ref="C76:J76" si="10">SUM(C4+C12+C35+C37+C45)</f>
        <v>1790113</v>
      </c>
      <c r="D76" s="400">
        <f t="shared" si="10"/>
        <v>1904852</v>
      </c>
      <c r="E76" s="388">
        <f t="shared" si="10"/>
        <v>2103111</v>
      </c>
      <c r="F76" s="91">
        <f t="shared" ref="F76" si="11">SUM(F4+F12+F35+F37+F45)</f>
        <v>2292200</v>
      </c>
      <c r="G76" s="91">
        <f t="shared" si="10"/>
        <v>2236001</v>
      </c>
      <c r="H76" s="91">
        <f t="shared" si="10"/>
        <v>2218489</v>
      </c>
      <c r="I76" s="91">
        <f t="shared" ref="I76" si="12">SUM(I4+I12+I35+I37+I45)</f>
        <v>2241514</v>
      </c>
      <c r="J76" s="91">
        <f t="shared" si="10"/>
        <v>2242314</v>
      </c>
      <c r="K76" s="1"/>
    </row>
    <row r="77" spans="1:11" x14ac:dyDescent="0.25">
      <c r="A77" s="92" t="s">
        <v>69</v>
      </c>
      <c r="B77" s="93" t="s">
        <v>70</v>
      </c>
      <c r="C77" s="94">
        <v>5446</v>
      </c>
      <c r="D77" s="94">
        <v>7593</v>
      </c>
      <c r="E77" s="94">
        <v>7551</v>
      </c>
      <c r="F77" s="94">
        <v>3000</v>
      </c>
      <c r="G77" s="94">
        <v>3000</v>
      </c>
      <c r="H77" s="94">
        <v>1450</v>
      </c>
      <c r="I77" s="94">
        <v>1450</v>
      </c>
      <c r="J77" s="94">
        <v>1450</v>
      </c>
      <c r="K77" s="1"/>
    </row>
    <row r="78" spans="1:11" x14ac:dyDescent="0.25">
      <c r="A78" s="95" t="s">
        <v>69</v>
      </c>
      <c r="B78" s="93" t="s">
        <v>71</v>
      </c>
      <c r="C78" s="96">
        <v>1300</v>
      </c>
      <c r="D78" s="96">
        <v>1300</v>
      </c>
      <c r="E78" s="96">
        <v>1308</v>
      </c>
      <c r="F78" s="96">
        <v>1500</v>
      </c>
      <c r="G78" s="96">
        <v>1500</v>
      </c>
      <c r="H78" s="96">
        <v>2000</v>
      </c>
      <c r="I78" s="96">
        <v>2000</v>
      </c>
      <c r="J78" s="96">
        <v>2000</v>
      </c>
      <c r="K78" s="1"/>
    </row>
    <row r="79" spans="1:11" ht="15.75" thickBot="1" x14ac:dyDescent="0.3">
      <c r="A79" s="97" t="s">
        <v>69</v>
      </c>
      <c r="B79" s="98" t="s">
        <v>72</v>
      </c>
      <c r="C79" s="99">
        <v>0</v>
      </c>
      <c r="D79" s="99">
        <v>0</v>
      </c>
      <c r="E79" s="99">
        <v>50402</v>
      </c>
      <c r="F79" s="99">
        <v>56000</v>
      </c>
      <c r="G79" s="99">
        <v>56000</v>
      </c>
      <c r="H79" s="99">
        <v>27000</v>
      </c>
      <c r="I79" s="99">
        <v>0</v>
      </c>
      <c r="J79" s="99">
        <v>0</v>
      </c>
      <c r="K79" s="1"/>
    </row>
    <row r="80" spans="1:11" ht="15.75" thickBot="1" x14ac:dyDescent="0.3">
      <c r="A80" s="503" t="s">
        <v>73</v>
      </c>
      <c r="B80" s="504"/>
      <c r="C80" s="100">
        <f t="shared" ref="C80:D80" si="13">SUM(C77:C79)</f>
        <v>6746</v>
      </c>
      <c r="D80" s="100">
        <f t="shared" si="13"/>
        <v>8893</v>
      </c>
      <c r="E80" s="100">
        <f t="shared" ref="E80:J80" si="14">SUM(E77:E79)</f>
        <v>59261</v>
      </c>
      <c r="F80" s="100">
        <f t="shared" si="14"/>
        <v>60500</v>
      </c>
      <c r="G80" s="100">
        <f t="shared" si="14"/>
        <v>60500</v>
      </c>
      <c r="H80" s="100">
        <f t="shared" si="14"/>
        <v>30450</v>
      </c>
      <c r="I80" s="100">
        <f t="shared" ref="I80" si="15">SUM(I77:I79)</f>
        <v>3450</v>
      </c>
      <c r="J80" s="100">
        <f t="shared" si="14"/>
        <v>3450</v>
      </c>
      <c r="K80" s="1"/>
    </row>
    <row r="81" spans="1:11" ht="15.75" thickBot="1" x14ac:dyDescent="0.3">
      <c r="A81" s="101" t="s">
        <v>69</v>
      </c>
      <c r="B81" s="102" t="s">
        <v>74</v>
      </c>
      <c r="C81" s="103">
        <v>4930</v>
      </c>
      <c r="D81" s="103">
        <v>10244</v>
      </c>
      <c r="E81" s="103">
        <v>11710</v>
      </c>
      <c r="F81" s="103">
        <v>11200</v>
      </c>
      <c r="G81" s="103">
        <v>12310</v>
      </c>
      <c r="H81" s="103">
        <v>13690</v>
      </c>
      <c r="I81" s="103">
        <v>13690</v>
      </c>
      <c r="J81" s="103">
        <v>13690</v>
      </c>
      <c r="K81" s="1"/>
    </row>
    <row r="82" spans="1:11" ht="16.5" thickBot="1" x14ac:dyDescent="0.3">
      <c r="A82" s="505" t="s">
        <v>75</v>
      </c>
      <c r="B82" s="506"/>
      <c r="C82" s="104">
        <f t="shared" ref="C82:J82" si="16">C80+C81</f>
        <v>11676</v>
      </c>
      <c r="D82" s="104">
        <f t="shared" si="16"/>
        <v>19137</v>
      </c>
      <c r="E82" s="104">
        <f t="shared" si="16"/>
        <v>70971</v>
      </c>
      <c r="F82" s="104">
        <f t="shared" si="16"/>
        <v>71700</v>
      </c>
      <c r="G82" s="104">
        <f t="shared" si="16"/>
        <v>72810</v>
      </c>
      <c r="H82" s="104">
        <f t="shared" si="16"/>
        <v>44140</v>
      </c>
      <c r="I82" s="104">
        <f t="shared" ref="I82" si="17">I80+I81</f>
        <v>17140</v>
      </c>
      <c r="J82" s="104">
        <f t="shared" si="16"/>
        <v>17140</v>
      </c>
      <c r="K82" s="1"/>
    </row>
    <row r="83" spans="1:11" ht="16.5" thickBot="1" x14ac:dyDescent="0.3">
      <c r="A83" s="90" t="s">
        <v>76</v>
      </c>
      <c r="B83" s="66"/>
      <c r="C83" s="91">
        <f t="shared" ref="C83:J83" si="18">C76+C82</f>
        <v>1801789</v>
      </c>
      <c r="D83" s="91">
        <f t="shared" si="18"/>
        <v>1923989</v>
      </c>
      <c r="E83" s="91">
        <f t="shared" si="18"/>
        <v>2174082</v>
      </c>
      <c r="F83" s="91">
        <f t="shared" si="18"/>
        <v>2363900</v>
      </c>
      <c r="G83" s="91">
        <f t="shared" si="18"/>
        <v>2308811</v>
      </c>
      <c r="H83" s="91">
        <f t="shared" si="18"/>
        <v>2262629</v>
      </c>
      <c r="I83" s="91">
        <f t="shared" si="18"/>
        <v>2258654</v>
      </c>
      <c r="J83" s="91">
        <f t="shared" si="18"/>
        <v>2259454</v>
      </c>
      <c r="K83" s="1"/>
    </row>
    <row r="84" spans="1:11" x14ac:dyDescent="0.25">
      <c r="A84" s="1"/>
      <c r="B84" s="1"/>
      <c r="C84" s="1"/>
      <c r="D84" s="1"/>
      <c r="E84" s="105"/>
      <c r="F84" s="105"/>
      <c r="G84" s="105"/>
      <c r="H84" s="105"/>
      <c r="I84" s="105"/>
      <c r="J84" s="105"/>
      <c r="K84" s="105"/>
    </row>
    <row r="85" spans="1:11" ht="15.75" x14ac:dyDescent="0.25">
      <c r="A85" s="106"/>
      <c r="B85" s="107"/>
      <c r="C85" s="107"/>
      <c r="D85" s="107"/>
      <c r="E85" s="108"/>
      <c r="F85" s="108"/>
      <c r="G85" s="108"/>
      <c r="H85" s="108"/>
      <c r="I85" s="108"/>
      <c r="J85" s="108"/>
      <c r="K85" s="108"/>
    </row>
    <row r="86" spans="1:11" ht="18.75" thickBot="1" x14ac:dyDescent="0.3">
      <c r="A86" s="507" t="s">
        <v>77</v>
      </c>
      <c r="B86" s="508"/>
      <c r="C86" s="508"/>
      <c r="D86" s="508"/>
      <c r="E86" s="508"/>
      <c r="F86" s="508"/>
      <c r="G86" s="508"/>
      <c r="H86" s="508"/>
      <c r="I86" s="508"/>
      <c r="J86" s="508"/>
      <c r="K86" s="1"/>
    </row>
    <row r="87" spans="1:11" ht="15" customHeight="1" x14ac:dyDescent="0.25">
      <c r="A87" s="493" t="s">
        <v>1</v>
      </c>
      <c r="B87" s="494"/>
      <c r="C87" s="497" t="s">
        <v>2</v>
      </c>
      <c r="D87" s="515" t="s">
        <v>3</v>
      </c>
      <c r="E87" s="499" t="s">
        <v>231</v>
      </c>
      <c r="F87" s="499" t="s">
        <v>232</v>
      </c>
      <c r="G87" s="499" t="s">
        <v>233</v>
      </c>
      <c r="H87" s="499">
        <v>2021</v>
      </c>
      <c r="I87" s="499">
        <v>2022</v>
      </c>
      <c r="J87" s="499">
        <v>2023</v>
      </c>
      <c r="K87" s="1"/>
    </row>
    <row r="88" spans="1:11" ht="15.75" thickBot="1" x14ac:dyDescent="0.3">
      <c r="A88" s="495"/>
      <c r="B88" s="496"/>
      <c r="C88" s="498"/>
      <c r="D88" s="516"/>
      <c r="E88" s="500"/>
      <c r="F88" s="500"/>
      <c r="G88" s="500"/>
      <c r="H88" s="500"/>
      <c r="I88" s="500"/>
      <c r="J88" s="500"/>
      <c r="K88" s="1"/>
    </row>
    <row r="89" spans="1:11" ht="15.75" thickBot="1" x14ac:dyDescent="0.3">
      <c r="A89" s="109" t="s">
        <v>78</v>
      </c>
      <c r="B89" s="110"/>
      <c r="C89" s="111">
        <f t="shared" ref="C89:J89" si="19">SUM(C90:C94)</f>
        <v>156377</v>
      </c>
      <c r="D89" s="112">
        <f t="shared" si="19"/>
        <v>174936</v>
      </c>
      <c r="E89" s="111">
        <f t="shared" si="19"/>
        <v>231640</v>
      </c>
      <c r="F89" s="113">
        <f t="shared" si="19"/>
        <v>292850</v>
      </c>
      <c r="G89" s="113">
        <f t="shared" si="19"/>
        <v>264025</v>
      </c>
      <c r="H89" s="113">
        <f t="shared" si="19"/>
        <v>264930</v>
      </c>
      <c r="I89" s="113">
        <f t="shared" ref="I89" si="20">SUM(I90:I94)</f>
        <v>261200</v>
      </c>
      <c r="J89" s="113">
        <f t="shared" si="19"/>
        <v>250160</v>
      </c>
      <c r="K89" s="1"/>
    </row>
    <row r="90" spans="1:11" x14ac:dyDescent="0.25">
      <c r="A90" s="114" t="s">
        <v>79</v>
      </c>
      <c r="B90" s="86" t="s">
        <v>80</v>
      </c>
      <c r="C90" s="115">
        <v>80991</v>
      </c>
      <c r="D90" s="116">
        <v>85746</v>
      </c>
      <c r="E90" s="117">
        <v>107957</v>
      </c>
      <c r="F90" s="56">
        <v>120700</v>
      </c>
      <c r="G90" s="56">
        <f>120700-7665+200+1100+1700</f>
        <v>116035</v>
      </c>
      <c r="H90" s="56">
        <v>115400</v>
      </c>
      <c r="I90" s="56">
        <v>124100</v>
      </c>
      <c r="J90" s="56">
        <v>115100</v>
      </c>
      <c r="K90" s="1"/>
    </row>
    <row r="91" spans="1:11" x14ac:dyDescent="0.25">
      <c r="A91" s="118" t="s">
        <v>81</v>
      </c>
      <c r="B91" s="119" t="s">
        <v>82</v>
      </c>
      <c r="C91" s="62">
        <v>43743</v>
      </c>
      <c r="D91" s="120">
        <v>51946</v>
      </c>
      <c r="E91" s="121">
        <v>68901</v>
      </c>
      <c r="F91" s="61">
        <f>90100</f>
        <v>90100</v>
      </c>
      <c r="G91" s="61">
        <f>90100+200-5840+300</f>
        <v>84760</v>
      </c>
      <c r="H91" s="61">
        <f>78530-1000+5500</f>
        <v>83030</v>
      </c>
      <c r="I91" s="61">
        <f>78500-1000+5500</f>
        <v>83000</v>
      </c>
      <c r="J91" s="61">
        <f>78460-1000+5500</f>
        <v>82960</v>
      </c>
      <c r="K91" s="1"/>
    </row>
    <row r="92" spans="1:11" x14ac:dyDescent="0.25">
      <c r="A92" s="118" t="s">
        <v>83</v>
      </c>
      <c r="B92" s="119" t="s">
        <v>84</v>
      </c>
      <c r="C92" s="62">
        <v>1742</v>
      </c>
      <c r="D92" s="120">
        <v>3680</v>
      </c>
      <c r="E92" s="121">
        <v>4907</v>
      </c>
      <c r="F92" s="61">
        <v>17700</v>
      </c>
      <c r="G92" s="61">
        <f>17700-16200</f>
        <v>1500</v>
      </c>
      <c r="H92" s="61">
        <f>3700+1000</f>
        <v>4700</v>
      </c>
      <c r="I92" s="61">
        <v>3700</v>
      </c>
      <c r="J92" s="61">
        <v>3700</v>
      </c>
      <c r="K92" s="1"/>
    </row>
    <row r="93" spans="1:11" x14ac:dyDescent="0.25">
      <c r="A93" s="122" t="s">
        <v>85</v>
      </c>
      <c r="B93" s="119" t="s">
        <v>86</v>
      </c>
      <c r="C93" s="59">
        <v>27812</v>
      </c>
      <c r="D93" s="123">
        <v>31492</v>
      </c>
      <c r="E93" s="121">
        <v>43664</v>
      </c>
      <c r="F93" s="61">
        <v>60350</v>
      </c>
      <c r="G93" s="61">
        <f>60350-7260</f>
        <v>53090</v>
      </c>
      <c r="H93" s="61">
        <f>52600</f>
        <v>52600</v>
      </c>
      <c r="I93" s="61">
        <v>48400</v>
      </c>
      <c r="J93" s="61">
        <v>48400</v>
      </c>
      <c r="K93" s="1"/>
    </row>
    <row r="94" spans="1:11" ht="15.75" thickBot="1" x14ac:dyDescent="0.3">
      <c r="A94" s="124" t="s">
        <v>87</v>
      </c>
      <c r="B94" s="125" t="s">
        <v>279</v>
      </c>
      <c r="C94" s="126">
        <v>2089</v>
      </c>
      <c r="D94" s="127">
        <v>2072</v>
      </c>
      <c r="E94" s="128">
        <v>6211</v>
      </c>
      <c r="F94" s="129">
        <v>4000</v>
      </c>
      <c r="G94" s="129">
        <f>4000+4640</f>
        <v>8640</v>
      </c>
      <c r="H94" s="129">
        <f>6100+3100</f>
        <v>9200</v>
      </c>
      <c r="I94" s="129">
        <v>2000</v>
      </c>
      <c r="J94" s="129">
        <v>0</v>
      </c>
      <c r="K94" s="1"/>
    </row>
    <row r="95" spans="1:11" ht="15.75" thickBot="1" x14ac:dyDescent="0.3">
      <c r="A95" s="130" t="s">
        <v>88</v>
      </c>
      <c r="B95" s="131"/>
      <c r="C95" s="111">
        <f t="shared" ref="C95:J95" si="21">SUM(C96)</f>
        <v>1395</v>
      </c>
      <c r="D95" s="112">
        <f t="shared" si="21"/>
        <v>1431</v>
      </c>
      <c r="E95" s="111">
        <f t="shared" si="21"/>
        <v>1635</v>
      </c>
      <c r="F95" s="113">
        <f t="shared" si="21"/>
        <v>1900</v>
      </c>
      <c r="G95" s="113">
        <f t="shared" si="21"/>
        <v>10620</v>
      </c>
      <c r="H95" s="113">
        <f t="shared" si="21"/>
        <v>11300</v>
      </c>
      <c r="I95" s="113">
        <f t="shared" si="21"/>
        <v>11300</v>
      </c>
      <c r="J95" s="113">
        <f t="shared" si="21"/>
        <v>7300</v>
      </c>
      <c r="K95" s="1"/>
    </row>
    <row r="96" spans="1:11" ht="15.75" thickBot="1" x14ac:dyDescent="0.3">
      <c r="A96" s="132" t="s">
        <v>89</v>
      </c>
      <c r="B96" s="107" t="s">
        <v>90</v>
      </c>
      <c r="C96" s="133">
        <v>1395</v>
      </c>
      <c r="D96" s="134">
        <v>1431</v>
      </c>
      <c r="E96" s="133">
        <v>1635</v>
      </c>
      <c r="F96" s="135">
        <v>1900</v>
      </c>
      <c r="G96" s="135">
        <v>10620</v>
      </c>
      <c r="H96" s="135">
        <f>13300-2000</f>
        <v>11300</v>
      </c>
      <c r="I96" s="135">
        <v>11300</v>
      </c>
      <c r="J96" s="135">
        <v>7300</v>
      </c>
      <c r="K96" s="1"/>
    </row>
    <row r="97" spans="1:11" ht="15.75" thickBot="1" x14ac:dyDescent="0.3">
      <c r="A97" s="130" t="s">
        <v>91</v>
      </c>
      <c r="B97" s="131"/>
      <c r="C97" s="111">
        <f t="shared" ref="C97:J97" si="22">SUM(C98:C99)</f>
        <v>9689</v>
      </c>
      <c r="D97" s="112">
        <f t="shared" si="22"/>
        <v>8988</v>
      </c>
      <c r="E97" s="111">
        <f t="shared" si="22"/>
        <v>11263</v>
      </c>
      <c r="F97" s="113">
        <f t="shared" ref="F97" si="23">SUM(F98:F99)</f>
        <v>15780</v>
      </c>
      <c r="G97" s="113">
        <f t="shared" si="22"/>
        <v>16150</v>
      </c>
      <c r="H97" s="113">
        <f t="shared" si="22"/>
        <v>15200</v>
      </c>
      <c r="I97" s="113">
        <f t="shared" ref="I97" si="24">SUM(I98:I99)</f>
        <v>15000</v>
      </c>
      <c r="J97" s="113">
        <f t="shared" si="22"/>
        <v>15000</v>
      </c>
      <c r="K97" s="1"/>
    </row>
    <row r="98" spans="1:11" x14ac:dyDescent="0.25">
      <c r="A98" s="136" t="s">
        <v>92</v>
      </c>
      <c r="B98" s="137" t="s">
        <v>93</v>
      </c>
      <c r="C98" s="138">
        <v>8907</v>
      </c>
      <c r="D98" s="139">
        <v>8297</v>
      </c>
      <c r="E98" s="138">
        <v>10063</v>
      </c>
      <c r="F98" s="140">
        <v>12850</v>
      </c>
      <c r="G98" s="140">
        <v>14250</v>
      </c>
      <c r="H98" s="140">
        <v>13600</v>
      </c>
      <c r="I98" s="140">
        <v>13400</v>
      </c>
      <c r="J98" s="140">
        <v>13400</v>
      </c>
      <c r="K98" s="1"/>
    </row>
    <row r="99" spans="1:11" ht="15.75" thickBot="1" x14ac:dyDescent="0.3">
      <c r="A99" s="141" t="s">
        <v>94</v>
      </c>
      <c r="B99" s="142" t="s">
        <v>95</v>
      </c>
      <c r="C99" s="143">
        <v>782</v>
      </c>
      <c r="D99" s="144">
        <v>691</v>
      </c>
      <c r="E99" s="143">
        <v>1200</v>
      </c>
      <c r="F99" s="129">
        <v>2930</v>
      </c>
      <c r="G99" s="129">
        <v>1900</v>
      </c>
      <c r="H99" s="129">
        <v>1600</v>
      </c>
      <c r="I99" s="129">
        <v>1600</v>
      </c>
      <c r="J99" s="129">
        <v>1600</v>
      </c>
      <c r="K99" s="1"/>
    </row>
    <row r="100" spans="1:11" ht="15.75" thickBot="1" x14ac:dyDescent="0.3">
      <c r="A100" s="109" t="s">
        <v>96</v>
      </c>
      <c r="B100" s="145"/>
      <c r="C100" s="111">
        <f t="shared" ref="C100:J100" si="25">SUM(C101:C103)</f>
        <v>56288</v>
      </c>
      <c r="D100" s="112">
        <f t="shared" si="25"/>
        <v>63855</v>
      </c>
      <c r="E100" s="111">
        <f t="shared" si="25"/>
        <v>56565</v>
      </c>
      <c r="F100" s="113">
        <f t="shared" si="25"/>
        <v>88050</v>
      </c>
      <c r="G100" s="113">
        <f t="shared" si="25"/>
        <v>100206</v>
      </c>
      <c r="H100" s="113">
        <f t="shared" si="25"/>
        <v>95600</v>
      </c>
      <c r="I100" s="113">
        <f t="shared" si="25"/>
        <v>93700</v>
      </c>
      <c r="J100" s="113">
        <f t="shared" si="25"/>
        <v>93700</v>
      </c>
      <c r="K100" s="1"/>
    </row>
    <row r="101" spans="1:11" x14ac:dyDescent="0.25">
      <c r="A101" s="146" t="s">
        <v>97</v>
      </c>
      <c r="B101" s="147" t="s">
        <v>98</v>
      </c>
      <c r="C101" s="54">
        <v>19779</v>
      </c>
      <c r="D101" s="148">
        <v>23803</v>
      </c>
      <c r="E101" s="149">
        <v>22533</v>
      </c>
      <c r="F101" s="55">
        <v>23000</v>
      </c>
      <c r="G101" s="55">
        <v>21720</v>
      </c>
      <c r="H101" s="55">
        <f>26800-700</f>
        <v>26100</v>
      </c>
      <c r="I101" s="55">
        <f>26900-700</f>
        <v>26200</v>
      </c>
      <c r="J101" s="55">
        <f>26900-700</f>
        <v>26200</v>
      </c>
      <c r="K101" s="1"/>
    </row>
    <row r="102" spans="1:11" x14ac:dyDescent="0.25">
      <c r="A102" s="122" t="s">
        <v>99</v>
      </c>
      <c r="B102" s="119" t="s">
        <v>100</v>
      </c>
      <c r="C102" s="62">
        <v>17838</v>
      </c>
      <c r="D102" s="150">
        <v>18459</v>
      </c>
      <c r="E102" s="151">
        <v>23593</v>
      </c>
      <c r="F102" s="60">
        <v>30650</v>
      </c>
      <c r="G102" s="60">
        <v>36870</v>
      </c>
      <c r="H102" s="60">
        <f>35000-3000+2000</f>
        <v>34000</v>
      </c>
      <c r="I102" s="60">
        <f t="shared" ref="I102:J102" si="26">35000-3000</f>
        <v>32000</v>
      </c>
      <c r="J102" s="60">
        <f t="shared" si="26"/>
        <v>32000</v>
      </c>
      <c r="K102" s="1"/>
    </row>
    <row r="103" spans="1:11" ht="15.75" thickBot="1" x14ac:dyDescent="0.3">
      <c r="A103" s="122" t="s">
        <v>101</v>
      </c>
      <c r="B103" s="119" t="s">
        <v>102</v>
      </c>
      <c r="C103" s="59">
        <v>18671</v>
      </c>
      <c r="D103" s="152">
        <v>21593</v>
      </c>
      <c r="E103" s="153">
        <v>10439</v>
      </c>
      <c r="F103" s="60">
        <f>41000-12000+5400</f>
        <v>34400</v>
      </c>
      <c r="G103" s="60">
        <v>41616</v>
      </c>
      <c r="H103" s="60">
        <f>17000+20000-1500</f>
        <v>35500</v>
      </c>
      <c r="I103" s="60">
        <f t="shared" ref="I103:J103" si="27">17000+20000-1500</f>
        <v>35500</v>
      </c>
      <c r="J103" s="60">
        <f t="shared" si="27"/>
        <v>35500</v>
      </c>
      <c r="K103" s="1"/>
    </row>
    <row r="104" spans="1:11" ht="15.75" thickBot="1" x14ac:dyDescent="0.3">
      <c r="A104" s="509" t="s">
        <v>103</v>
      </c>
      <c r="B104" s="510"/>
      <c r="C104" s="111">
        <f t="shared" ref="C104:J104" si="28">SUM(C105:C108)</f>
        <v>78137</v>
      </c>
      <c r="D104" s="112">
        <f t="shared" si="28"/>
        <v>81463</v>
      </c>
      <c r="E104" s="111">
        <f t="shared" si="28"/>
        <v>90857</v>
      </c>
      <c r="F104" s="113">
        <f t="shared" ref="F104" si="29">SUM(F105:F108)</f>
        <v>120600</v>
      </c>
      <c r="G104" s="113">
        <f t="shared" si="28"/>
        <v>121914</v>
      </c>
      <c r="H104" s="113">
        <f t="shared" si="28"/>
        <v>118000</v>
      </c>
      <c r="I104" s="113">
        <f t="shared" ref="I104" si="30">SUM(I105:I108)</f>
        <v>113300</v>
      </c>
      <c r="J104" s="113">
        <f t="shared" si="28"/>
        <v>121200</v>
      </c>
      <c r="K104" s="1"/>
    </row>
    <row r="105" spans="1:11" x14ac:dyDescent="0.25">
      <c r="A105" s="154" t="s">
        <v>104</v>
      </c>
      <c r="B105" s="155" t="s">
        <v>105</v>
      </c>
      <c r="C105" s="156">
        <v>41225</v>
      </c>
      <c r="D105" s="157">
        <v>46871</v>
      </c>
      <c r="E105" s="158">
        <v>55351</v>
      </c>
      <c r="F105" s="140">
        <v>75300</v>
      </c>
      <c r="G105" s="140">
        <v>77840</v>
      </c>
      <c r="H105" s="140">
        <v>76900</v>
      </c>
      <c r="I105" s="140">
        <v>75500</v>
      </c>
      <c r="J105" s="140">
        <v>81900</v>
      </c>
      <c r="K105" s="1"/>
    </row>
    <row r="106" spans="1:11" x14ac:dyDescent="0.25">
      <c r="A106" s="122" t="s">
        <v>106</v>
      </c>
      <c r="B106" s="119" t="s">
        <v>107</v>
      </c>
      <c r="C106" s="159">
        <v>33622</v>
      </c>
      <c r="D106" s="150">
        <v>29509</v>
      </c>
      <c r="E106" s="151">
        <v>30304</v>
      </c>
      <c r="F106" s="153">
        <v>34000</v>
      </c>
      <c r="G106" s="153">
        <v>34500</v>
      </c>
      <c r="H106" s="153">
        <v>32500</v>
      </c>
      <c r="I106" s="153">
        <v>29500</v>
      </c>
      <c r="J106" s="153">
        <v>31000</v>
      </c>
      <c r="K106" s="1"/>
    </row>
    <row r="107" spans="1:11" x14ac:dyDescent="0.25">
      <c r="A107" s="132" t="s">
        <v>108</v>
      </c>
      <c r="B107" s="160" t="s">
        <v>109</v>
      </c>
      <c r="C107" s="161">
        <v>746</v>
      </c>
      <c r="D107" s="162">
        <v>1245</v>
      </c>
      <c r="E107" s="163">
        <v>1073</v>
      </c>
      <c r="F107" s="164">
        <v>1600</v>
      </c>
      <c r="G107" s="164">
        <v>1600</v>
      </c>
      <c r="H107" s="164">
        <v>1500</v>
      </c>
      <c r="I107" s="164">
        <v>1500</v>
      </c>
      <c r="J107" s="164">
        <v>1500</v>
      </c>
      <c r="K107" s="1"/>
    </row>
    <row r="108" spans="1:11" ht="15.75" thickBot="1" x14ac:dyDescent="0.3">
      <c r="A108" s="165" t="s">
        <v>110</v>
      </c>
      <c r="B108" s="166" t="s">
        <v>111</v>
      </c>
      <c r="C108" s="167">
        <v>2544</v>
      </c>
      <c r="D108" s="168">
        <v>3838</v>
      </c>
      <c r="E108" s="169">
        <v>4129</v>
      </c>
      <c r="F108" s="169">
        <v>9700</v>
      </c>
      <c r="G108" s="169">
        <v>7974</v>
      </c>
      <c r="H108" s="169">
        <v>7100</v>
      </c>
      <c r="I108" s="169">
        <v>6800</v>
      </c>
      <c r="J108" s="169">
        <v>6800</v>
      </c>
      <c r="K108" s="1"/>
    </row>
    <row r="109" spans="1:11" ht="15.75" thickBot="1" x14ac:dyDescent="0.3">
      <c r="A109" s="109" t="s">
        <v>112</v>
      </c>
      <c r="B109" s="145"/>
      <c r="C109" s="111">
        <f t="shared" ref="C109:J109" si="31">SUM(C110:C112)</f>
        <v>107398</v>
      </c>
      <c r="D109" s="112">
        <f t="shared" si="31"/>
        <v>124762</v>
      </c>
      <c r="E109" s="111">
        <f t="shared" si="31"/>
        <v>130822</v>
      </c>
      <c r="F109" s="111">
        <f t="shared" si="31"/>
        <v>160500</v>
      </c>
      <c r="G109" s="111">
        <f t="shared" si="31"/>
        <v>179690</v>
      </c>
      <c r="H109" s="111">
        <f t="shared" si="31"/>
        <v>168579</v>
      </c>
      <c r="I109" s="111">
        <f t="shared" ref="I109" si="32">SUM(I110:I112)</f>
        <v>158864</v>
      </c>
      <c r="J109" s="111">
        <f t="shared" si="31"/>
        <v>158974</v>
      </c>
      <c r="K109" s="1"/>
    </row>
    <row r="110" spans="1:11" x14ac:dyDescent="0.25">
      <c r="A110" s="146" t="s">
        <v>113</v>
      </c>
      <c r="B110" s="86" t="s">
        <v>114</v>
      </c>
      <c r="C110" s="115">
        <v>78470</v>
      </c>
      <c r="D110" s="116">
        <v>88196</v>
      </c>
      <c r="E110" s="170">
        <v>96103</v>
      </c>
      <c r="F110" s="117">
        <v>120000</v>
      </c>
      <c r="G110" s="117">
        <v>132440</v>
      </c>
      <c r="H110" s="117">
        <f>139479-10000</f>
        <v>129479</v>
      </c>
      <c r="I110" s="117">
        <v>120064</v>
      </c>
      <c r="J110" s="117">
        <f>120174</f>
        <v>120174</v>
      </c>
      <c r="K110" s="1"/>
    </row>
    <row r="111" spans="1:11" x14ac:dyDescent="0.25">
      <c r="A111" s="171" t="s">
        <v>115</v>
      </c>
      <c r="B111" s="119" t="s">
        <v>116</v>
      </c>
      <c r="C111" s="62">
        <v>18042</v>
      </c>
      <c r="D111" s="150">
        <v>16953</v>
      </c>
      <c r="E111" s="151">
        <v>17218</v>
      </c>
      <c r="F111" s="153">
        <v>19200</v>
      </c>
      <c r="G111" s="153">
        <v>26800</v>
      </c>
      <c r="H111" s="153">
        <f>20500+300+300</f>
        <v>21100</v>
      </c>
      <c r="I111" s="153">
        <f t="shared" ref="I111:J111" si="33">20500+300</f>
        <v>20800</v>
      </c>
      <c r="J111" s="153">
        <f t="shared" si="33"/>
        <v>20800</v>
      </c>
      <c r="K111" s="1"/>
    </row>
    <row r="112" spans="1:11" ht="15.75" thickBot="1" x14ac:dyDescent="0.3">
      <c r="A112" s="172" t="s">
        <v>117</v>
      </c>
      <c r="B112" s="166" t="s">
        <v>118</v>
      </c>
      <c r="C112" s="173">
        <v>10886</v>
      </c>
      <c r="D112" s="174">
        <v>19613</v>
      </c>
      <c r="E112" s="175">
        <v>17501</v>
      </c>
      <c r="F112" s="175">
        <v>21300</v>
      </c>
      <c r="G112" s="175">
        <v>20450</v>
      </c>
      <c r="H112" s="175">
        <v>18000</v>
      </c>
      <c r="I112" s="175">
        <v>18000</v>
      </c>
      <c r="J112" s="175">
        <v>18000</v>
      </c>
      <c r="K112" s="1"/>
    </row>
    <row r="113" spans="1:11" ht="15.75" thickBot="1" x14ac:dyDescent="0.3">
      <c r="A113" s="176" t="s">
        <v>119</v>
      </c>
      <c r="B113" s="177"/>
      <c r="C113" s="178">
        <f t="shared" ref="C113:H113" si="34">SUM(C114:C117)</f>
        <v>462</v>
      </c>
      <c r="D113" s="179">
        <f t="shared" si="34"/>
        <v>115</v>
      </c>
      <c r="E113" s="178">
        <f t="shared" si="34"/>
        <v>855</v>
      </c>
      <c r="F113" s="178">
        <f t="shared" ref="F113" si="35">SUM(F114:F117)</f>
        <v>760</v>
      </c>
      <c r="G113" s="178">
        <f t="shared" si="34"/>
        <v>460</v>
      </c>
      <c r="H113" s="178">
        <f t="shared" si="34"/>
        <v>630</v>
      </c>
      <c r="I113" s="178">
        <f t="shared" ref="I113:J113" si="36">SUM(I114:I117)</f>
        <v>560</v>
      </c>
      <c r="J113" s="178">
        <f t="shared" si="36"/>
        <v>560</v>
      </c>
      <c r="K113" s="1"/>
    </row>
    <row r="114" spans="1:11" x14ac:dyDescent="0.25">
      <c r="A114" s="136" t="s">
        <v>120</v>
      </c>
      <c r="B114" s="155" t="s">
        <v>121</v>
      </c>
      <c r="C114" s="180">
        <v>50</v>
      </c>
      <c r="D114" s="181">
        <v>0</v>
      </c>
      <c r="E114" s="158">
        <v>40</v>
      </c>
      <c r="F114" s="182">
        <v>50</v>
      </c>
      <c r="G114" s="182">
        <v>50</v>
      </c>
      <c r="H114" s="182">
        <v>50</v>
      </c>
      <c r="I114" s="182">
        <v>50</v>
      </c>
      <c r="J114" s="182">
        <v>50</v>
      </c>
      <c r="K114" s="1"/>
    </row>
    <row r="115" spans="1:11" x14ac:dyDescent="0.25">
      <c r="A115" s="171" t="s">
        <v>122</v>
      </c>
      <c r="B115" s="119" t="s">
        <v>123</v>
      </c>
      <c r="C115" s="62">
        <v>84</v>
      </c>
      <c r="D115" s="183">
        <v>3</v>
      </c>
      <c r="E115" s="184">
        <v>28</v>
      </c>
      <c r="F115" s="185">
        <v>150</v>
      </c>
      <c r="G115" s="185">
        <v>150</v>
      </c>
      <c r="H115" s="185">
        <v>50</v>
      </c>
      <c r="I115" s="185">
        <v>50</v>
      </c>
      <c r="J115" s="185">
        <v>50</v>
      </c>
      <c r="K115" s="1"/>
    </row>
    <row r="116" spans="1:11" ht="15.75" thickBot="1" x14ac:dyDescent="0.3">
      <c r="A116" s="172" t="s">
        <v>124</v>
      </c>
      <c r="B116" s="166" t="s">
        <v>125</v>
      </c>
      <c r="C116" s="186">
        <v>328</v>
      </c>
      <c r="D116" s="187">
        <v>112</v>
      </c>
      <c r="E116" s="169">
        <v>487</v>
      </c>
      <c r="F116" s="188">
        <v>260</v>
      </c>
      <c r="G116" s="188">
        <v>260</v>
      </c>
      <c r="H116" s="188">
        <f>330+200</f>
        <v>530</v>
      </c>
      <c r="I116" s="188">
        <f>300+160</f>
        <v>460</v>
      </c>
      <c r="J116" s="188">
        <f>300+160</f>
        <v>460</v>
      </c>
      <c r="K116" s="1"/>
    </row>
    <row r="117" spans="1:11" ht="15.75" thickBot="1" x14ac:dyDescent="0.3">
      <c r="A117" s="189" t="s">
        <v>126</v>
      </c>
      <c r="B117" s="190" t="s">
        <v>127</v>
      </c>
      <c r="C117" s="191">
        <v>0</v>
      </c>
      <c r="D117" s="192">
        <v>0</v>
      </c>
      <c r="E117" s="128">
        <v>300</v>
      </c>
      <c r="F117" s="193">
        <v>300</v>
      </c>
      <c r="G117" s="193">
        <v>0</v>
      </c>
      <c r="H117" s="193">
        <v>0</v>
      </c>
      <c r="I117" s="193">
        <v>0</v>
      </c>
      <c r="J117" s="193">
        <v>0</v>
      </c>
      <c r="K117" s="1"/>
    </row>
    <row r="118" spans="1:11" ht="15.75" thickBot="1" x14ac:dyDescent="0.3">
      <c r="A118" s="194" t="s">
        <v>128</v>
      </c>
      <c r="B118" s="195"/>
      <c r="C118" s="196">
        <f t="shared" ref="C118:J118" si="37">SUM(C119:C123)</f>
        <v>113224</v>
      </c>
      <c r="D118" s="197">
        <f t="shared" si="37"/>
        <v>129064</v>
      </c>
      <c r="E118" s="196">
        <f t="shared" si="37"/>
        <v>134379</v>
      </c>
      <c r="F118" s="196">
        <f t="shared" si="37"/>
        <v>162730</v>
      </c>
      <c r="G118" s="196">
        <f t="shared" si="37"/>
        <v>124190</v>
      </c>
      <c r="H118" s="196">
        <f t="shared" si="37"/>
        <v>103440</v>
      </c>
      <c r="I118" s="196">
        <f t="shared" ref="I118" si="38">SUM(I119:I123)</f>
        <v>107440</v>
      </c>
      <c r="J118" s="196">
        <f t="shared" si="37"/>
        <v>110440</v>
      </c>
      <c r="K118" s="1"/>
    </row>
    <row r="119" spans="1:11" x14ac:dyDescent="0.25">
      <c r="A119" s="154" t="s">
        <v>129</v>
      </c>
      <c r="B119" s="155" t="s">
        <v>130</v>
      </c>
      <c r="C119" s="180">
        <v>14818</v>
      </c>
      <c r="D119" s="157">
        <v>21592</v>
      </c>
      <c r="E119" s="138">
        <v>16936</v>
      </c>
      <c r="F119" s="140">
        <v>21000</v>
      </c>
      <c r="G119" s="140">
        <v>11600</v>
      </c>
      <c r="H119" s="140">
        <f>19700-5000</f>
        <v>14700</v>
      </c>
      <c r="I119" s="140">
        <f t="shared" ref="I119:J119" si="39">19700-5000</f>
        <v>14700</v>
      </c>
      <c r="J119" s="140">
        <f t="shared" si="39"/>
        <v>14700</v>
      </c>
      <c r="K119" s="1"/>
    </row>
    <row r="120" spans="1:11" x14ac:dyDescent="0.25">
      <c r="A120" s="198" t="s">
        <v>131</v>
      </c>
      <c r="B120" s="199" t="s">
        <v>132</v>
      </c>
      <c r="C120" s="54">
        <v>77935</v>
      </c>
      <c r="D120" s="200">
        <v>86797</v>
      </c>
      <c r="E120" s="149">
        <v>80713</v>
      </c>
      <c r="F120" s="55">
        <v>98350</v>
      </c>
      <c r="G120" s="55">
        <v>29030</v>
      </c>
      <c r="H120" s="55">
        <f>23300+1000+1000+10000+5000+1500+15000</f>
        <v>56800</v>
      </c>
      <c r="I120" s="55">
        <f>74300-3000</f>
        <v>71300</v>
      </c>
      <c r="J120" s="55">
        <v>74300</v>
      </c>
      <c r="K120" s="1"/>
    </row>
    <row r="121" spans="1:11" x14ac:dyDescent="0.25">
      <c r="A121" s="198" t="s">
        <v>133</v>
      </c>
      <c r="B121" s="86" t="s">
        <v>134</v>
      </c>
      <c r="C121" s="115">
        <v>3135</v>
      </c>
      <c r="D121" s="201">
        <v>2921</v>
      </c>
      <c r="E121" s="149">
        <v>3189</v>
      </c>
      <c r="F121" s="55">
        <v>4000</v>
      </c>
      <c r="G121" s="55">
        <v>9800</v>
      </c>
      <c r="H121" s="55">
        <f>3800+500+240</f>
        <v>4540</v>
      </c>
      <c r="I121" s="55">
        <f>3800+240</f>
        <v>4040</v>
      </c>
      <c r="J121" s="55">
        <f>3800+240</f>
        <v>4040</v>
      </c>
      <c r="K121" s="1"/>
    </row>
    <row r="122" spans="1:11" x14ac:dyDescent="0.25">
      <c r="A122" s="198" t="s">
        <v>135</v>
      </c>
      <c r="B122" s="86" t="s">
        <v>136</v>
      </c>
      <c r="C122" s="115">
        <v>8294</v>
      </c>
      <c r="D122" s="201">
        <v>9794</v>
      </c>
      <c r="E122" s="149">
        <v>11638</v>
      </c>
      <c r="F122" s="55">
        <v>15380</v>
      </c>
      <c r="G122" s="55">
        <v>51230</v>
      </c>
      <c r="H122" s="55">
        <f>27500-8000+2000+500</f>
        <v>22000</v>
      </c>
      <c r="I122" s="55">
        <f>12900+500</f>
        <v>13400</v>
      </c>
      <c r="J122" s="55">
        <f>12900+500</f>
        <v>13400</v>
      </c>
      <c r="K122" s="1"/>
    </row>
    <row r="123" spans="1:11" ht="15.75" thickBot="1" x14ac:dyDescent="0.3">
      <c r="A123" s="165" t="s">
        <v>137</v>
      </c>
      <c r="B123" s="166" t="s">
        <v>138</v>
      </c>
      <c r="C123" s="186">
        <v>9042</v>
      </c>
      <c r="D123" s="168">
        <v>7960</v>
      </c>
      <c r="E123" s="175">
        <v>21903</v>
      </c>
      <c r="F123" s="188">
        <v>24000</v>
      </c>
      <c r="G123" s="188">
        <v>22530</v>
      </c>
      <c r="H123" s="188">
        <f>8400-3000</f>
        <v>5400</v>
      </c>
      <c r="I123" s="188">
        <f>7000-3000</f>
        <v>4000</v>
      </c>
      <c r="J123" s="188">
        <f>7000-3000</f>
        <v>4000</v>
      </c>
      <c r="K123" s="1"/>
    </row>
    <row r="124" spans="1:11" ht="15.75" thickBot="1" x14ac:dyDescent="0.3">
      <c r="A124" s="130" t="s">
        <v>139</v>
      </c>
      <c r="B124" s="131"/>
      <c r="C124" s="111">
        <f t="shared" ref="C124:J124" si="40">SUM(C125:C133)</f>
        <v>308051</v>
      </c>
      <c r="D124" s="112">
        <f t="shared" si="40"/>
        <v>238428</v>
      </c>
      <c r="E124" s="111">
        <f t="shared" si="40"/>
        <v>295704</v>
      </c>
      <c r="F124" s="113">
        <f t="shared" ref="F124" si="41">SUM(F125:F133)</f>
        <v>372520</v>
      </c>
      <c r="G124" s="113">
        <f t="shared" si="40"/>
        <v>403065</v>
      </c>
      <c r="H124" s="113">
        <f t="shared" si="40"/>
        <v>366640</v>
      </c>
      <c r="I124" s="113">
        <f t="shared" ref="I124" si="42">SUM(I125:I133)</f>
        <v>366640</v>
      </c>
      <c r="J124" s="113">
        <f t="shared" si="40"/>
        <v>371440</v>
      </c>
      <c r="K124" s="1"/>
    </row>
    <row r="125" spans="1:11" x14ac:dyDescent="0.25">
      <c r="A125" s="202" t="s">
        <v>140</v>
      </c>
      <c r="B125" s="203" t="s">
        <v>141</v>
      </c>
      <c r="C125" s="204">
        <v>104500</v>
      </c>
      <c r="D125" s="205">
        <v>108303</v>
      </c>
      <c r="E125" s="206">
        <v>140876</v>
      </c>
      <c r="F125" s="207">
        <v>162300</v>
      </c>
      <c r="G125" s="207">
        <v>164585</v>
      </c>
      <c r="H125" s="207">
        <v>161600</v>
      </c>
      <c r="I125" s="207">
        <v>162600</v>
      </c>
      <c r="J125" s="207">
        <v>167400</v>
      </c>
      <c r="K125" s="1"/>
    </row>
    <row r="126" spans="1:11" x14ac:dyDescent="0.25">
      <c r="A126" s="208" t="s">
        <v>142</v>
      </c>
      <c r="B126" s="147" t="s">
        <v>143</v>
      </c>
      <c r="C126" s="209">
        <v>0</v>
      </c>
      <c r="D126" s="210">
        <v>0</v>
      </c>
      <c r="E126" s="117">
        <v>885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1"/>
    </row>
    <row r="127" spans="1:11" x14ac:dyDescent="0.25">
      <c r="A127" s="208" t="s">
        <v>144</v>
      </c>
      <c r="B127" s="147" t="s">
        <v>145</v>
      </c>
      <c r="C127" s="209">
        <v>0</v>
      </c>
      <c r="D127" s="210">
        <v>0</v>
      </c>
      <c r="E127" s="117">
        <v>885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1"/>
    </row>
    <row r="128" spans="1:11" x14ac:dyDescent="0.25">
      <c r="A128" s="211" t="s">
        <v>146</v>
      </c>
      <c r="B128" s="212" t="s">
        <v>147</v>
      </c>
      <c r="C128" s="59">
        <v>119829</v>
      </c>
      <c r="D128" s="152">
        <v>1639</v>
      </c>
      <c r="E128" s="121">
        <v>2223</v>
      </c>
      <c r="F128" s="61">
        <v>3000</v>
      </c>
      <c r="G128" s="61">
        <v>2000</v>
      </c>
      <c r="H128" s="61">
        <v>1700</v>
      </c>
      <c r="I128" s="61">
        <v>1700</v>
      </c>
      <c r="J128" s="61">
        <v>1700</v>
      </c>
      <c r="K128" s="1"/>
    </row>
    <row r="129" spans="1:16" x14ac:dyDescent="0.25">
      <c r="A129" s="211" t="s">
        <v>148</v>
      </c>
      <c r="B129" s="212" t="s">
        <v>149</v>
      </c>
      <c r="C129" s="59">
        <v>10957</v>
      </c>
      <c r="D129" s="152">
        <v>20690</v>
      </c>
      <c r="E129" s="121">
        <v>26156</v>
      </c>
      <c r="F129" s="61">
        <v>28200</v>
      </c>
      <c r="G129" s="61">
        <v>40920</v>
      </c>
      <c r="H129" s="61">
        <v>31230</v>
      </c>
      <c r="I129" s="61">
        <v>31230</v>
      </c>
      <c r="J129" s="61">
        <v>31230</v>
      </c>
      <c r="K129" s="1"/>
    </row>
    <row r="130" spans="1:16" x14ac:dyDescent="0.25">
      <c r="A130" s="211" t="s">
        <v>150</v>
      </c>
      <c r="B130" s="212" t="s">
        <v>151</v>
      </c>
      <c r="C130" s="59">
        <v>16441</v>
      </c>
      <c r="D130" s="152">
        <v>31538</v>
      </c>
      <c r="E130" s="153">
        <v>34790</v>
      </c>
      <c r="F130" s="60">
        <v>34000</v>
      </c>
      <c r="G130" s="60">
        <v>42620</v>
      </c>
      <c r="H130" s="60">
        <v>32210</v>
      </c>
      <c r="I130" s="60">
        <v>32210</v>
      </c>
      <c r="J130" s="60">
        <v>32210</v>
      </c>
      <c r="K130" s="1"/>
    </row>
    <row r="131" spans="1:16" x14ac:dyDescent="0.25">
      <c r="A131" s="211" t="s">
        <v>152</v>
      </c>
      <c r="B131" s="212" t="s">
        <v>276</v>
      </c>
      <c r="C131" s="59">
        <v>16441</v>
      </c>
      <c r="D131" s="152">
        <v>31538</v>
      </c>
      <c r="E131" s="153">
        <v>41280</v>
      </c>
      <c r="F131" s="60">
        <v>130820</v>
      </c>
      <c r="G131" s="60">
        <v>138740</v>
      </c>
      <c r="H131" s="60">
        <v>125450</v>
      </c>
      <c r="I131" s="60">
        <v>124450</v>
      </c>
      <c r="J131" s="60">
        <v>124450</v>
      </c>
      <c r="K131" s="27">
        <f>SUM(H129:H131)</f>
        <v>188890</v>
      </c>
    </row>
    <row r="132" spans="1:16" x14ac:dyDescent="0.25">
      <c r="A132" s="213" t="s">
        <v>153</v>
      </c>
      <c r="B132" s="212" t="s">
        <v>277</v>
      </c>
      <c r="C132" s="214">
        <v>37289</v>
      </c>
      <c r="D132" s="215">
        <v>42027</v>
      </c>
      <c r="E132" s="216">
        <v>45408</v>
      </c>
      <c r="F132" s="217">
        <v>10500</v>
      </c>
      <c r="G132" s="217">
        <v>10500</v>
      </c>
      <c r="H132" s="217">
        <f>16000-5500</f>
        <v>10500</v>
      </c>
      <c r="I132" s="217">
        <f>16000-5500</f>
        <v>10500</v>
      </c>
      <c r="J132" s="217">
        <f>16000-5500</f>
        <v>10500</v>
      </c>
      <c r="K132" s="1"/>
    </row>
    <row r="133" spans="1:16" ht="15.75" thickBot="1" x14ac:dyDescent="0.3">
      <c r="A133" s="211" t="s">
        <v>154</v>
      </c>
      <c r="B133" s="212" t="s">
        <v>155</v>
      </c>
      <c r="C133" s="214">
        <v>2594</v>
      </c>
      <c r="D133" s="215">
        <v>2693</v>
      </c>
      <c r="E133" s="216">
        <v>3201</v>
      </c>
      <c r="F133" s="217">
        <v>3700</v>
      </c>
      <c r="G133" s="217">
        <v>3700</v>
      </c>
      <c r="H133" s="217">
        <v>3950</v>
      </c>
      <c r="I133" s="217">
        <v>3950</v>
      </c>
      <c r="J133" s="217">
        <v>3950</v>
      </c>
      <c r="K133" s="1"/>
    </row>
    <row r="134" spans="1:16" ht="15.75" thickBot="1" x14ac:dyDescent="0.3">
      <c r="A134" s="109" t="s">
        <v>156</v>
      </c>
      <c r="B134" s="110"/>
      <c r="C134" s="111">
        <f t="shared" ref="C134:J134" si="43">SUM(C135:C139)</f>
        <v>144398</v>
      </c>
      <c r="D134" s="112">
        <f t="shared" si="43"/>
        <v>164319</v>
      </c>
      <c r="E134" s="111">
        <f t="shared" si="43"/>
        <v>208490</v>
      </c>
      <c r="F134" s="113">
        <f t="shared" ref="F134" si="44">SUM(F135:F139)</f>
        <v>274200</v>
      </c>
      <c r="G134" s="113">
        <f t="shared" si="43"/>
        <v>311350</v>
      </c>
      <c r="H134" s="113">
        <f t="shared" si="43"/>
        <v>264480</v>
      </c>
      <c r="I134" s="113">
        <f t="shared" ref="I134" si="45">SUM(I135:I139)</f>
        <v>263520</v>
      </c>
      <c r="J134" s="113">
        <f t="shared" si="43"/>
        <v>263520</v>
      </c>
      <c r="K134" s="1"/>
    </row>
    <row r="135" spans="1:16" x14ac:dyDescent="0.25">
      <c r="A135" s="198" t="s">
        <v>157</v>
      </c>
      <c r="B135" s="86" t="s">
        <v>312</v>
      </c>
      <c r="C135" s="115">
        <v>110782</v>
      </c>
      <c r="D135" s="201">
        <v>133003</v>
      </c>
      <c r="E135" s="149">
        <v>192284</v>
      </c>
      <c r="F135" s="55">
        <v>253870</v>
      </c>
      <c r="G135" s="55">
        <v>291970</v>
      </c>
      <c r="H135" s="55">
        <f>264400-20540</f>
        <v>243860</v>
      </c>
      <c r="I135" s="55">
        <f>262900-20000</f>
        <v>242900</v>
      </c>
      <c r="J135" s="55">
        <f>262900-20000</f>
        <v>242900</v>
      </c>
      <c r="K135" s="1">
        <v>129100</v>
      </c>
      <c r="L135" s="471">
        <v>24400</v>
      </c>
      <c r="M135" s="471">
        <v>46400</v>
      </c>
      <c r="N135">
        <v>43660</v>
      </c>
      <c r="O135">
        <v>300</v>
      </c>
      <c r="P135">
        <f>SUM(K135:O135)</f>
        <v>243860</v>
      </c>
    </row>
    <row r="136" spans="1:16" x14ac:dyDescent="0.25">
      <c r="A136" s="198" t="s">
        <v>158</v>
      </c>
      <c r="B136" s="86" t="s">
        <v>159</v>
      </c>
      <c r="C136" s="115">
        <v>6436</v>
      </c>
      <c r="D136" s="201">
        <v>3638</v>
      </c>
      <c r="E136" s="149">
        <v>3241</v>
      </c>
      <c r="F136" s="55">
        <v>820</v>
      </c>
      <c r="G136" s="55">
        <v>870</v>
      </c>
      <c r="H136" s="55">
        <v>620</v>
      </c>
      <c r="I136" s="55">
        <v>620</v>
      </c>
      <c r="J136" s="55">
        <v>620</v>
      </c>
      <c r="K136" s="1">
        <v>95600</v>
      </c>
      <c r="L136" s="471">
        <v>24400</v>
      </c>
      <c r="M136" s="471">
        <v>60000</v>
      </c>
      <c r="N136">
        <v>62900</v>
      </c>
      <c r="O136">
        <v>0</v>
      </c>
      <c r="P136">
        <f>SUM(K136:O136)</f>
        <v>242900</v>
      </c>
    </row>
    <row r="137" spans="1:16" x14ac:dyDescent="0.25">
      <c r="A137" s="122" t="s">
        <v>160</v>
      </c>
      <c r="B137" s="119" t="s">
        <v>161</v>
      </c>
      <c r="C137" s="62">
        <v>27180</v>
      </c>
      <c r="D137" s="150">
        <v>27678</v>
      </c>
      <c r="E137" s="151">
        <v>12665</v>
      </c>
      <c r="F137" s="60">
        <v>18510</v>
      </c>
      <c r="G137" s="60">
        <v>18010</v>
      </c>
      <c r="H137" s="60">
        <v>19000</v>
      </c>
      <c r="I137" s="60">
        <v>19000</v>
      </c>
      <c r="J137" s="60">
        <v>19000</v>
      </c>
      <c r="K137" s="1"/>
      <c r="P137">
        <f>242400-242900</f>
        <v>-500</v>
      </c>
    </row>
    <row r="138" spans="1:16" x14ac:dyDescent="0.25">
      <c r="A138" s="122" t="s">
        <v>162</v>
      </c>
      <c r="B138" s="119" t="s">
        <v>163</v>
      </c>
      <c r="C138" s="62">
        <v>0</v>
      </c>
      <c r="D138" s="150">
        <v>0</v>
      </c>
      <c r="E138" s="151">
        <v>0</v>
      </c>
      <c r="F138" s="60">
        <v>500</v>
      </c>
      <c r="G138" s="60">
        <v>500</v>
      </c>
      <c r="H138" s="60">
        <v>500</v>
      </c>
      <c r="I138" s="60">
        <v>500</v>
      </c>
      <c r="J138" s="60">
        <v>500</v>
      </c>
      <c r="K138" s="1"/>
    </row>
    <row r="139" spans="1:16" ht="15.75" thickBot="1" x14ac:dyDescent="0.3">
      <c r="A139" s="165" t="s">
        <v>164</v>
      </c>
      <c r="B139" s="166" t="s">
        <v>165</v>
      </c>
      <c r="C139" s="186">
        <v>0</v>
      </c>
      <c r="D139" s="168">
        <v>0</v>
      </c>
      <c r="E139" s="169">
        <v>300</v>
      </c>
      <c r="F139" s="188">
        <v>500</v>
      </c>
      <c r="G139" s="188">
        <v>0</v>
      </c>
      <c r="H139" s="188">
        <v>500</v>
      </c>
      <c r="I139" s="188">
        <v>500</v>
      </c>
      <c r="J139" s="188">
        <v>500</v>
      </c>
      <c r="K139" s="1"/>
    </row>
    <row r="140" spans="1:16" ht="16.5" thickBot="1" x14ac:dyDescent="0.3">
      <c r="A140" s="218" t="s">
        <v>166</v>
      </c>
      <c r="B140" s="177"/>
      <c r="C140" s="219">
        <f t="shared" ref="C140:J140" si="46">SUM(C89+C95+C97+C100+C104+C109+C113+C118+C124+C134)</f>
        <v>975419</v>
      </c>
      <c r="D140" s="220">
        <f t="shared" si="46"/>
        <v>987361</v>
      </c>
      <c r="E140" s="219">
        <f t="shared" si="46"/>
        <v>1162210</v>
      </c>
      <c r="F140" s="221">
        <f t="shared" si="46"/>
        <v>1489890</v>
      </c>
      <c r="G140" s="221">
        <f t="shared" si="46"/>
        <v>1531670</v>
      </c>
      <c r="H140" s="221">
        <f t="shared" si="46"/>
        <v>1408799</v>
      </c>
      <c r="I140" s="221">
        <f t="shared" si="46"/>
        <v>1391524</v>
      </c>
      <c r="J140" s="221">
        <f t="shared" si="46"/>
        <v>1392294</v>
      </c>
      <c r="K140" s="1"/>
    </row>
    <row r="141" spans="1:16" x14ac:dyDescent="0.25">
      <c r="A141" s="222" t="s">
        <v>167</v>
      </c>
      <c r="B141" s="223" t="s">
        <v>168</v>
      </c>
      <c r="C141" s="224">
        <f t="shared" ref="C141:J141" si="47">C75</f>
        <v>438144</v>
      </c>
      <c r="D141" s="225">
        <f t="shared" si="47"/>
        <v>446556</v>
      </c>
      <c r="E141" s="406">
        <f t="shared" si="47"/>
        <v>486612</v>
      </c>
      <c r="F141" s="224">
        <f t="shared" si="47"/>
        <v>516100</v>
      </c>
      <c r="G141" s="226">
        <f t="shared" si="47"/>
        <v>542747</v>
      </c>
      <c r="H141" s="226">
        <f t="shared" si="47"/>
        <v>556500</v>
      </c>
      <c r="I141" s="226">
        <f t="shared" si="47"/>
        <v>556500</v>
      </c>
      <c r="J141" s="226">
        <f t="shared" si="47"/>
        <v>556500</v>
      </c>
      <c r="K141" s="1"/>
    </row>
    <row r="142" spans="1:16" x14ac:dyDescent="0.25">
      <c r="A142" s="227" t="s">
        <v>167</v>
      </c>
      <c r="B142" s="228" t="s">
        <v>169</v>
      </c>
      <c r="C142" s="229">
        <f>C77</f>
        <v>5446</v>
      </c>
      <c r="D142" s="230">
        <f>D77+100</f>
        <v>7693</v>
      </c>
      <c r="E142" s="407">
        <f t="shared" ref="E142:J142" si="48">E77</f>
        <v>7551</v>
      </c>
      <c r="F142" s="229">
        <f t="shared" si="48"/>
        <v>3000</v>
      </c>
      <c r="G142" s="231">
        <f t="shared" si="48"/>
        <v>3000</v>
      </c>
      <c r="H142" s="231">
        <f t="shared" si="48"/>
        <v>1450</v>
      </c>
      <c r="I142" s="231">
        <f t="shared" si="48"/>
        <v>1450</v>
      </c>
      <c r="J142" s="231">
        <f t="shared" si="48"/>
        <v>1450</v>
      </c>
      <c r="K142" s="1"/>
    </row>
    <row r="143" spans="1:16" x14ac:dyDescent="0.25">
      <c r="A143" s="227" t="s">
        <v>167</v>
      </c>
      <c r="B143" s="228" t="s">
        <v>170</v>
      </c>
      <c r="C143" s="229">
        <v>0</v>
      </c>
      <c r="D143" s="230">
        <v>0</v>
      </c>
      <c r="E143" s="407">
        <v>50402</v>
      </c>
      <c r="F143" s="229">
        <v>56000</v>
      </c>
      <c r="G143" s="231">
        <f>G79</f>
        <v>56000</v>
      </c>
      <c r="H143" s="231">
        <f>H79</f>
        <v>27000</v>
      </c>
      <c r="I143" s="231">
        <f>I79</f>
        <v>0</v>
      </c>
      <c r="J143" s="231">
        <f>J79</f>
        <v>0</v>
      </c>
      <c r="K143" s="1"/>
    </row>
    <row r="144" spans="1:16" ht="15.75" thickBot="1" x14ac:dyDescent="0.3">
      <c r="A144" s="232" t="s">
        <v>167</v>
      </c>
      <c r="B144" s="233" t="s">
        <v>171</v>
      </c>
      <c r="C144" s="234">
        <v>0</v>
      </c>
      <c r="D144" s="235">
        <v>0</v>
      </c>
      <c r="E144" s="408">
        <v>2702</v>
      </c>
      <c r="F144" s="234">
        <v>2950</v>
      </c>
      <c r="G144" s="236">
        <v>3050</v>
      </c>
      <c r="H144" s="236">
        <v>250</v>
      </c>
      <c r="I144" s="236">
        <v>0</v>
      </c>
      <c r="J144" s="236">
        <v>0</v>
      </c>
      <c r="K144" s="27">
        <f>SUM(H141:H144)</f>
        <v>585200</v>
      </c>
      <c r="L144" s="27">
        <f t="shared" ref="L144:M144" si="49">SUM(I141:I144)</f>
        <v>557950</v>
      </c>
      <c r="M144" s="27">
        <f t="shared" si="49"/>
        <v>557950</v>
      </c>
    </row>
    <row r="145" spans="1:13" x14ac:dyDescent="0.25">
      <c r="A145" s="237" t="s">
        <v>146</v>
      </c>
      <c r="B145" s="238" t="s">
        <v>172</v>
      </c>
      <c r="C145" s="239">
        <v>19000</v>
      </c>
      <c r="D145" s="240">
        <f>22500-2500</f>
        <v>20000</v>
      </c>
      <c r="E145" s="409">
        <v>22500</v>
      </c>
      <c r="F145" s="239">
        <v>33500</v>
      </c>
      <c r="G145" s="241">
        <v>32600</v>
      </c>
      <c r="H145" s="241">
        <v>32600</v>
      </c>
      <c r="I145" s="241">
        <v>32600</v>
      </c>
      <c r="J145" s="241">
        <v>32600</v>
      </c>
      <c r="K145" s="27">
        <f>H141+H144+H145</f>
        <v>589350</v>
      </c>
      <c r="L145" s="27">
        <f t="shared" ref="L145:M145" si="50">I141+I144+I145</f>
        <v>589100</v>
      </c>
      <c r="M145" s="27">
        <f t="shared" si="50"/>
        <v>589100</v>
      </c>
    </row>
    <row r="146" spans="1:13" ht="15.75" thickBot="1" x14ac:dyDescent="0.3">
      <c r="A146" s="227" t="s">
        <v>146</v>
      </c>
      <c r="B146" s="228" t="s">
        <v>173</v>
      </c>
      <c r="C146" s="229">
        <f t="shared" ref="C146:J146" si="51">C78</f>
        <v>1300</v>
      </c>
      <c r="D146" s="230">
        <f t="shared" si="51"/>
        <v>1300</v>
      </c>
      <c r="E146" s="407">
        <f t="shared" si="51"/>
        <v>1308</v>
      </c>
      <c r="F146" s="229">
        <f t="shared" si="51"/>
        <v>1500</v>
      </c>
      <c r="G146" s="231">
        <f t="shared" si="51"/>
        <v>1500</v>
      </c>
      <c r="H146" s="231">
        <f t="shared" si="51"/>
        <v>2000</v>
      </c>
      <c r="I146" s="231">
        <f t="shared" si="51"/>
        <v>2000</v>
      </c>
      <c r="J146" s="231">
        <f t="shared" si="51"/>
        <v>2000</v>
      </c>
      <c r="K146" s="27">
        <f>SUM(H145:H146)</f>
        <v>34600</v>
      </c>
      <c r="L146" s="27">
        <f t="shared" ref="L146:M146" si="52">SUM(I145:I146)</f>
        <v>34600</v>
      </c>
      <c r="M146" s="27">
        <f t="shared" si="52"/>
        <v>34600</v>
      </c>
    </row>
    <row r="147" spans="1:13" ht="15.75" thickBot="1" x14ac:dyDescent="0.3">
      <c r="A147" s="511" t="s">
        <v>174</v>
      </c>
      <c r="B147" s="512"/>
      <c r="C147" s="242">
        <f t="shared" ref="C147:J147" si="53">SUM(C141:C146)</f>
        <v>463890</v>
      </c>
      <c r="D147" s="243">
        <f t="shared" si="53"/>
        <v>475549</v>
      </c>
      <c r="E147" s="410">
        <f t="shared" si="53"/>
        <v>571075</v>
      </c>
      <c r="F147" s="242">
        <f t="shared" si="53"/>
        <v>613050</v>
      </c>
      <c r="G147" s="244">
        <f t="shared" si="53"/>
        <v>638897</v>
      </c>
      <c r="H147" s="244">
        <f t="shared" si="53"/>
        <v>619800</v>
      </c>
      <c r="I147" s="244">
        <f t="shared" ref="I147" si="54">SUM(I141:I146)</f>
        <v>592550</v>
      </c>
      <c r="J147" s="244">
        <f t="shared" si="53"/>
        <v>592550</v>
      </c>
      <c r="K147" s="1"/>
    </row>
    <row r="148" spans="1:13" x14ac:dyDescent="0.25">
      <c r="A148" s="245" t="s">
        <v>146</v>
      </c>
      <c r="B148" s="246" t="s">
        <v>175</v>
      </c>
      <c r="C148" s="247">
        <f>69000-4930</f>
        <v>64070</v>
      </c>
      <c r="D148" s="248">
        <f>190500+13510-9254</f>
        <v>194756</v>
      </c>
      <c r="E148" s="247">
        <f t="shared" ref="E148" si="55">190500+13510</f>
        <v>204010</v>
      </c>
      <c r="F148" s="249">
        <v>247900</v>
      </c>
      <c r="G148" s="249">
        <v>242400</v>
      </c>
      <c r="H148" s="249">
        <v>245810</v>
      </c>
      <c r="I148" s="249">
        <v>269920</v>
      </c>
      <c r="J148" s="249">
        <v>269920</v>
      </c>
      <c r="K148" s="1"/>
    </row>
    <row r="149" spans="1:13" ht="15.75" thickBot="1" x14ac:dyDescent="0.3">
      <c r="A149" s="250" t="s">
        <v>146</v>
      </c>
      <c r="B149" s="251" t="s">
        <v>176</v>
      </c>
      <c r="C149" s="252">
        <f t="shared" ref="C149:J149" si="56">C81</f>
        <v>4930</v>
      </c>
      <c r="D149" s="253">
        <f t="shared" si="56"/>
        <v>10244</v>
      </c>
      <c r="E149" s="252">
        <f t="shared" si="56"/>
        <v>11710</v>
      </c>
      <c r="F149" s="94">
        <f t="shared" si="56"/>
        <v>11200</v>
      </c>
      <c r="G149" s="94">
        <f t="shared" si="56"/>
        <v>12310</v>
      </c>
      <c r="H149" s="94">
        <f t="shared" si="56"/>
        <v>13690</v>
      </c>
      <c r="I149" s="94">
        <f t="shared" si="56"/>
        <v>13690</v>
      </c>
      <c r="J149" s="94">
        <f t="shared" si="56"/>
        <v>13690</v>
      </c>
      <c r="K149" s="1"/>
    </row>
    <row r="150" spans="1:13" ht="15.75" thickBot="1" x14ac:dyDescent="0.3">
      <c r="A150" s="513" t="s">
        <v>177</v>
      </c>
      <c r="B150" s="514"/>
      <c r="C150" s="254">
        <f t="shared" ref="C150:D150" si="57">SUM(C148:C149)</f>
        <v>69000</v>
      </c>
      <c r="D150" s="255">
        <f t="shared" si="57"/>
        <v>205000</v>
      </c>
      <c r="E150" s="254">
        <f t="shared" ref="E150:J150" si="58">SUM(E148:E149)</f>
        <v>215720</v>
      </c>
      <c r="F150" s="256">
        <f t="shared" si="58"/>
        <v>259100</v>
      </c>
      <c r="G150" s="256">
        <f t="shared" si="58"/>
        <v>254710</v>
      </c>
      <c r="H150" s="256">
        <f t="shared" si="58"/>
        <v>259500</v>
      </c>
      <c r="I150" s="256">
        <f t="shared" ref="I150" si="59">SUM(I148:I149)</f>
        <v>283610</v>
      </c>
      <c r="J150" s="256">
        <f t="shared" si="58"/>
        <v>283610</v>
      </c>
      <c r="K150" s="1"/>
    </row>
    <row r="151" spans="1:13" ht="15.75" thickBot="1" x14ac:dyDescent="0.3">
      <c r="A151" s="519" t="s">
        <v>178</v>
      </c>
      <c r="B151" s="520"/>
      <c r="C151" s="257">
        <f t="shared" ref="C151:J151" si="60">C147+C150</f>
        <v>532890</v>
      </c>
      <c r="D151" s="258">
        <f t="shared" si="60"/>
        <v>680549</v>
      </c>
      <c r="E151" s="257">
        <f t="shared" si="60"/>
        <v>786795</v>
      </c>
      <c r="F151" s="259">
        <f t="shared" si="60"/>
        <v>872150</v>
      </c>
      <c r="G151" s="259">
        <f t="shared" si="60"/>
        <v>893607</v>
      </c>
      <c r="H151" s="259">
        <f t="shared" si="60"/>
        <v>879300</v>
      </c>
      <c r="I151" s="259">
        <f t="shared" ref="I151" si="61">I147+I150</f>
        <v>876160</v>
      </c>
      <c r="J151" s="259">
        <f t="shared" si="60"/>
        <v>876160</v>
      </c>
      <c r="K151" s="1"/>
    </row>
    <row r="152" spans="1:13" ht="16.5" thickBot="1" x14ac:dyDescent="0.3">
      <c r="A152" s="260" t="s">
        <v>179</v>
      </c>
      <c r="B152" s="145"/>
      <c r="C152" s="261">
        <f t="shared" ref="C152:J152" si="62">C140+C151</f>
        <v>1508309</v>
      </c>
      <c r="D152" s="262">
        <f t="shared" si="62"/>
        <v>1667910</v>
      </c>
      <c r="E152" s="261">
        <f t="shared" si="62"/>
        <v>1949005</v>
      </c>
      <c r="F152" s="263">
        <f t="shared" si="62"/>
        <v>2362040</v>
      </c>
      <c r="G152" s="263">
        <f t="shared" si="62"/>
        <v>2425277</v>
      </c>
      <c r="H152" s="263">
        <f t="shared" si="62"/>
        <v>2288099</v>
      </c>
      <c r="I152" s="263">
        <f t="shared" ref="I152" si="63">I140+I151</f>
        <v>2267684</v>
      </c>
      <c r="J152" s="263">
        <f t="shared" si="62"/>
        <v>2268454</v>
      </c>
      <c r="K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3" ht="18.75" thickBot="1" x14ac:dyDescent="0.3">
      <c r="A155" s="521" t="s">
        <v>180</v>
      </c>
      <c r="B155" s="522"/>
      <c r="C155" s="522"/>
      <c r="D155" s="522"/>
      <c r="E155" s="522"/>
      <c r="F155" s="522"/>
      <c r="G155" s="522"/>
      <c r="H155" s="522"/>
      <c r="I155" s="522"/>
      <c r="J155" s="522"/>
      <c r="K155" s="1"/>
    </row>
    <row r="156" spans="1:13" ht="15" customHeight="1" x14ac:dyDescent="0.25">
      <c r="A156" s="493" t="s">
        <v>1</v>
      </c>
      <c r="B156" s="494"/>
      <c r="C156" s="499" t="s">
        <v>2</v>
      </c>
      <c r="D156" s="499" t="s">
        <v>3</v>
      </c>
      <c r="E156" s="499" t="s">
        <v>231</v>
      </c>
      <c r="F156" s="499" t="s">
        <v>232</v>
      </c>
      <c r="G156" s="499" t="s">
        <v>233</v>
      </c>
      <c r="H156" s="499">
        <v>2021</v>
      </c>
      <c r="I156" s="499">
        <v>2022</v>
      </c>
      <c r="J156" s="499">
        <v>2023</v>
      </c>
      <c r="K156" s="1"/>
    </row>
    <row r="157" spans="1:13" ht="15.75" thickBot="1" x14ac:dyDescent="0.3">
      <c r="A157" s="495"/>
      <c r="B157" s="496"/>
      <c r="C157" s="500"/>
      <c r="D157" s="500"/>
      <c r="E157" s="500"/>
      <c r="F157" s="500"/>
      <c r="G157" s="500"/>
      <c r="H157" s="500"/>
      <c r="I157" s="500"/>
      <c r="J157" s="500"/>
      <c r="K157" s="1"/>
    </row>
    <row r="158" spans="1:13" ht="16.5" thickBot="1" x14ac:dyDescent="0.3">
      <c r="A158" s="529" t="s">
        <v>181</v>
      </c>
      <c r="B158" s="530"/>
      <c r="C158" s="264">
        <f t="shared" ref="C158:J158" si="64">SUM(C159:C169)</f>
        <v>5251</v>
      </c>
      <c r="D158" s="264">
        <f t="shared" si="64"/>
        <v>60445</v>
      </c>
      <c r="E158" s="264">
        <f t="shared" si="64"/>
        <v>312996</v>
      </c>
      <c r="F158" s="264">
        <f t="shared" si="64"/>
        <v>663100</v>
      </c>
      <c r="G158" s="264">
        <f t="shared" si="64"/>
        <v>156900</v>
      </c>
      <c r="H158" s="264">
        <f t="shared" si="64"/>
        <v>744900</v>
      </c>
      <c r="I158" s="264">
        <f t="shared" si="64"/>
        <v>0</v>
      </c>
      <c r="J158" s="264">
        <f t="shared" si="64"/>
        <v>0</v>
      </c>
      <c r="K158" s="1"/>
    </row>
    <row r="159" spans="1:13" ht="15.75" thickBot="1" x14ac:dyDescent="0.3">
      <c r="A159" s="77">
        <v>233</v>
      </c>
      <c r="B159" s="78" t="s">
        <v>182</v>
      </c>
      <c r="C159" s="265">
        <v>5251</v>
      </c>
      <c r="D159" s="265">
        <v>445</v>
      </c>
      <c r="E159" s="265">
        <v>3091</v>
      </c>
      <c r="F159" s="266">
        <f>1000+2000</f>
        <v>3000</v>
      </c>
      <c r="G159" s="266">
        <v>3000</v>
      </c>
      <c r="H159" s="266">
        <v>3000</v>
      </c>
      <c r="I159" s="266">
        <v>0</v>
      </c>
      <c r="J159" s="266">
        <v>0</v>
      </c>
      <c r="K159" s="1"/>
    </row>
    <row r="160" spans="1:13" x14ac:dyDescent="0.25">
      <c r="A160" s="267">
        <v>322</v>
      </c>
      <c r="B160" s="294" t="s">
        <v>299</v>
      </c>
      <c r="C160" s="268"/>
      <c r="D160" s="268"/>
      <c r="E160" s="268"/>
      <c r="F160" s="269"/>
      <c r="G160" s="269"/>
      <c r="H160" s="269">
        <v>131100</v>
      </c>
      <c r="I160" s="269"/>
      <c r="J160" s="269"/>
      <c r="K160" s="1"/>
    </row>
    <row r="161" spans="1:11" x14ac:dyDescent="0.25">
      <c r="A161" s="270">
        <v>322</v>
      </c>
      <c r="B161" s="72" t="s">
        <v>186</v>
      </c>
      <c r="C161" s="271"/>
      <c r="D161" s="271"/>
      <c r="E161" s="271">
        <v>193252</v>
      </c>
      <c r="F161" s="272">
        <v>200000</v>
      </c>
      <c r="G161" s="272"/>
      <c r="H161" s="272">
        <v>300000</v>
      </c>
      <c r="I161" s="272"/>
      <c r="J161" s="272"/>
      <c r="K161" s="1"/>
    </row>
    <row r="162" spans="1:11" x14ac:dyDescent="0.25">
      <c r="A162" s="267">
        <v>322</v>
      </c>
      <c r="B162" s="72" t="s">
        <v>303</v>
      </c>
      <c r="C162" s="268"/>
      <c r="D162" s="271"/>
      <c r="E162" s="271"/>
      <c r="F162" s="272">
        <v>0</v>
      </c>
      <c r="G162" s="272">
        <v>15000</v>
      </c>
      <c r="H162" s="272">
        <v>15000</v>
      </c>
      <c r="I162" s="269"/>
      <c r="J162" s="269"/>
      <c r="K162" s="1"/>
    </row>
    <row r="163" spans="1:11" x14ac:dyDescent="0.25">
      <c r="A163" s="273">
        <v>322</v>
      </c>
      <c r="B163" s="276" t="s">
        <v>304</v>
      </c>
      <c r="C163" s="274"/>
      <c r="D163" s="274"/>
      <c r="E163" s="274"/>
      <c r="F163" s="275">
        <v>20000</v>
      </c>
      <c r="G163" s="275">
        <v>23600</v>
      </c>
      <c r="H163" s="275">
        <v>19000</v>
      </c>
      <c r="I163" s="272"/>
      <c r="J163" s="269"/>
      <c r="K163" s="1"/>
    </row>
    <row r="164" spans="1:11" x14ac:dyDescent="0.25">
      <c r="A164" s="273">
        <v>322</v>
      </c>
      <c r="B164" s="76" t="s">
        <v>295</v>
      </c>
      <c r="C164" s="274"/>
      <c r="D164" s="274"/>
      <c r="E164" s="274"/>
      <c r="F164" s="275">
        <v>110000</v>
      </c>
      <c r="G164" s="275"/>
      <c r="H164" s="275">
        <v>110000</v>
      </c>
      <c r="I164" s="275"/>
      <c r="J164" s="269"/>
      <c r="K164" s="1"/>
    </row>
    <row r="165" spans="1:11" x14ac:dyDescent="0.25">
      <c r="A165" s="270">
        <v>322</v>
      </c>
      <c r="B165" s="72" t="s">
        <v>296</v>
      </c>
      <c r="C165" s="271"/>
      <c r="D165" s="271"/>
      <c r="E165" s="271">
        <v>0</v>
      </c>
      <c r="F165" s="272">
        <v>202100</v>
      </c>
      <c r="G165" s="272"/>
      <c r="H165" s="272">
        <f>149200+17600</f>
        <v>166800</v>
      </c>
      <c r="I165" s="485"/>
      <c r="J165" s="269"/>
      <c r="K165" s="1"/>
    </row>
    <row r="166" spans="1:11" x14ac:dyDescent="0.25">
      <c r="A166" s="267">
        <v>322</v>
      </c>
      <c r="B166" s="81" t="s">
        <v>183</v>
      </c>
      <c r="C166" s="268"/>
      <c r="D166" s="268">
        <v>60000</v>
      </c>
      <c r="E166" s="268"/>
      <c r="F166" s="269"/>
      <c r="G166" s="269"/>
      <c r="H166" s="269"/>
      <c r="I166" s="269"/>
      <c r="J166" s="269"/>
      <c r="K166" s="1"/>
    </row>
    <row r="167" spans="1:11" x14ac:dyDescent="0.25">
      <c r="A167" s="270">
        <v>322</v>
      </c>
      <c r="B167" s="72" t="s">
        <v>184</v>
      </c>
      <c r="C167" s="271"/>
      <c r="D167" s="271"/>
      <c r="E167" s="271"/>
      <c r="F167" s="272">
        <v>30000</v>
      </c>
      <c r="G167" s="272"/>
      <c r="H167" s="272"/>
      <c r="I167" s="272"/>
      <c r="J167" s="272"/>
      <c r="K167" s="1"/>
    </row>
    <row r="168" spans="1:11" x14ac:dyDescent="0.25">
      <c r="A168" s="273">
        <v>322</v>
      </c>
      <c r="B168" s="76" t="s">
        <v>185</v>
      </c>
      <c r="C168" s="274"/>
      <c r="D168" s="274"/>
      <c r="E168" s="274">
        <v>0</v>
      </c>
      <c r="F168" s="275">
        <f>120047+2253-55000+30700</f>
        <v>98000</v>
      </c>
      <c r="G168" s="275">
        <v>115300</v>
      </c>
      <c r="H168" s="275"/>
      <c r="I168" s="275"/>
      <c r="J168" s="275"/>
      <c r="K168" s="1"/>
    </row>
    <row r="169" spans="1:11" ht="15.75" thickBot="1" x14ac:dyDescent="0.3">
      <c r="A169" s="270">
        <v>322</v>
      </c>
      <c r="B169" s="277" t="s">
        <v>297</v>
      </c>
      <c r="C169" s="271"/>
      <c r="D169" s="271"/>
      <c r="E169" s="271">
        <v>116653</v>
      </c>
      <c r="F169" s="272">
        <v>0</v>
      </c>
      <c r="G169" s="272"/>
      <c r="H169" s="272"/>
      <c r="I169" s="272"/>
      <c r="J169" s="272"/>
      <c r="K169" s="1"/>
    </row>
    <row r="170" spans="1:11" ht="16.5" thickBot="1" x14ac:dyDescent="0.3">
      <c r="A170" s="529" t="s">
        <v>187</v>
      </c>
      <c r="B170" s="530"/>
      <c r="C170" s="264">
        <f t="shared" ref="C170:J170" si="65">SUM(C171:C201)</f>
        <v>171050</v>
      </c>
      <c r="D170" s="264">
        <f t="shared" si="65"/>
        <v>199887</v>
      </c>
      <c r="E170" s="264">
        <f t="shared" si="65"/>
        <v>452163</v>
      </c>
      <c r="F170" s="264">
        <f t="shared" si="65"/>
        <v>972620</v>
      </c>
      <c r="G170" s="264">
        <f t="shared" si="65"/>
        <v>472370</v>
      </c>
      <c r="H170" s="264">
        <f t="shared" si="65"/>
        <v>1317070</v>
      </c>
      <c r="I170" s="264">
        <f t="shared" si="65"/>
        <v>60000</v>
      </c>
      <c r="J170" s="264">
        <f t="shared" si="65"/>
        <v>60000</v>
      </c>
      <c r="K170" s="27">
        <f>H170-H158</f>
        <v>572170</v>
      </c>
    </row>
    <row r="171" spans="1:11" x14ac:dyDescent="0.25">
      <c r="A171" s="278" t="s">
        <v>79</v>
      </c>
      <c r="B171" s="279" t="s">
        <v>188</v>
      </c>
      <c r="C171" s="280"/>
      <c r="D171" s="280"/>
      <c r="E171" s="280">
        <v>0</v>
      </c>
      <c r="F171" s="280">
        <v>233450</v>
      </c>
      <c r="G171" s="280">
        <v>131300</v>
      </c>
      <c r="H171" s="280"/>
      <c r="I171" s="280"/>
      <c r="J171" s="280"/>
      <c r="K171" s="1"/>
    </row>
    <row r="172" spans="1:11" x14ac:dyDescent="0.25">
      <c r="A172" s="281" t="s">
        <v>79</v>
      </c>
      <c r="B172" s="282" t="s">
        <v>189</v>
      </c>
      <c r="C172" s="283"/>
      <c r="D172" s="283"/>
      <c r="E172" s="283">
        <v>24255</v>
      </c>
      <c r="F172" s="283">
        <v>0</v>
      </c>
      <c r="G172" s="283"/>
      <c r="H172" s="283"/>
      <c r="I172" s="283"/>
      <c r="J172" s="283"/>
      <c r="K172" s="1"/>
    </row>
    <row r="173" spans="1:11" ht="15.75" thickBot="1" x14ac:dyDescent="0.3">
      <c r="A173" s="284" t="s">
        <v>79</v>
      </c>
      <c r="B173" s="285" t="s">
        <v>240</v>
      </c>
      <c r="C173" s="286"/>
      <c r="D173" s="286"/>
      <c r="E173" s="286">
        <v>26434</v>
      </c>
      <c r="F173" s="286">
        <v>0</v>
      </c>
      <c r="G173" s="286">
        <v>5000</v>
      </c>
      <c r="H173" s="286"/>
      <c r="I173" s="286"/>
      <c r="J173" s="286"/>
      <c r="K173" s="1"/>
    </row>
    <row r="174" spans="1:11" ht="15.75" thickBot="1" x14ac:dyDescent="0.3">
      <c r="A174" s="474" t="s">
        <v>92</v>
      </c>
      <c r="B174" s="475" t="s">
        <v>190</v>
      </c>
      <c r="C174" s="476"/>
      <c r="D174" s="476">
        <v>76359</v>
      </c>
      <c r="E174" s="476">
        <v>0</v>
      </c>
      <c r="F174" s="476"/>
      <c r="G174" s="476"/>
      <c r="H174" s="476"/>
      <c r="I174" s="476"/>
      <c r="J174" s="476"/>
      <c r="K174" s="1"/>
    </row>
    <row r="175" spans="1:11" x14ac:dyDescent="0.25">
      <c r="A175" s="288" t="s">
        <v>99</v>
      </c>
      <c r="B175" s="277" t="s">
        <v>191</v>
      </c>
      <c r="C175" s="289"/>
      <c r="D175" s="289"/>
      <c r="E175" s="289">
        <v>0</v>
      </c>
      <c r="F175" s="289">
        <v>6870</v>
      </c>
      <c r="G175" s="289">
        <v>6870</v>
      </c>
      <c r="H175" s="289">
        <v>6870</v>
      </c>
      <c r="I175" s="289"/>
      <c r="J175" s="289"/>
      <c r="K175" s="1"/>
    </row>
    <row r="176" spans="1:11" x14ac:dyDescent="0.25">
      <c r="A176" s="290" t="s">
        <v>101</v>
      </c>
      <c r="B176" s="291" t="s">
        <v>192</v>
      </c>
      <c r="C176" s="292"/>
      <c r="D176" s="292">
        <f>21840+3926+35385</f>
        <v>61151</v>
      </c>
      <c r="E176" s="292">
        <v>0</v>
      </c>
      <c r="F176" s="292">
        <v>0</v>
      </c>
      <c r="G176" s="292">
        <v>0</v>
      </c>
      <c r="H176" s="292"/>
      <c r="I176" s="292"/>
      <c r="J176" s="292"/>
      <c r="K176" s="1"/>
    </row>
    <row r="177" spans="1:11" ht="15.75" thickBot="1" x14ac:dyDescent="0.3">
      <c r="A177" s="284" t="s">
        <v>101</v>
      </c>
      <c r="B177" s="473" t="s">
        <v>298</v>
      </c>
      <c r="C177" s="286"/>
      <c r="D177" s="286"/>
      <c r="E177" s="286">
        <v>0</v>
      </c>
      <c r="F177" s="286"/>
      <c r="G177" s="286">
        <v>27300</v>
      </c>
      <c r="H177" s="286">
        <v>10200</v>
      </c>
      <c r="I177" s="286"/>
      <c r="J177" s="286"/>
      <c r="K177" s="1"/>
    </row>
    <row r="178" spans="1:11" x14ac:dyDescent="0.25">
      <c r="A178" s="293" t="s">
        <v>104</v>
      </c>
      <c r="B178" s="291" t="s">
        <v>193</v>
      </c>
      <c r="C178" s="295"/>
      <c r="D178" s="295">
        <v>2305</v>
      </c>
      <c r="E178" s="295"/>
      <c r="F178" s="295"/>
      <c r="G178" s="295"/>
      <c r="H178" s="295"/>
      <c r="I178" s="295"/>
      <c r="J178" s="295"/>
      <c r="K178" s="1"/>
    </row>
    <row r="179" spans="1:11" x14ac:dyDescent="0.25">
      <c r="A179" s="293" t="s">
        <v>104</v>
      </c>
      <c r="B179" s="294" t="s">
        <v>299</v>
      </c>
      <c r="C179" s="295"/>
      <c r="D179" s="295"/>
      <c r="E179" s="295"/>
      <c r="F179" s="295">
        <v>0</v>
      </c>
      <c r="G179" s="295">
        <v>0</v>
      </c>
      <c r="H179" s="295">
        <v>138000</v>
      </c>
      <c r="I179" s="295"/>
      <c r="J179" s="295"/>
      <c r="K179" s="1"/>
    </row>
    <row r="180" spans="1:11" x14ac:dyDescent="0.25">
      <c r="A180" s="293" t="s">
        <v>106</v>
      </c>
      <c r="B180" s="294" t="s">
        <v>290</v>
      </c>
      <c r="C180" s="295"/>
      <c r="D180" s="295"/>
      <c r="E180" s="295"/>
      <c r="F180" s="295"/>
      <c r="G180" s="295"/>
      <c r="H180" s="295">
        <v>10000</v>
      </c>
      <c r="I180" s="295"/>
      <c r="J180" s="295"/>
      <c r="K180" s="1"/>
    </row>
    <row r="181" spans="1:11" x14ac:dyDescent="0.25">
      <c r="A181" s="281" t="s">
        <v>106</v>
      </c>
      <c r="B181" s="296" t="s">
        <v>292</v>
      </c>
      <c r="C181" s="283"/>
      <c r="D181" s="283"/>
      <c r="E181" s="283">
        <v>213721</v>
      </c>
      <c r="F181" s="283">
        <v>212500</v>
      </c>
      <c r="G181" s="283">
        <v>54200</v>
      </c>
      <c r="H181" s="283">
        <v>350000</v>
      </c>
      <c r="I181" s="283"/>
      <c r="J181" s="283"/>
      <c r="K181" s="1"/>
    </row>
    <row r="182" spans="1:11" ht="15.75" thickBot="1" x14ac:dyDescent="0.3">
      <c r="A182" s="297" t="s">
        <v>110</v>
      </c>
      <c r="B182" s="298" t="s">
        <v>194</v>
      </c>
      <c r="C182" s="287"/>
      <c r="D182" s="287">
        <v>7773</v>
      </c>
      <c r="E182" s="287">
        <v>0</v>
      </c>
      <c r="F182" s="287"/>
      <c r="G182" s="287"/>
      <c r="H182" s="287"/>
      <c r="I182" s="287"/>
      <c r="J182" s="287"/>
      <c r="K182" s="1"/>
    </row>
    <row r="183" spans="1:11" x14ac:dyDescent="0.25">
      <c r="A183" s="290" t="s">
        <v>195</v>
      </c>
      <c r="B183" s="291" t="s">
        <v>196</v>
      </c>
      <c r="C183" s="292">
        <v>2107</v>
      </c>
      <c r="D183" s="292">
        <v>114</v>
      </c>
      <c r="E183" s="292">
        <v>0</v>
      </c>
      <c r="F183" s="292">
        <v>75000</v>
      </c>
      <c r="G183" s="292">
        <f>5000+20000+50000</f>
        <v>75000</v>
      </c>
      <c r="H183" s="292">
        <f>3000+72000</f>
        <v>75000</v>
      </c>
      <c r="I183" s="292"/>
      <c r="J183" s="292"/>
      <c r="K183" s="1"/>
    </row>
    <row r="184" spans="1:11" x14ac:dyDescent="0.25">
      <c r="A184" s="299" t="s">
        <v>195</v>
      </c>
      <c r="B184" s="296" t="s">
        <v>300</v>
      </c>
      <c r="C184" s="283">
        <v>49262</v>
      </c>
      <c r="D184" s="283">
        <v>19728</v>
      </c>
      <c r="E184" s="283">
        <v>10645</v>
      </c>
      <c r="F184" s="283">
        <v>23000</v>
      </c>
      <c r="G184" s="283">
        <v>57000</v>
      </c>
      <c r="H184" s="283">
        <v>60000</v>
      </c>
      <c r="I184" s="283">
        <v>60000</v>
      </c>
      <c r="J184" s="283">
        <v>60000</v>
      </c>
      <c r="K184" s="27"/>
    </row>
    <row r="185" spans="1:11" x14ac:dyDescent="0.25">
      <c r="A185" s="299" t="s">
        <v>113</v>
      </c>
      <c r="B185" s="300" t="s">
        <v>301</v>
      </c>
      <c r="C185" s="283"/>
      <c r="D185" s="283">
        <v>2600</v>
      </c>
      <c r="E185" s="283">
        <v>0</v>
      </c>
      <c r="F185" s="283">
        <v>15000</v>
      </c>
      <c r="G185" s="283">
        <v>30000</v>
      </c>
      <c r="H185" s="283">
        <v>10000</v>
      </c>
      <c r="I185" s="283"/>
      <c r="J185" s="283"/>
      <c r="K185" s="1"/>
    </row>
    <row r="186" spans="1:11" x14ac:dyDescent="0.25">
      <c r="A186" s="299" t="s">
        <v>113</v>
      </c>
      <c r="B186" s="296" t="s">
        <v>234</v>
      </c>
      <c r="C186" s="283"/>
      <c r="D186" s="283"/>
      <c r="E186" s="283">
        <v>36425</v>
      </c>
      <c r="F186" s="283">
        <v>5000</v>
      </c>
      <c r="G186" s="283">
        <v>0</v>
      </c>
      <c r="H186" s="283"/>
      <c r="I186" s="283"/>
      <c r="J186" s="283"/>
      <c r="K186" s="1"/>
    </row>
    <row r="187" spans="1:11" x14ac:dyDescent="0.25">
      <c r="A187" s="305" t="s">
        <v>113</v>
      </c>
      <c r="B187" s="477" t="s">
        <v>289</v>
      </c>
      <c r="C187" s="295"/>
      <c r="D187" s="295"/>
      <c r="E187" s="295"/>
      <c r="F187" s="295"/>
      <c r="G187" s="295"/>
      <c r="H187" s="295">
        <v>35000</v>
      </c>
      <c r="I187" s="295"/>
      <c r="J187" s="295"/>
      <c r="K187" s="1"/>
    </row>
    <row r="188" spans="1:11" ht="15.75" thickBot="1" x14ac:dyDescent="0.3">
      <c r="A188" s="301" t="s">
        <v>113</v>
      </c>
      <c r="B188" s="411" t="s">
        <v>265</v>
      </c>
      <c r="C188" s="286"/>
      <c r="D188" s="286"/>
      <c r="E188" s="286">
        <v>0</v>
      </c>
      <c r="F188" s="286">
        <v>0</v>
      </c>
      <c r="G188" s="286">
        <v>15800</v>
      </c>
      <c r="H188" s="286">
        <v>15800</v>
      </c>
      <c r="I188" s="286"/>
      <c r="J188" s="286"/>
      <c r="K188" s="1"/>
    </row>
    <row r="189" spans="1:11" x14ac:dyDescent="0.25">
      <c r="A189" s="302" t="s">
        <v>129</v>
      </c>
      <c r="B189" s="300" t="s">
        <v>197</v>
      </c>
      <c r="C189" s="289"/>
      <c r="D189" s="289"/>
      <c r="E189" s="289">
        <v>0</v>
      </c>
      <c r="F189" s="289">
        <v>32000</v>
      </c>
      <c r="G189" s="289">
        <v>30000</v>
      </c>
      <c r="H189" s="289">
        <v>32000</v>
      </c>
      <c r="I189" s="289"/>
      <c r="J189" s="289"/>
      <c r="K189" s="27"/>
    </row>
    <row r="190" spans="1:11" x14ac:dyDescent="0.25">
      <c r="A190" s="303" t="s">
        <v>129</v>
      </c>
      <c r="B190" s="304" t="s">
        <v>198</v>
      </c>
      <c r="C190" s="292">
        <f>51725+9953+44705</f>
        <v>106383</v>
      </c>
      <c r="D190" s="292">
        <v>3568</v>
      </c>
      <c r="E190" s="292">
        <v>0</v>
      </c>
      <c r="F190" s="292"/>
      <c r="G190" s="292"/>
      <c r="H190" s="292"/>
      <c r="I190" s="292"/>
      <c r="J190" s="292"/>
      <c r="K190" s="27"/>
    </row>
    <row r="191" spans="1:11" x14ac:dyDescent="0.25">
      <c r="A191" s="305" t="s">
        <v>129</v>
      </c>
      <c r="B191" s="306" t="s">
        <v>200</v>
      </c>
      <c r="C191" s="295"/>
      <c r="D191" s="295"/>
      <c r="E191" s="295">
        <v>0</v>
      </c>
      <c r="F191" s="295">
        <v>22000</v>
      </c>
      <c r="G191" s="295">
        <v>25600</v>
      </c>
      <c r="H191" s="295">
        <v>21000</v>
      </c>
      <c r="I191" s="295"/>
      <c r="J191" s="292"/>
      <c r="K191" s="27"/>
    </row>
    <row r="192" spans="1:11" x14ac:dyDescent="0.25">
      <c r="A192" s="305" t="s">
        <v>129</v>
      </c>
      <c r="B192" s="306" t="s">
        <v>291</v>
      </c>
      <c r="C192" s="295"/>
      <c r="D192" s="295"/>
      <c r="E192" s="295">
        <v>0</v>
      </c>
      <c r="F192" s="295"/>
      <c r="G192" s="295"/>
      <c r="H192" s="295">
        <v>8000</v>
      </c>
      <c r="I192" s="295"/>
      <c r="J192" s="295"/>
      <c r="K192" s="1"/>
    </row>
    <row r="193" spans="1:11" x14ac:dyDescent="0.25">
      <c r="A193" s="305" t="s">
        <v>129</v>
      </c>
      <c r="B193" s="306" t="s">
        <v>199</v>
      </c>
      <c r="C193" s="295"/>
      <c r="D193" s="295"/>
      <c r="E193" s="295">
        <v>3300</v>
      </c>
      <c r="F193" s="295"/>
      <c r="G193" s="295"/>
      <c r="H193" s="295"/>
      <c r="I193" s="295"/>
      <c r="J193" s="295"/>
      <c r="K193" s="1"/>
    </row>
    <row r="194" spans="1:11" x14ac:dyDescent="0.25">
      <c r="A194" s="305" t="s">
        <v>131</v>
      </c>
      <c r="B194" s="306" t="s">
        <v>286</v>
      </c>
      <c r="C194" s="295">
        <v>2698</v>
      </c>
      <c r="D194" s="295"/>
      <c r="E194" s="295">
        <v>0</v>
      </c>
      <c r="F194" s="295"/>
      <c r="G194" s="295"/>
      <c r="H194" s="295">
        <v>50000</v>
      </c>
      <c r="I194" s="295"/>
      <c r="J194" s="295"/>
      <c r="K194" s="1"/>
    </row>
    <row r="195" spans="1:11" x14ac:dyDescent="0.25">
      <c r="A195" s="305" t="s">
        <v>131</v>
      </c>
      <c r="B195" s="306" t="s">
        <v>302</v>
      </c>
      <c r="C195" s="295"/>
      <c r="D195" s="295"/>
      <c r="E195" s="295"/>
      <c r="F195" s="295"/>
      <c r="G195" s="295"/>
      <c r="H195" s="295">
        <v>200000</v>
      </c>
      <c r="I195" s="295"/>
      <c r="J195" s="295"/>
      <c r="K195" s="1"/>
    </row>
    <row r="196" spans="1:11" ht="15.75" thickBot="1" x14ac:dyDescent="0.3">
      <c r="A196" s="307" t="s">
        <v>135</v>
      </c>
      <c r="B196" s="282" t="s">
        <v>241</v>
      </c>
      <c r="C196" s="283"/>
      <c r="D196" s="283">
        <v>3847</v>
      </c>
      <c r="E196" s="283">
        <v>0</v>
      </c>
      <c r="F196" s="283">
        <v>15000</v>
      </c>
      <c r="G196" s="283">
        <v>0</v>
      </c>
      <c r="H196" s="283"/>
      <c r="I196" s="283"/>
      <c r="J196" s="283"/>
      <c r="K196" s="1"/>
    </row>
    <row r="197" spans="1:11" x14ac:dyDescent="0.25">
      <c r="A197" s="309" t="s">
        <v>140</v>
      </c>
      <c r="B197" s="279" t="s">
        <v>201</v>
      </c>
      <c r="C197" s="280"/>
      <c r="D197" s="280"/>
      <c r="E197" s="280">
        <v>125059</v>
      </c>
      <c r="F197" s="280"/>
      <c r="G197" s="280"/>
      <c r="H197" s="280"/>
      <c r="I197" s="280"/>
      <c r="J197" s="280"/>
      <c r="K197" s="1"/>
    </row>
    <row r="198" spans="1:11" x14ac:dyDescent="0.25">
      <c r="A198" s="307" t="s">
        <v>140</v>
      </c>
      <c r="B198" s="282" t="s">
        <v>242</v>
      </c>
      <c r="C198" s="283"/>
      <c r="D198" s="283">
        <v>2984</v>
      </c>
      <c r="E198" s="283"/>
      <c r="F198" s="283">
        <v>120000</v>
      </c>
      <c r="G198" s="283">
        <v>0</v>
      </c>
      <c r="H198" s="283">
        <v>120000</v>
      </c>
      <c r="I198" s="283"/>
      <c r="J198" s="283"/>
      <c r="K198" s="1"/>
    </row>
    <row r="199" spans="1:11" ht="15" customHeight="1" x14ac:dyDescent="0.25">
      <c r="A199" s="310" t="s">
        <v>144</v>
      </c>
      <c r="B199" s="277" t="s">
        <v>243</v>
      </c>
      <c r="C199" s="289"/>
      <c r="D199" s="289">
        <v>16897</v>
      </c>
      <c r="E199" s="289">
        <v>9936</v>
      </c>
      <c r="F199" s="289">
        <v>0</v>
      </c>
      <c r="G199" s="289">
        <v>14300</v>
      </c>
      <c r="H199" s="289"/>
      <c r="I199" s="289"/>
      <c r="J199" s="289"/>
      <c r="K199" s="1"/>
    </row>
    <row r="200" spans="1:11" ht="15.75" thickBot="1" x14ac:dyDescent="0.3">
      <c r="A200" s="308" t="s">
        <v>153</v>
      </c>
      <c r="B200" s="311" t="s">
        <v>235</v>
      </c>
      <c r="C200" s="287">
        <v>10600</v>
      </c>
      <c r="D200" s="287">
        <v>2561</v>
      </c>
      <c r="E200" s="287">
        <v>2388</v>
      </c>
      <c r="F200" s="287">
        <v>0</v>
      </c>
      <c r="G200" s="287"/>
      <c r="H200" s="287"/>
      <c r="I200" s="287"/>
      <c r="J200" s="287"/>
      <c r="K200" s="1"/>
    </row>
    <row r="201" spans="1:11" ht="15.75" thickBot="1" x14ac:dyDescent="0.3">
      <c r="A201" s="312" t="s">
        <v>157</v>
      </c>
      <c r="B201" s="285" t="s">
        <v>202</v>
      </c>
      <c r="C201" s="286"/>
      <c r="D201" s="286"/>
      <c r="E201" s="286">
        <v>0</v>
      </c>
      <c r="F201" s="286">
        <v>212800</v>
      </c>
      <c r="G201" s="286">
        <v>0</v>
      </c>
      <c r="H201" s="286">
        <v>175200</v>
      </c>
      <c r="I201" s="286"/>
      <c r="J201" s="286"/>
      <c r="K201" s="1"/>
    </row>
    <row r="202" spans="1:11" x14ac:dyDescent="0.25">
      <c r="A202" s="313"/>
      <c r="B202" s="314"/>
      <c r="C202" s="314"/>
      <c r="D202" s="314"/>
      <c r="E202" s="315"/>
      <c r="F202" s="315"/>
      <c r="G202" s="315"/>
      <c r="H202" s="315"/>
      <c r="I202" s="315"/>
      <c r="J202" s="315"/>
      <c r="K202" s="315"/>
    </row>
    <row r="203" spans="1:11" x14ac:dyDescent="0.25">
      <c r="A203" s="316"/>
      <c r="B203" s="317"/>
      <c r="C203" s="317"/>
      <c r="D203" s="317"/>
      <c r="E203" s="318"/>
      <c r="F203" s="318"/>
      <c r="G203" s="318"/>
      <c r="H203" s="318"/>
      <c r="I203" s="318"/>
      <c r="J203" s="318"/>
      <c r="K203" s="318"/>
    </row>
    <row r="204" spans="1:11" ht="18.75" thickBot="1" x14ac:dyDescent="0.3">
      <c r="A204" s="517" t="s">
        <v>203</v>
      </c>
      <c r="B204" s="518"/>
      <c r="C204" s="518"/>
      <c r="D204" s="518"/>
      <c r="E204" s="518"/>
      <c r="F204" s="518"/>
      <c r="G204" s="518"/>
      <c r="H204" s="518"/>
      <c r="I204" s="518"/>
      <c r="J204" s="518"/>
      <c r="K204" s="1"/>
    </row>
    <row r="205" spans="1:11" x14ac:dyDescent="0.25">
      <c r="A205" s="493" t="s">
        <v>1</v>
      </c>
      <c r="B205" s="494"/>
      <c r="C205" s="499" t="s">
        <v>2</v>
      </c>
      <c r="D205" s="499" t="s">
        <v>3</v>
      </c>
      <c r="E205" s="499" t="s">
        <v>231</v>
      </c>
      <c r="F205" s="499" t="s">
        <v>232</v>
      </c>
      <c r="G205" s="499" t="s">
        <v>233</v>
      </c>
      <c r="H205" s="499">
        <v>2021</v>
      </c>
      <c r="I205" s="499">
        <v>2022</v>
      </c>
      <c r="J205" s="499">
        <v>2023</v>
      </c>
      <c r="K205" s="1"/>
    </row>
    <row r="206" spans="1:11" ht="15.75" thickBot="1" x14ac:dyDescent="0.3">
      <c r="A206" s="495"/>
      <c r="B206" s="496"/>
      <c r="C206" s="500"/>
      <c r="D206" s="500"/>
      <c r="E206" s="500"/>
      <c r="F206" s="500"/>
      <c r="G206" s="500"/>
      <c r="H206" s="500"/>
      <c r="I206" s="500"/>
      <c r="J206" s="500"/>
      <c r="K206" s="1"/>
    </row>
    <row r="207" spans="1:11" ht="16.5" thickBot="1" x14ac:dyDescent="0.3">
      <c r="A207" s="319" t="s">
        <v>204</v>
      </c>
      <c r="B207" s="320"/>
      <c r="C207" s="321">
        <f>SUM(C208:C215)</f>
        <v>87331</v>
      </c>
      <c r="D207" s="321">
        <f t="shared" ref="D207:J207" si="66">SUM(D208:D215)</f>
        <v>129336</v>
      </c>
      <c r="E207" s="321">
        <f t="shared" si="66"/>
        <v>137207</v>
      </c>
      <c r="F207" s="321">
        <f t="shared" si="66"/>
        <v>308650</v>
      </c>
      <c r="G207" s="321">
        <f t="shared" si="66"/>
        <v>432926</v>
      </c>
      <c r="H207" s="321">
        <f t="shared" si="66"/>
        <v>598670</v>
      </c>
      <c r="I207" s="321">
        <f t="shared" si="66"/>
        <v>70100</v>
      </c>
      <c r="J207" s="321">
        <f t="shared" si="66"/>
        <v>70100</v>
      </c>
      <c r="K207" s="27"/>
    </row>
    <row r="208" spans="1:11" x14ac:dyDescent="0.25">
      <c r="A208" s="322">
        <v>453</v>
      </c>
      <c r="B208" s="323" t="s">
        <v>206</v>
      </c>
      <c r="C208" s="324">
        <v>0</v>
      </c>
      <c r="D208" s="324"/>
      <c r="E208" s="324">
        <v>0</v>
      </c>
      <c r="F208" s="324">
        <v>8000</v>
      </c>
      <c r="G208" s="324">
        <v>8000</v>
      </c>
      <c r="H208" s="324">
        <v>2400</v>
      </c>
      <c r="I208" s="324">
        <v>0</v>
      </c>
      <c r="J208" s="324">
        <v>0</v>
      </c>
      <c r="K208" s="27"/>
    </row>
    <row r="209" spans="1:11" x14ac:dyDescent="0.25">
      <c r="A209" s="322">
        <v>453</v>
      </c>
      <c r="B209" s="323" t="s">
        <v>205</v>
      </c>
      <c r="C209" s="324">
        <v>709</v>
      </c>
      <c r="D209" s="324"/>
      <c r="E209" s="324">
        <v>480</v>
      </c>
      <c r="F209" s="324">
        <v>1000</v>
      </c>
      <c r="G209" s="324">
        <v>2500</v>
      </c>
      <c r="H209" s="324">
        <v>1000</v>
      </c>
      <c r="I209" s="324">
        <v>1000</v>
      </c>
      <c r="J209" s="324">
        <v>1000</v>
      </c>
      <c r="K209" s="1"/>
    </row>
    <row r="210" spans="1:11" ht="15.75" thickBot="1" x14ac:dyDescent="0.3">
      <c r="A210" s="325">
        <v>453</v>
      </c>
      <c r="B210" s="326" t="s">
        <v>275</v>
      </c>
      <c r="C210" s="327">
        <v>997</v>
      </c>
      <c r="D210" s="327">
        <v>561</v>
      </c>
      <c r="E210" s="327">
        <v>834</v>
      </c>
      <c r="F210" s="327">
        <v>1000</v>
      </c>
      <c r="G210" s="327">
        <v>10440</v>
      </c>
      <c r="H210" s="327">
        <f>3000+6000</f>
        <v>9000</v>
      </c>
      <c r="I210" s="327">
        <v>9000</v>
      </c>
      <c r="J210" s="327">
        <v>9000</v>
      </c>
      <c r="K210" s="27">
        <f>SUM(H208:H210)</f>
        <v>12400</v>
      </c>
    </row>
    <row r="211" spans="1:11" x14ac:dyDescent="0.25">
      <c r="A211" s="413">
        <v>454</v>
      </c>
      <c r="B211" s="412" t="s">
        <v>207</v>
      </c>
      <c r="C211" s="414">
        <v>85625</v>
      </c>
      <c r="D211" s="414">
        <v>128713</v>
      </c>
      <c r="E211" s="414">
        <v>135867</v>
      </c>
      <c r="F211" s="414">
        <v>200550</v>
      </c>
      <c r="G211" s="414">
        <v>308470</v>
      </c>
      <c r="H211" s="414">
        <v>572170</v>
      </c>
      <c r="I211" s="414">
        <v>60000</v>
      </c>
      <c r="J211" s="414">
        <v>60000</v>
      </c>
      <c r="K211" s="1"/>
    </row>
    <row r="212" spans="1:11" x14ac:dyDescent="0.25">
      <c r="A212" s="322">
        <v>454</v>
      </c>
      <c r="B212" s="412" t="s">
        <v>244</v>
      </c>
      <c r="C212" s="324"/>
      <c r="D212" s="324"/>
      <c r="E212" s="324"/>
      <c r="F212" s="324">
        <v>0</v>
      </c>
      <c r="G212" s="324">
        <v>39100</v>
      </c>
      <c r="H212" s="324">
        <f>84500-800-28400-35000-6300</f>
        <v>14000</v>
      </c>
      <c r="I212" s="324"/>
      <c r="J212" s="324"/>
      <c r="K212" s="1"/>
    </row>
    <row r="213" spans="1:11" ht="15.75" thickBot="1" x14ac:dyDescent="0.3">
      <c r="A213" s="325">
        <v>456</v>
      </c>
      <c r="B213" s="326" t="s">
        <v>208</v>
      </c>
      <c r="C213" s="327">
        <v>0</v>
      </c>
      <c r="D213" s="327">
        <v>62</v>
      </c>
      <c r="E213" s="327">
        <v>26</v>
      </c>
      <c r="F213" s="327">
        <v>100</v>
      </c>
      <c r="G213" s="327">
        <v>100</v>
      </c>
      <c r="H213" s="327">
        <v>100</v>
      </c>
      <c r="I213" s="327">
        <v>100</v>
      </c>
      <c r="J213" s="327">
        <v>100</v>
      </c>
      <c r="K213" s="27">
        <f>SUM(H208:H213)</f>
        <v>598670</v>
      </c>
    </row>
    <row r="214" spans="1:11" x14ac:dyDescent="0.25">
      <c r="A214" s="415">
        <v>513</v>
      </c>
      <c r="B214" s="416" t="s">
        <v>209</v>
      </c>
      <c r="C214" s="417">
        <v>0</v>
      </c>
      <c r="D214" s="417"/>
      <c r="E214" s="417">
        <v>0</v>
      </c>
      <c r="F214" s="417">
        <v>98000</v>
      </c>
      <c r="G214" s="417">
        <v>0</v>
      </c>
      <c r="H214" s="417">
        <v>0</v>
      </c>
      <c r="I214" s="417">
        <v>0</v>
      </c>
      <c r="J214" s="417">
        <v>0</v>
      </c>
      <c r="K214" s="27"/>
    </row>
    <row r="215" spans="1:11" ht="15.75" thickBot="1" x14ac:dyDescent="0.3">
      <c r="A215" s="328">
        <v>514</v>
      </c>
      <c r="B215" s="314" t="s">
        <v>245</v>
      </c>
      <c r="C215" s="329">
        <v>0</v>
      </c>
      <c r="D215" s="329"/>
      <c r="E215" s="329">
        <v>0</v>
      </c>
      <c r="F215" s="329">
        <v>0</v>
      </c>
      <c r="G215" s="329">
        <v>64316</v>
      </c>
      <c r="H215" s="329">
        <v>0</v>
      </c>
      <c r="I215" s="329">
        <v>0</v>
      </c>
      <c r="J215" s="329">
        <v>0</v>
      </c>
      <c r="K215" s="27"/>
    </row>
    <row r="216" spans="1:11" ht="16.5" thickBot="1" x14ac:dyDescent="0.3">
      <c r="A216" s="319" t="s">
        <v>210</v>
      </c>
      <c r="B216" s="320"/>
      <c r="C216" s="321">
        <f t="shared" ref="C216:J216" si="67">SUM(C217:C219)</f>
        <v>789</v>
      </c>
      <c r="D216" s="321">
        <f t="shared" si="67"/>
        <v>879</v>
      </c>
      <c r="E216" s="321">
        <f t="shared" si="67"/>
        <v>882</v>
      </c>
      <c r="F216" s="321">
        <f t="shared" si="67"/>
        <v>990</v>
      </c>
      <c r="G216" s="321">
        <f t="shared" si="67"/>
        <v>990</v>
      </c>
      <c r="H216" s="321">
        <f t="shared" si="67"/>
        <v>1030</v>
      </c>
      <c r="I216" s="321">
        <f t="shared" ref="I216" si="68">SUM(I217:I219)</f>
        <v>1070</v>
      </c>
      <c r="J216" s="321">
        <f t="shared" si="67"/>
        <v>1100</v>
      </c>
      <c r="K216" s="27"/>
    </row>
    <row r="217" spans="1:11" ht="15" customHeight="1" x14ac:dyDescent="0.25">
      <c r="A217" s="330">
        <v>819</v>
      </c>
      <c r="B217" s="331" t="s">
        <v>211</v>
      </c>
      <c r="C217" s="207">
        <v>0</v>
      </c>
      <c r="D217" s="207">
        <v>62</v>
      </c>
      <c r="E217" s="207">
        <v>26</v>
      </c>
      <c r="F217" s="207">
        <v>100</v>
      </c>
      <c r="G217" s="207">
        <v>100</v>
      </c>
      <c r="H217" s="207">
        <v>100</v>
      </c>
      <c r="I217" s="207">
        <v>100</v>
      </c>
      <c r="J217" s="207">
        <v>100</v>
      </c>
      <c r="K217" s="1"/>
    </row>
    <row r="218" spans="1:11" x14ac:dyDescent="0.25">
      <c r="A218" s="332">
        <v>821</v>
      </c>
      <c r="B218" s="333" t="s">
        <v>212</v>
      </c>
      <c r="C218" s="56">
        <v>0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1"/>
    </row>
    <row r="219" spans="1:11" ht="15.75" thickBot="1" x14ac:dyDescent="0.3">
      <c r="A219" s="334">
        <v>821</v>
      </c>
      <c r="B219" s="335" t="s">
        <v>213</v>
      </c>
      <c r="C219" s="193">
        <v>789</v>
      </c>
      <c r="D219" s="193">
        <v>817</v>
      </c>
      <c r="E219" s="193">
        <v>856</v>
      </c>
      <c r="F219" s="129">
        <v>890</v>
      </c>
      <c r="G219" s="129">
        <v>890</v>
      </c>
      <c r="H219" s="129">
        <v>930</v>
      </c>
      <c r="I219" s="129">
        <v>970</v>
      </c>
      <c r="J219" s="129">
        <v>1000</v>
      </c>
      <c r="K219" s="1"/>
    </row>
    <row r="220" spans="1:11" x14ac:dyDescent="0.25">
      <c r="A220" s="316"/>
      <c r="B220" s="336"/>
      <c r="C220" s="336"/>
      <c r="D220" s="336"/>
      <c r="E220" s="162"/>
      <c r="F220" s="162"/>
      <c r="G220" s="162"/>
      <c r="H220" s="162"/>
      <c r="I220" s="162"/>
      <c r="J220" s="162"/>
      <c r="K220" s="162"/>
    </row>
    <row r="221" spans="1:11" ht="15.75" x14ac:dyDescent="0.25">
      <c r="A221" s="106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</row>
    <row r="222" spans="1:11" ht="18.75" thickBot="1" x14ac:dyDescent="0.3">
      <c r="A222" s="523" t="s">
        <v>214</v>
      </c>
      <c r="B222" s="524"/>
      <c r="C222" s="524"/>
      <c r="D222" s="524"/>
      <c r="E222" s="524"/>
      <c r="F222" s="524"/>
      <c r="G222" s="524"/>
      <c r="H222" s="524"/>
      <c r="I222" s="524"/>
      <c r="J222" s="524"/>
      <c r="K222" s="1"/>
    </row>
    <row r="223" spans="1:11" x14ac:dyDescent="0.25">
      <c r="A223" s="493" t="s">
        <v>1</v>
      </c>
      <c r="B223" s="494"/>
      <c r="C223" s="499" t="s">
        <v>2</v>
      </c>
      <c r="D223" s="499" t="s">
        <v>3</v>
      </c>
      <c r="E223" s="499" t="s">
        <v>231</v>
      </c>
      <c r="F223" s="499" t="s">
        <v>232</v>
      </c>
      <c r="G223" s="499" t="s">
        <v>233</v>
      </c>
      <c r="H223" s="499">
        <v>2021</v>
      </c>
      <c r="I223" s="499">
        <v>2022</v>
      </c>
      <c r="J223" s="499">
        <v>2023</v>
      </c>
      <c r="K223" s="1"/>
    </row>
    <row r="224" spans="1:11" ht="15.75" thickBot="1" x14ac:dyDescent="0.3">
      <c r="A224" s="495"/>
      <c r="B224" s="496"/>
      <c r="C224" s="500"/>
      <c r="D224" s="500"/>
      <c r="E224" s="500"/>
      <c r="F224" s="500"/>
      <c r="G224" s="500"/>
      <c r="H224" s="500"/>
      <c r="I224" s="500"/>
      <c r="J224" s="500"/>
      <c r="K224" s="1"/>
    </row>
    <row r="225" spans="1:12" ht="15.75" x14ac:dyDescent="0.25">
      <c r="A225" s="337" t="s">
        <v>215</v>
      </c>
      <c r="B225" s="29"/>
      <c r="C225" s="338">
        <f t="shared" ref="C225:J225" si="69">C83</f>
        <v>1801789</v>
      </c>
      <c r="D225" s="338">
        <f t="shared" si="69"/>
        <v>1923989</v>
      </c>
      <c r="E225" s="338">
        <f t="shared" si="69"/>
        <v>2174082</v>
      </c>
      <c r="F225" s="338">
        <f t="shared" si="69"/>
        <v>2363900</v>
      </c>
      <c r="G225" s="338">
        <f t="shared" si="69"/>
        <v>2308811</v>
      </c>
      <c r="H225" s="338">
        <f t="shared" si="69"/>
        <v>2262629</v>
      </c>
      <c r="I225" s="338">
        <f t="shared" si="69"/>
        <v>2258654</v>
      </c>
      <c r="J225" s="338">
        <f t="shared" si="69"/>
        <v>2259454</v>
      </c>
      <c r="K225" s="1"/>
    </row>
    <row r="226" spans="1:12" ht="15.75" x14ac:dyDescent="0.25">
      <c r="A226" s="339" t="s">
        <v>216</v>
      </c>
      <c r="B226" s="340"/>
      <c r="C226" s="341">
        <f t="shared" ref="C226:J226" si="70">C152</f>
        <v>1508309</v>
      </c>
      <c r="D226" s="341">
        <f t="shared" si="70"/>
        <v>1667910</v>
      </c>
      <c r="E226" s="341">
        <f t="shared" si="70"/>
        <v>1949005</v>
      </c>
      <c r="F226" s="341">
        <f t="shared" si="70"/>
        <v>2362040</v>
      </c>
      <c r="G226" s="341">
        <f t="shared" si="70"/>
        <v>2425277</v>
      </c>
      <c r="H226" s="341">
        <f t="shared" si="70"/>
        <v>2288099</v>
      </c>
      <c r="I226" s="341">
        <f t="shared" si="70"/>
        <v>2267684</v>
      </c>
      <c r="J226" s="341">
        <f t="shared" si="70"/>
        <v>2268454</v>
      </c>
      <c r="K226" s="1"/>
    </row>
    <row r="227" spans="1:12" ht="15.75" x14ac:dyDescent="0.25">
      <c r="A227" s="525" t="s">
        <v>217</v>
      </c>
      <c r="B227" s="526"/>
      <c r="C227" s="342">
        <f t="shared" ref="C227:J227" si="71">C225-C226</f>
        <v>293480</v>
      </c>
      <c r="D227" s="342">
        <f t="shared" si="71"/>
        <v>256079</v>
      </c>
      <c r="E227" s="342">
        <f t="shared" si="71"/>
        <v>225077</v>
      </c>
      <c r="F227" s="342">
        <f t="shared" si="71"/>
        <v>1860</v>
      </c>
      <c r="G227" s="342">
        <f t="shared" si="71"/>
        <v>-116466</v>
      </c>
      <c r="H227" s="342">
        <f t="shared" si="71"/>
        <v>-25470</v>
      </c>
      <c r="I227" s="342">
        <f t="shared" ref="I227" si="72">I225-I226</f>
        <v>-9030</v>
      </c>
      <c r="J227" s="342">
        <f t="shared" si="71"/>
        <v>-9000</v>
      </c>
      <c r="K227" s="1"/>
      <c r="L227" t="s">
        <v>278</v>
      </c>
    </row>
    <row r="228" spans="1:12" ht="15.75" x14ac:dyDescent="0.25">
      <c r="A228" s="339" t="s">
        <v>218</v>
      </c>
      <c r="B228" s="18"/>
      <c r="C228" s="341">
        <f t="shared" ref="C228:J228" si="73">C158</f>
        <v>5251</v>
      </c>
      <c r="D228" s="341">
        <f t="shared" si="73"/>
        <v>60445</v>
      </c>
      <c r="E228" s="341">
        <f t="shared" si="73"/>
        <v>312996</v>
      </c>
      <c r="F228" s="341">
        <f t="shared" si="73"/>
        <v>663100</v>
      </c>
      <c r="G228" s="341">
        <f t="shared" si="73"/>
        <v>156900</v>
      </c>
      <c r="H228" s="341">
        <f t="shared" si="73"/>
        <v>744900</v>
      </c>
      <c r="I228" s="341">
        <f t="shared" si="73"/>
        <v>0</v>
      </c>
      <c r="J228" s="341">
        <f t="shared" si="73"/>
        <v>0</v>
      </c>
      <c r="K228" s="1"/>
    </row>
    <row r="229" spans="1:12" ht="15.75" x14ac:dyDescent="0.25">
      <c r="A229" s="339" t="s">
        <v>219</v>
      </c>
      <c r="B229" s="18"/>
      <c r="C229" s="20">
        <f t="shared" ref="C229:J229" si="74">C170</f>
        <v>171050</v>
      </c>
      <c r="D229" s="20">
        <f t="shared" si="74"/>
        <v>199887</v>
      </c>
      <c r="E229" s="20">
        <f t="shared" si="74"/>
        <v>452163</v>
      </c>
      <c r="F229" s="20">
        <f t="shared" si="74"/>
        <v>972620</v>
      </c>
      <c r="G229" s="20">
        <f t="shared" si="74"/>
        <v>472370</v>
      </c>
      <c r="H229" s="20">
        <f t="shared" si="74"/>
        <v>1317070</v>
      </c>
      <c r="I229" s="20">
        <f t="shared" si="74"/>
        <v>60000</v>
      </c>
      <c r="J229" s="20">
        <f t="shared" si="74"/>
        <v>60000</v>
      </c>
      <c r="K229" s="1"/>
    </row>
    <row r="230" spans="1:12" ht="15.75" x14ac:dyDescent="0.25">
      <c r="A230" s="525" t="s">
        <v>220</v>
      </c>
      <c r="B230" s="526"/>
      <c r="C230" s="342">
        <f t="shared" ref="C230:J230" si="75">C228-C229</f>
        <v>-165799</v>
      </c>
      <c r="D230" s="342">
        <f t="shared" si="75"/>
        <v>-139442</v>
      </c>
      <c r="E230" s="342">
        <f t="shared" si="75"/>
        <v>-139167</v>
      </c>
      <c r="F230" s="342">
        <f t="shared" si="75"/>
        <v>-309520</v>
      </c>
      <c r="G230" s="342">
        <f t="shared" si="75"/>
        <v>-315470</v>
      </c>
      <c r="H230" s="342">
        <f t="shared" si="75"/>
        <v>-572170</v>
      </c>
      <c r="I230" s="342">
        <f t="shared" ref="I230" si="76">I228-I229</f>
        <v>-60000</v>
      </c>
      <c r="J230" s="342">
        <f t="shared" si="75"/>
        <v>-60000</v>
      </c>
      <c r="K230" s="1"/>
    </row>
    <row r="231" spans="1:12" ht="15.75" x14ac:dyDescent="0.25">
      <c r="A231" s="343" t="s">
        <v>221</v>
      </c>
      <c r="B231" s="344"/>
      <c r="C231" s="345">
        <f t="shared" ref="C231:J231" si="77">C207</f>
        <v>87331</v>
      </c>
      <c r="D231" s="345">
        <f t="shared" si="77"/>
        <v>129336</v>
      </c>
      <c r="E231" s="345">
        <f t="shared" si="77"/>
        <v>137207</v>
      </c>
      <c r="F231" s="345">
        <f t="shared" si="77"/>
        <v>308650</v>
      </c>
      <c r="G231" s="345">
        <f t="shared" si="77"/>
        <v>432926</v>
      </c>
      <c r="H231" s="345">
        <f t="shared" si="77"/>
        <v>598670</v>
      </c>
      <c r="I231" s="345">
        <f t="shared" si="77"/>
        <v>70100</v>
      </c>
      <c r="J231" s="345">
        <f t="shared" si="77"/>
        <v>70100</v>
      </c>
      <c r="K231" s="1"/>
    </row>
    <row r="232" spans="1:12" ht="15.75" x14ac:dyDescent="0.25">
      <c r="A232" s="343" t="s">
        <v>222</v>
      </c>
      <c r="B232" s="344"/>
      <c r="C232" s="345">
        <f t="shared" ref="C232:J232" si="78">C216</f>
        <v>789</v>
      </c>
      <c r="D232" s="345">
        <f t="shared" si="78"/>
        <v>879</v>
      </c>
      <c r="E232" s="345">
        <f t="shared" si="78"/>
        <v>882</v>
      </c>
      <c r="F232" s="345">
        <f t="shared" si="78"/>
        <v>990</v>
      </c>
      <c r="G232" s="345">
        <f t="shared" si="78"/>
        <v>990</v>
      </c>
      <c r="H232" s="345">
        <f t="shared" si="78"/>
        <v>1030</v>
      </c>
      <c r="I232" s="345">
        <f t="shared" ref="I232" si="79">I216</f>
        <v>1070</v>
      </c>
      <c r="J232" s="345">
        <f t="shared" si="78"/>
        <v>1100</v>
      </c>
      <c r="K232" s="1"/>
    </row>
    <row r="233" spans="1:12" ht="16.5" thickBot="1" x14ac:dyDescent="0.3">
      <c r="A233" s="527" t="s">
        <v>223</v>
      </c>
      <c r="B233" s="528"/>
      <c r="C233" s="346">
        <f t="shared" ref="C233:J233" si="80">C231-C232</f>
        <v>86542</v>
      </c>
      <c r="D233" s="346">
        <f t="shared" si="80"/>
        <v>128457</v>
      </c>
      <c r="E233" s="346">
        <f t="shared" si="80"/>
        <v>136325</v>
      </c>
      <c r="F233" s="346">
        <f t="shared" si="80"/>
        <v>307660</v>
      </c>
      <c r="G233" s="346">
        <f t="shared" si="80"/>
        <v>431936</v>
      </c>
      <c r="H233" s="346">
        <f t="shared" si="80"/>
        <v>597640</v>
      </c>
      <c r="I233" s="346">
        <f t="shared" ref="I233" si="81">I231-I232</f>
        <v>69030</v>
      </c>
      <c r="J233" s="346">
        <f t="shared" si="80"/>
        <v>69000</v>
      </c>
      <c r="K233" s="1"/>
    </row>
    <row r="234" spans="1:12" ht="16.5" thickBot="1" x14ac:dyDescent="0.3">
      <c r="A234" s="347" t="s">
        <v>224</v>
      </c>
      <c r="B234" s="348"/>
      <c r="C234" s="349">
        <f t="shared" ref="C234:J234" si="82">C227+C230+C233</f>
        <v>214223</v>
      </c>
      <c r="D234" s="349">
        <f t="shared" si="82"/>
        <v>245094</v>
      </c>
      <c r="E234" s="349">
        <f t="shared" si="82"/>
        <v>222235</v>
      </c>
      <c r="F234" s="349">
        <f t="shared" si="82"/>
        <v>0</v>
      </c>
      <c r="G234" s="349">
        <f t="shared" si="82"/>
        <v>0</v>
      </c>
      <c r="H234" s="349">
        <f t="shared" si="82"/>
        <v>0</v>
      </c>
      <c r="I234" s="349">
        <f t="shared" ref="I234" si="83">I227+I230+I233</f>
        <v>0</v>
      </c>
      <c r="J234" s="349">
        <f t="shared" si="82"/>
        <v>0</v>
      </c>
      <c r="K234" s="1"/>
    </row>
    <row r="235" spans="1:1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2" x14ac:dyDescent="0.25">
      <c r="A236" s="1"/>
      <c r="B236" s="350" t="s">
        <v>225</v>
      </c>
      <c r="C236" s="27">
        <f t="shared" ref="C236:J237" si="84">C225+C228+C231</f>
        <v>1894371</v>
      </c>
      <c r="D236" s="27">
        <f t="shared" si="84"/>
        <v>2113770</v>
      </c>
      <c r="E236" s="27">
        <f t="shared" si="84"/>
        <v>2624285</v>
      </c>
      <c r="F236" s="27">
        <f t="shared" si="84"/>
        <v>3335650</v>
      </c>
      <c r="G236" s="27">
        <f t="shared" si="84"/>
        <v>2898637</v>
      </c>
      <c r="H236" s="27">
        <f t="shared" si="84"/>
        <v>3606199</v>
      </c>
      <c r="I236" s="27">
        <f t="shared" ref="I236" si="85">I225+I228+I231</f>
        <v>2328754</v>
      </c>
      <c r="J236" s="27">
        <f t="shared" si="84"/>
        <v>2329554</v>
      </c>
      <c r="K236" s="1"/>
    </row>
    <row r="237" spans="1:12" x14ac:dyDescent="0.25">
      <c r="A237" s="1"/>
      <c r="B237" s="350" t="s">
        <v>226</v>
      </c>
      <c r="C237" s="27">
        <f t="shared" si="84"/>
        <v>1680148</v>
      </c>
      <c r="D237" s="27">
        <f t="shared" si="84"/>
        <v>1868676</v>
      </c>
      <c r="E237" s="27">
        <f t="shared" si="84"/>
        <v>2402050</v>
      </c>
      <c r="F237" s="27">
        <f t="shared" si="84"/>
        <v>3335650</v>
      </c>
      <c r="G237" s="27">
        <f t="shared" si="84"/>
        <v>2898637</v>
      </c>
      <c r="H237" s="27">
        <f t="shared" si="84"/>
        <v>3606199</v>
      </c>
      <c r="I237" s="27">
        <f t="shared" ref="I237" si="86">I226+I229+I232</f>
        <v>2328754</v>
      </c>
      <c r="J237" s="27">
        <f t="shared" si="84"/>
        <v>2329554</v>
      </c>
      <c r="K237" s="1"/>
    </row>
    <row r="238" spans="1:12" x14ac:dyDescent="0.25">
      <c r="A238" s="1"/>
      <c r="B238" s="350"/>
      <c r="C238" s="27"/>
      <c r="D238" s="27"/>
      <c r="E238" s="27"/>
      <c r="F238" s="27"/>
      <c r="G238" s="27"/>
      <c r="H238" s="27"/>
      <c r="I238" s="27"/>
      <c r="J238" s="27"/>
      <c r="K238" s="1"/>
    </row>
    <row r="239" spans="1:12" x14ac:dyDescent="0.25">
      <c r="A239" s="1"/>
      <c r="B239" s="350" t="s">
        <v>227</v>
      </c>
      <c r="C239" s="27">
        <f t="shared" ref="C239:J239" si="87">C236-C82</f>
        <v>1882695</v>
      </c>
      <c r="D239" s="27">
        <f t="shared" si="87"/>
        <v>2094633</v>
      </c>
      <c r="E239" s="27">
        <f t="shared" si="87"/>
        <v>2553314</v>
      </c>
      <c r="F239" s="27">
        <f t="shared" si="87"/>
        <v>3263950</v>
      </c>
      <c r="G239" s="27">
        <f t="shared" si="87"/>
        <v>2825827</v>
      </c>
      <c r="H239" s="27">
        <f t="shared" si="87"/>
        <v>3562059</v>
      </c>
      <c r="I239" s="27">
        <f t="shared" si="87"/>
        <v>2311614</v>
      </c>
      <c r="J239" s="27">
        <f t="shared" si="87"/>
        <v>2312414</v>
      </c>
      <c r="K239" s="1"/>
    </row>
    <row r="240" spans="1:12" x14ac:dyDescent="0.25">
      <c r="A240" s="1"/>
      <c r="B240" s="350" t="s">
        <v>228</v>
      </c>
      <c r="C240" s="27">
        <f t="shared" ref="C240:J240" si="88">C237-C151</f>
        <v>1147258</v>
      </c>
      <c r="D240" s="27">
        <f t="shared" si="88"/>
        <v>1188127</v>
      </c>
      <c r="E240" s="27">
        <f t="shared" si="88"/>
        <v>1615255</v>
      </c>
      <c r="F240" s="27">
        <f t="shared" si="88"/>
        <v>2463500</v>
      </c>
      <c r="G240" s="27">
        <f t="shared" si="88"/>
        <v>2005030</v>
      </c>
      <c r="H240" s="27">
        <f t="shared" si="88"/>
        <v>2726899</v>
      </c>
      <c r="I240" s="27">
        <f t="shared" si="88"/>
        <v>1452594</v>
      </c>
      <c r="J240" s="27">
        <f t="shared" si="88"/>
        <v>1453394</v>
      </c>
      <c r="K240" s="1"/>
    </row>
    <row r="241" spans="1:11" x14ac:dyDescent="0.25">
      <c r="A241" s="1"/>
      <c r="B241" s="350"/>
      <c r="C241" s="350"/>
      <c r="D241" s="350"/>
      <c r="E241" s="27"/>
      <c r="F241" s="27"/>
      <c r="G241" s="27"/>
      <c r="H241" s="27"/>
      <c r="I241" s="27"/>
      <c r="J241" s="27"/>
      <c r="K241" s="1"/>
    </row>
    <row r="242" spans="1:11" x14ac:dyDescent="0.25">
      <c r="A242" s="105"/>
      <c r="B242" s="351"/>
      <c r="C242" s="351"/>
      <c r="D242" s="35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353" t="s">
        <v>229</v>
      </c>
      <c r="C244" s="353"/>
      <c r="D244" s="353"/>
      <c r="E244" s="353"/>
      <c r="F244" s="353"/>
      <c r="G244" s="353"/>
      <c r="H244" s="353"/>
      <c r="I244" s="353"/>
      <c r="J244" s="353"/>
      <c r="K244" s="1"/>
    </row>
    <row r="245" spans="1:11" x14ac:dyDescent="0.25">
      <c r="A245" s="1"/>
      <c r="B245" s="353" t="s">
        <v>230</v>
      </c>
      <c r="C245" s="353"/>
      <c r="D245" s="353"/>
      <c r="E245" s="353"/>
      <c r="F245" s="353"/>
      <c r="G245" s="353"/>
      <c r="H245" s="353"/>
      <c r="I245" s="353"/>
      <c r="J245" s="353"/>
      <c r="K245" s="1"/>
    </row>
    <row r="246" spans="1:11" x14ac:dyDescent="0.25">
      <c r="A246" s="1"/>
      <c r="B246" s="353"/>
      <c r="C246" s="353"/>
      <c r="D246" s="353"/>
      <c r="E246" s="353"/>
      <c r="F246" s="353"/>
      <c r="G246" s="353"/>
      <c r="H246" s="353"/>
      <c r="I246" s="353"/>
      <c r="J246" s="353"/>
      <c r="K246" s="1"/>
    </row>
    <row r="247" spans="1:11" x14ac:dyDescent="0.25">
      <c r="A247" s="1"/>
      <c r="B247" s="353"/>
      <c r="C247" s="353"/>
      <c r="D247" s="353"/>
      <c r="E247" s="353"/>
      <c r="F247" s="353"/>
      <c r="G247" s="353"/>
      <c r="H247" s="353"/>
      <c r="I247" s="353"/>
      <c r="J247" s="353"/>
      <c r="K247" s="1"/>
    </row>
    <row r="248" spans="1:11" x14ac:dyDescent="0.25">
      <c r="A248" s="1"/>
      <c r="C248" s="353"/>
      <c r="D248" s="353"/>
      <c r="E248" s="353"/>
      <c r="F248" s="353"/>
      <c r="G248" s="353"/>
      <c r="H248" s="353"/>
      <c r="I248" s="353"/>
      <c r="J248" s="353"/>
      <c r="K248" s="1"/>
    </row>
    <row r="249" spans="1:11" x14ac:dyDescent="0.25">
      <c r="A249" s="1"/>
      <c r="B249" s="354" t="s">
        <v>307</v>
      </c>
      <c r="C249" s="354"/>
      <c r="D249" s="354"/>
      <c r="E249" s="353"/>
      <c r="F249" s="353"/>
      <c r="G249" s="486"/>
      <c r="H249" s="353"/>
      <c r="I249" s="353"/>
      <c r="J249" s="353"/>
      <c r="K249" s="1"/>
    </row>
    <row r="250" spans="1:11" x14ac:dyDescent="0.25">
      <c r="A250" s="1"/>
      <c r="C250" s="354"/>
      <c r="D250" s="354"/>
      <c r="E250" s="353"/>
      <c r="F250" s="353"/>
      <c r="G250" s="353"/>
      <c r="H250" s="353"/>
      <c r="I250" s="353"/>
      <c r="J250" s="353"/>
      <c r="K250" s="1"/>
    </row>
    <row r="251" spans="1:11" x14ac:dyDescent="0.25">
      <c r="A251" s="1"/>
      <c r="B251" s="353" t="s">
        <v>305</v>
      </c>
      <c r="C251" s="354"/>
      <c r="D251" s="354"/>
      <c r="E251" s="353"/>
      <c r="F251" s="353"/>
      <c r="G251" s="353"/>
      <c r="H251" s="353"/>
      <c r="I251" s="353"/>
      <c r="J251" s="353"/>
      <c r="K251" s="1"/>
    </row>
    <row r="252" spans="1:11" x14ac:dyDescent="0.25">
      <c r="A252" s="1"/>
      <c r="B252" s="353" t="s">
        <v>306</v>
      </c>
      <c r="C252" s="354"/>
      <c r="D252" s="354"/>
      <c r="E252" s="353"/>
      <c r="F252" s="353"/>
      <c r="G252" s="353"/>
      <c r="H252" s="353"/>
      <c r="I252" s="353"/>
      <c r="J252" s="353"/>
      <c r="K252" s="1"/>
    </row>
    <row r="253" spans="1:11" x14ac:dyDescent="0.25">
      <c r="A253" s="1"/>
      <c r="B253" s="353"/>
      <c r="C253" s="353"/>
      <c r="D253" s="353"/>
      <c r="E253" s="353"/>
      <c r="F253" s="353"/>
      <c r="G253" s="353"/>
      <c r="H253" s="353"/>
      <c r="I253" s="353"/>
      <c r="J253" s="353"/>
      <c r="K253" s="1"/>
    </row>
    <row r="254" spans="1:11" x14ac:dyDescent="0.25">
      <c r="A254" s="1"/>
      <c r="B254" s="355" t="s">
        <v>308</v>
      </c>
      <c r="C254" s="355"/>
      <c r="D254" s="355"/>
      <c r="E254" s="353"/>
      <c r="F254" s="353"/>
      <c r="G254" s="353"/>
      <c r="H254" s="353"/>
      <c r="I254" s="353"/>
      <c r="J254" s="353"/>
      <c r="K254" s="1"/>
    </row>
    <row r="255" spans="1:11" x14ac:dyDescent="0.25">
      <c r="A255" s="1"/>
      <c r="B255" s="355" t="s">
        <v>309</v>
      </c>
      <c r="C255" s="355"/>
      <c r="D255" s="355"/>
      <c r="E255" s="353"/>
      <c r="F255" s="353"/>
      <c r="G255" s="353"/>
      <c r="H255" s="353"/>
      <c r="I255" s="353"/>
      <c r="J255" s="353"/>
      <c r="K255" s="1"/>
    </row>
    <row r="256" spans="1:11" x14ac:dyDescent="0.25">
      <c r="A256" s="1"/>
      <c r="B256" s="355"/>
      <c r="C256" s="355"/>
      <c r="D256" s="355"/>
      <c r="E256" s="353"/>
      <c r="F256" s="353"/>
      <c r="G256" s="353"/>
      <c r="H256" s="353"/>
      <c r="I256" s="353"/>
      <c r="J256" s="353"/>
      <c r="K256" s="1"/>
    </row>
    <row r="257" spans="1:11" x14ac:dyDescent="0.25">
      <c r="A257" s="1"/>
      <c r="B257" s="353" t="s">
        <v>310</v>
      </c>
      <c r="C257" s="353"/>
      <c r="D257" s="353"/>
      <c r="E257" s="353"/>
      <c r="F257" s="353"/>
      <c r="G257" s="353"/>
      <c r="H257" s="353"/>
      <c r="I257" s="353"/>
      <c r="J257" s="353"/>
      <c r="K257" s="1"/>
    </row>
    <row r="258" spans="1:11" x14ac:dyDescent="0.25">
      <c r="A258" s="1"/>
      <c r="B258" s="352"/>
      <c r="C258" s="352"/>
      <c r="D258" s="352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352"/>
      <c r="C259" s="352"/>
      <c r="D259" s="352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352"/>
      <c r="C260" s="352"/>
      <c r="D260" s="352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352"/>
      <c r="C261" s="352"/>
      <c r="D261" s="352"/>
      <c r="E261" s="1"/>
      <c r="F261" s="1"/>
      <c r="G261" s="1"/>
      <c r="H261" s="1"/>
      <c r="I261" s="1"/>
      <c r="J261" s="1"/>
      <c r="K261" s="1"/>
    </row>
  </sheetData>
  <mergeCells count="63">
    <mergeCell ref="A227:B227"/>
    <mergeCell ref="A230:B230"/>
    <mergeCell ref="A233:B233"/>
    <mergeCell ref="A158:B158"/>
    <mergeCell ref="A170:B170"/>
    <mergeCell ref="I87:I88"/>
    <mergeCell ref="I156:I157"/>
    <mergeCell ref="I205:I206"/>
    <mergeCell ref="I223:I224"/>
    <mergeCell ref="A204:J204"/>
    <mergeCell ref="H205:H206"/>
    <mergeCell ref="A151:B151"/>
    <mergeCell ref="A155:J155"/>
    <mergeCell ref="A156:B157"/>
    <mergeCell ref="H156:H157"/>
    <mergeCell ref="J205:J206"/>
    <mergeCell ref="A222:J222"/>
    <mergeCell ref="A223:B224"/>
    <mergeCell ref="C223:C224"/>
    <mergeCell ref="D223:D224"/>
    <mergeCell ref="C156:C157"/>
    <mergeCell ref="H223:H224"/>
    <mergeCell ref="J223:J224"/>
    <mergeCell ref="A205:B206"/>
    <mergeCell ref="C205:C206"/>
    <mergeCell ref="D205:D206"/>
    <mergeCell ref="E205:E206"/>
    <mergeCell ref="F205:F206"/>
    <mergeCell ref="G205:G206"/>
    <mergeCell ref="E223:E224"/>
    <mergeCell ref="F223:F224"/>
    <mergeCell ref="G223:G224"/>
    <mergeCell ref="J156:J157"/>
    <mergeCell ref="G87:G88"/>
    <mergeCell ref="H87:H88"/>
    <mergeCell ref="J87:J88"/>
    <mergeCell ref="A104:B104"/>
    <mergeCell ref="A147:B147"/>
    <mergeCell ref="A150:B150"/>
    <mergeCell ref="A87:B88"/>
    <mergeCell ref="C87:C88"/>
    <mergeCell ref="D87:D88"/>
    <mergeCell ref="E87:E88"/>
    <mergeCell ref="F87:F88"/>
    <mergeCell ref="D156:D157"/>
    <mergeCell ref="E156:E157"/>
    <mergeCell ref="F156:F157"/>
    <mergeCell ref="G156:G157"/>
    <mergeCell ref="A4:B4"/>
    <mergeCell ref="A12:B12"/>
    <mergeCell ref="A80:B80"/>
    <mergeCell ref="A82:B82"/>
    <mergeCell ref="A86:J86"/>
    <mergeCell ref="A1:J1"/>
    <mergeCell ref="A2:B3"/>
    <mergeCell ref="C2:C3"/>
    <mergeCell ref="D2:D3"/>
    <mergeCell ref="E2:E3"/>
    <mergeCell ref="F2:F3"/>
    <mergeCell ref="G2:G3"/>
    <mergeCell ref="H2:H3"/>
    <mergeCell ref="J2:J3"/>
    <mergeCell ref="I2:I3"/>
  </mergeCells>
  <pageMargins left="0.7" right="0.7" top="0.75" bottom="0.75" header="0.3" footer="0.3"/>
  <pageSetup paperSize="9" scale="64" fitToHeight="0" orientation="landscape" r:id="rId1"/>
  <headerFooter>
    <oddHeader>&amp;CViacročný rozpočet
na roky 2021 - 2023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sqref="A1:H1"/>
    </sheetView>
  </sheetViews>
  <sheetFormatPr defaultRowHeight="15" x14ac:dyDescent="0.25"/>
  <cols>
    <col min="2" max="2" width="50.140625" customWidth="1"/>
    <col min="3" max="3" width="15" customWidth="1"/>
    <col min="4" max="4" width="11.7109375" customWidth="1"/>
    <col min="5" max="5" width="11.42578125" customWidth="1"/>
    <col min="6" max="6" width="12.28515625" customWidth="1"/>
    <col min="7" max="7" width="10.7109375" customWidth="1"/>
    <col min="8" max="8" width="10.140625" customWidth="1"/>
    <col min="9" max="9" width="10.5703125" customWidth="1"/>
    <col min="12" max="12" width="48.85546875" customWidth="1"/>
    <col min="13" max="13" width="14.5703125" customWidth="1"/>
    <col min="14" max="14" width="14.140625" customWidth="1"/>
    <col min="15" max="15" width="15" customWidth="1"/>
  </cols>
  <sheetData>
    <row r="1" spans="1:14" ht="18" x14ac:dyDescent="0.25">
      <c r="A1" s="531" t="s">
        <v>246</v>
      </c>
      <c r="B1" s="531"/>
      <c r="C1" s="531"/>
      <c r="D1" s="531"/>
      <c r="E1" s="531"/>
      <c r="F1" s="531"/>
      <c r="G1" s="531"/>
      <c r="H1" s="531"/>
      <c r="L1" s="418"/>
    </row>
    <row r="2" spans="1:14" ht="15.75" thickBot="1" x14ac:dyDescent="0.3">
      <c r="A2" s="418"/>
      <c r="B2" s="418"/>
      <c r="C2" s="418"/>
      <c r="D2" s="418"/>
      <c r="E2" s="418"/>
      <c r="F2" s="418"/>
      <c r="G2" s="418"/>
      <c r="H2" s="418"/>
      <c r="I2" s="418"/>
      <c r="L2" s="418"/>
      <c r="M2" s="418"/>
      <c r="N2" s="418"/>
    </row>
    <row r="3" spans="1:14" ht="45.75" thickBot="1" x14ac:dyDescent="0.3">
      <c r="A3" s="419" t="s">
        <v>247</v>
      </c>
      <c r="B3" s="419" t="s">
        <v>248</v>
      </c>
      <c r="C3" s="420" t="s">
        <v>249</v>
      </c>
      <c r="D3" s="420" t="s">
        <v>250</v>
      </c>
      <c r="E3" s="420" t="s">
        <v>251</v>
      </c>
      <c r="F3" s="420" t="s">
        <v>252</v>
      </c>
      <c r="G3" s="421" t="s">
        <v>253</v>
      </c>
      <c r="H3" s="422" t="s">
        <v>254</v>
      </c>
      <c r="I3" s="418"/>
      <c r="L3" s="532" t="s">
        <v>255</v>
      </c>
      <c r="M3" s="533"/>
      <c r="N3" s="534"/>
    </row>
    <row r="4" spans="1:14" ht="16.5" thickBot="1" x14ac:dyDescent="0.3">
      <c r="A4" s="434" t="s">
        <v>99</v>
      </c>
      <c r="B4" s="435" t="s">
        <v>191</v>
      </c>
      <c r="C4" s="289">
        <v>6870</v>
      </c>
      <c r="D4" s="289"/>
      <c r="E4" s="289"/>
      <c r="F4" s="289">
        <v>6870</v>
      </c>
      <c r="G4" s="289"/>
      <c r="H4" s="436">
        <f t="shared" ref="H4:H20" si="0">SUM(D4:G4)</f>
        <v>6870</v>
      </c>
      <c r="I4" s="425">
        <f t="shared" ref="I4:I21" si="1">C4-H4</f>
        <v>0</v>
      </c>
      <c r="L4" s="426" t="s">
        <v>256</v>
      </c>
      <c r="M4" s="427" t="s">
        <v>257</v>
      </c>
      <c r="N4" s="428" t="s">
        <v>258</v>
      </c>
    </row>
    <row r="5" spans="1:14" ht="16.5" thickBot="1" x14ac:dyDescent="0.3">
      <c r="A5" s="442" t="s">
        <v>101</v>
      </c>
      <c r="B5" s="472" t="s">
        <v>298</v>
      </c>
      <c r="C5" s="292">
        <v>10200</v>
      </c>
      <c r="D5" s="292"/>
      <c r="E5" s="292"/>
      <c r="F5" s="292">
        <v>10200</v>
      </c>
      <c r="G5" s="292"/>
      <c r="H5" s="436">
        <f t="shared" ref="H5" si="2">SUM(D5:G5)</f>
        <v>10200</v>
      </c>
      <c r="I5" s="425">
        <f t="shared" ref="I5" si="3">C5-H5</f>
        <v>0</v>
      </c>
      <c r="J5" s="487">
        <f>SUM(H4:H5)</f>
        <v>17070</v>
      </c>
      <c r="L5" s="431" t="s">
        <v>259</v>
      </c>
      <c r="M5" s="432">
        <v>0</v>
      </c>
      <c r="N5" s="433"/>
    </row>
    <row r="6" spans="1:14" ht="15.75" x14ac:dyDescent="0.25">
      <c r="A6" s="423" t="s">
        <v>104</v>
      </c>
      <c r="B6" s="478" t="s">
        <v>299</v>
      </c>
      <c r="C6" s="479">
        <v>138000</v>
      </c>
      <c r="D6" s="280">
        <v>131100</v>
      </c>
      <c r="E6" s="280"/>
      <c r="F6" s="280">
        <v>6900</v>
      </c>
      <c r="G6" s="280"/>
      <c r="H6" s="424">
        <f t="shared" ref="H6" si="4">SUM(D6:G6)</f>
        <v>138000</v>
      </c>
      <c r="I6" s="425">
        <f t="shared" ref="I6" si="5">C6-H6</f>
        <v>0</v>
      </c>
      <c r="L6" s="437" t="s">
        <v>260</v>
      </c>
      <c r="M6" s="432">
        <f>10000-2600</f>
        <v>7400</v>
      </c>
      <c r="N6" s="433"/>
    </row>
    <row r="7" spans="1:14" ht="15.75" x14ac:dyDescent="0.25">
      <c r="A7" s="440" t="s">
        <v>106</v>
      </c>
      <c r="B7" s="441" t="s">
        <v>290</v>
      </c>
      <c r="C7" s="289">
        <f>5000+5000</f>
        <v>10000</v>
      </c>
      <c r="D7" s="292"/>
      <c r="E7" s="292"/>
      <c r="F7" s="292">
        <v>10000</v>
      </c>
      <c r="G7" s="292"/>
      <c r="H7" s="436">
        <f t="shared" si="0"/>
        <v>10000</v>
      </c>
      <c r="I7" s="425">
        <f t="shared" si="1"/>
        <v>0</v>
      </c>
      <c r="L7" s="431" t="s">
        <v>283</v>
      </c>
      <c r="M7" s="432">
        <v>10000</v>
      </c>
      <c r="N7" s="433"/>
    </row>
    <row r="8" spans="1:14" ht="16.5" thickBot="1" x14ac:dyDescent="0.3">
      <c r="A8" s="429" t="s">
        <v>106</v>
      </c>
      <c r="B8" s="439" t="s">
        <v>292</v>
      </c>
      <c r="C8" s="287">
        <v>350000</v>
      </c>
      <c r="D8" s="286">
        <v>300000</v>
      </c>
      <c r="E8" s="286"/>
      <c r="F8" s="286">
        <v>50000</v>
      </c>
      <c r="G8" s="286"/>
      <c r="H8" s="430">
        <f t="shared" si="0"/>
        <v>350000</v>
      </c>
      <c r="I8" s="425">
        <f t="shared" si="1"/>
        <v>0</v>
      </c>
      <c r="J8" s="487">
        <f>SUM(H6:H8)</f>
        <v>498000</v>
      </c>
      <c r="L8" s="431" t="s">
        <v>282</v>
      </c>
      <c r="M8" s="432">
        <v>6000</v>
      </c>
      <c r="N8" s="433"/>
    </row>
    <row r="9" spans="1:14" ht="15.75" x14ac:dyDescent="0.25">
      <c r="A9" s="440" t="s">
        <v>195</v>
      </c>
      <c r="B9" s="441" t="s">
        <v>196</v>
      </c>
      <c r="C9" s="292">
        <f>75000</f>
        <v>75000</v>
      </c>
      <c r="D9" s="292"/>
      <c r="E9" s="292">
        <f>3000</f>
        <v>3000</v>
      </c>
      <c r="F9" s="292">
        <f>7700+64300</f>
        <v>72000</v>
      </c>
      <c r="G9" s="292"/>
      <c r="H9" s="436">
        <f t="shared" si="0"/>
        <v>75000</v>
      </c>
      <c r="I9" s="425">
        <f t="shared" si="1"/>
        <v>0</v>
      </c>
      <c r="L9" s="431" t="s">
        <v>281</v>
      </c>
      <c r="M9" s="432">
        <v>1200</v>
      </c>
      <c r="N9" s="433"/>
    </row>
    <row r="10" spans="1:14" ht="15.75" x14ac:dyDescent="0.25">
      <c r="A10" s="442" t="s">
        <v>195</v>
      </c>
      <c r="B10" s="443" t="s">
        <v>293</v>
      </c>
      <c r="C10" s="283">
        <v>60000</v>
      </c>
      <c r="D10" s="283"/>
      <c r="E10" s="283"/>
      <c r="F10" s="283">
        <v>60000</v>
      </c>
      <c r="G10" s="283"/>
      <c r="H10" s="444">
        <f t="shared" si="0"/>
        <v>60000</v>
      </c>
      <c r="I10" s="425">
        <f t="shared" si="1"/>
        <v>0</v>
      </c>
      <c r="L10" s="431" t="s">
        <v>261</v>
      </c>
      <c r="M10" s="445">
        <v>5000</v>
      </c>
      <c r="N10" s="446"/>
    </row>
    <row r="11" spans="1:14" ht="15.75" x14ac:dyDescent="0.25">
      <c r="A11" s="447" t="s">
        <v>113</v>
      </c>
      <c r="B11" s="448" t="s">
        <v>285</v>
      </c>
      <c r="C11" s="295">
        <v>10000</v>
      </c>
      <c r="D11" s="295"/>
      <c r="E11" s="295"/>
      <c r="F11" s="295">
        <v>10000</v>
      </c>
      <c r="G11" s="295"/>
      <c r="H11" s="449">
        <f t="shared" si="0"/>
        <v>10000</v>
      </c>
      <c r="I11" s="425">
        <f t="shared" si="1"/>
        <v>0</v>
      </c>
      <c r="L11" s="431" t="s">
        <v>262</v>
      </c>
      <c r="M11" s="432">
        <v>2000</v>
      </c>
      <c r="N11" s="433"/>
    </row>
    <row r="12" spans="1:14" ht="15.75" x14ac:dyDescent="0.25">
      <c r="A12" s="442" t="s">
        <v>113</v>
      </c>
      <c r="B12" s="443" t="s">
        <v>289</v>
      </c>
      <c r="C12" s="283">
        <v>35000</v>
      </c>
      <c r="D12" s="283"/>
      <c r="E12" s="283"/>
      <c r="F12" s="283">
        <v>35000</v>
      </c>
      <c r="G12" s="283"/>
      <c r="H12" s="444">
        <f t="shared" si="0"/>
        <v>35000</v>
      </c>
      <c r="I12" s="425">
        <f t="shared" si="1"/>
        <v>0</v>
      </c>
      <c r="L12" s="450" t="s">
        <v>263</v>
      </c>
      <c r="M12" s="432">
        <v>15600</v>
      </c>
      <c r="N12" s="446" t="s">
        <v>264</v>
      </c>
    </row>
    <row r="13" spans="1:14" ht="16.5" thickBot="1" x14ac:dyDescent="0.3">
      <c r="A13" s="429" t="s">
        <v>113</v>
      </c>
      <c r="B13" s="439" t="s">
        <v>265</v>
      </c>
      <c r="C13" s="286">
        <v>15800</v>
      </c>
      <c r="D13" s="286">
        <v>15000</v>
      </c>
      <c r="E13" s="286"/>
      <c r="F13" s="286">
        <v>800</v>
      </c>
      <c r="G13" s="286"/>
      <c r="H13" s="451">
        <f t="shared" si="0"/>
        <v>15800</v>
      </c>
      <c r="I13" s="425">
        <f t="shared" si="1"/>
        <v>0</v>
      </c>
      <c r="J13" s="487">
        <f>SUM(H9:H13)</f>
        <v>195800</v>
      </c>
      <c r="L13" s="431" t="s">
        <v>287</v>
      </c>
      <c r="M13" s="432">
        <v>5000</v>
      </c>
      <c r="N13" s="433"/>
    </row>
    <row r="14" spans="1:14" ht="15.75" x14ac:dyDescent="0.25">
      <c r="A14" s="434" t="s">
        <v>129</v>
      </c>
      <c r="B14" s="452" t="s">
        <v>197</v>
      </c>
      <c r="C14" s="289">
        <v>32000</v>
      </c>
      <c r="D14" s="289"/>
      <c r="E14" s="289"/>
      <c r="F14" s="289">
        <v>32000</v>
      </c>
      <c r="G14" s="289"/>
      <c r="H14" s="436">
        <f t="shared" si="0"/>
        <v>32000</v>
      </c>
      <c r="I14" s="425">
        <f t="shared" si="1"/>
        <v>0</v>
      </c>
      <c r="L14" s="431" t="s">
        <v>288</v>
      </c>
      <c r="M14" s="445">
        <v>3000</v>
      </c>
      <c r="N14" s="446"/>
    </row>
    <row r="15" spans="1:14" ht="15.75" x14ac:dyDescent="0.25">
      <c r="A15" s="447" t="s">
        <v>129</v>
      </c>
      <c r="B15" s="448" t="s">
        <v>267</v>
      </c>
      <c r="C15" s="295">
        <v>21000</v>
      </c>
      <c r="D15" s="295">
        <v>19000</v>
      </c>
      <c r="E15" s="295"/>
      <c r="F15" s="295">
        <v>2000</v>
      </c>
      <c r="G15" s="283"/>
      <c r="H15" s="444">
        <f t="shared" si="0"/>
        <v>21000</v>
      </c>
      <c r="I15" s="425">
        <f t="shared" si="1"/>
        <v>0</v>
      </c>
      <c r="L15" s="437"/>
      <c r="M15" s="432">
        <f>12000-12000</f>
        <v>0</v>
      </c>
      <c r="N15" s="433"/>
    </row>
    <row r="16" spans="1:14" ht="15.75" x14ac:dyDescent="0.25">
      <c r="A16" s="447" t="s">
        <v>129</v>
      </c>
      <c r="B16" s="448" t="s">
        <v>291</v>
      </c>
      <c r="C16" s="295">
        <v>8000</v>
      </c>
      <c r="D16" s="295"/>
      <c r="E16" s="295"/>
      <c r="F16" s="295">
        <v>8000</v>
      </c>
      <c r="G16" s="283"/>
      <c r="H16" s="444">
        <f t="shared" si="0"/>
        <v>8000</v>
      </c>
      <c r="I16" s="425">
        <f t="shared" si="1"/>
        <v>0</v>
      </c>
      <c r="L16" s="431"/>
      <c r="M16" s="432">
        <v>0</v>
      </c>
      <c r="N16" s="433"/>
    </row>
    <row r="17" spans="1:15" ht="15.75" x14ac:dyDescent="0.25">
      <c r="A17" s="447" t="s">
        <v>131</v>
      </c>
      <c r="B17" s="448" t="s">
        <v>286</v>
      </c>
      <c r="C17" s="295">
        <v>50000</v>
      </c>
      <c r="D17" s="295"/>
      <c r="E17" s="295"/>
      <c r="F17" s="283">
        <v>50000</v>
      </c>
      <c r="G17" s="283"/>
      <c r="H17" s="444">
        <f t="shared" ref="H17" si="6">SUM(D17:G17)</f>
        <v>50000</v>
      </c>
      <c r="I17" s="425">
        <f t="shared" si="1"/>
        <v>0</v>
      </c>
      <c r="L17" s="431" t="s">
        <v>266</v>
      </c>
      <c r="M17" s="445">
        <f>3000-3000</f>
        <v>0</v>
      </c>
      <c r="N17" s="446"/>
    </row>
    <row r="18" spans="1:15" ht="16.5" thickBot="1" x14ac:dyDescent="0.3">
      <c r="A18" s="453" t="s">
        <v>131</v>
      </c>
      <c r="B18" s="454" t="s">
        <v>284</v>
      </c>
      <c r="C18" s="283">
        <v>200000</v>
      </c>
      <c r="D18" s="283"/>
      <c r="E18" s="283"/>
      <c r="F18" s="289">
        <v>200000</v>
      </c>
      <c r="G18" s="287"/>
      <c r="H18" s="451">
        <f t="shared" si="0"/>
        <v>200000</v>
      </c>
      <c r="I18" s="425">
        <f t="shared" si="1"/>
        <v>0</v>
      </c>
      <c r="J18" s="487">
        <f>SUM(H14:H18)</f>
        <v>311000</v>
      </c>
      <c r="L18" s="455" t="s">
        <v>269</v>
      </c>
      <c r="M18" s="456">
        <v>4800</v>
      </c>
      <c r="N18" s="433"/>
    </row>
    <row r="19" spans="1:15" ht="16.5" thickBot="1" x14ac:dyDescent="0.3">
      <c r="A19" s="488" t="s">
        <v>140</v>
      </c>
      <c r="B19" s="489" t="s">
        <v>268</v>
      </c>
      <c r="C19" s="476">
        <f>120000</f>
        <v>120000</v>
      </c>
      <c r="D19" s="476">
        <f>110000</f>
        <v>110000</v>
      </c>
      <c r="E19" s="476"/>
      <c r="F19" s="476">
        <v>10000</v>
      </c>
      <c r="G19" s="476"/>
      <c r="H19" s="490">
        <f t="shared" si="0"/>
        <v>120000</v>
      </c>
      <c r="I19" s="425">
        <f t="shared" si="1"/>
        <v>0</v>
      </c>
      <c r="L19" s="458" t="s">
        <v>294</v>
      </c>
      <c r="M19" s="459">
        <f>SUM(M5:M18)</f>
        <v>60000</v>
      </c>
      <c r="N19" s="460"/>
    </row>
    <row r="20" spans="1:15" ht="15.75" thickBot="1" x14ac:dyDescent="0.3">
      <c r="A20" s="457" t="s">
        <v>157</v>
      </c>
      <c r="B20" s="438" t="s">
        <v>202</v>
      </c>
      <c r="C20" s="289">
        <v>175200</v>
      </c>
      <c r="D20" s="289">
        <v>166800</v>
      </c>
      <c r="E20" s="289"/>
      <c r="F20" s="289">
        <v>8400</v>
      </c>
      <c r="G20" s="289"/>
      <c r="H20" s="436">
        <f t="shared" si="0"/>
        <v>175200</v>
      </c>
      <c r="I20" s="425">
        <f t="shared" si="1"/>
        <v>0</v>
      </c>
      <c r="M20" s="418"/>
      <c r="N20" s="469"/>
    </row>
    <row r="21" spans="1:15" ht="16.5" thickBot="1" x14ac:dyDescent="0.3">
      <c r="A21" s="535" t="s">
        <v>270</v>
      </c>
      <c r="B21" s="536"/>
      <c r="C21" s="461">
        <f t="shared" ref="C21:H21" si="7">SUM(C4:C20)</f>
        <v>1317070</v>
      </c>
      <c r="D21" s="461">
        <f t="shared" si="7"/>
        <v>741900</v>
      </c>
      <c r="E21" s="461">
        <f t="shared" si="7"/>
        <v>3000</v>
      </c>
      <c r="F21" s="461">
        <f t="shared" si="7"/>
        <v>572170</v>
      </c>
      <c r="G21" s="461">
        <f t="shared" si="7"/>
        <v>0</v>
      </c>
      <c r="H21" s="462">
        <f t="shared" si="7"/>
        <v>1317070</v>
      </c>
      <c r="I21" s="425">
        <f t="shared" si="1"/>
        <v>0</v>
      </c>
      <c r="M21" s="418"/>
      <c r="N21" s="470"/>
    </row>
    <row r="22" spans="1:15" x14ac:dyDescent="0.25">
      <c r="A22" s="480"/>
      <c r="B22" s="480"/>
      <c r="C22" s="481"/>
      <c r="D22" s="481"/>
      <c r="E22" s="481"/>
      <c r="F22" s="481"/>
      <c r="G22" s="481"/>
      <c r="H22" s="482"/>
      <c r="I22" s="483"/>
      <c r="J22" s="484"/>
    </row>
    <row r="23" spans="1:15" x14ac:dyDescent="0.25">
      <c r="A23" s="418"/>
      <c r="B23" s="418"/>
      <c r="C23" s="418"/>
      <c r="D23" s="418"/>
      <c r="E23" s="463">
        <f>D21+E21</f>
        <v>744900</v>
      </c>
      <c r="F23" s="464"/>
      <c r="G23" s="463"/>
      <c r="H23" s="418"/>
      <c r="I23" s="418"/>
    </row>
    <row r="24" spans="1:15" x14ac:dyDescent="0.25">
      <c r="A24" s="418"/>
      <c r="B24" s="418"/>
      <c r="C24" s="418"/>
      <c r="D24" s="465"/>
      <c r="E24" s="466"/>
      <c r="F24" s="463"/>
      <c r="G24" s="466"/>
      <c r="H24" s="418"/>
      <c r="I24" s="418"/>
    </row>
    <row r="25" spans="1:15" x14ac:dyDescent="0.25">
      <c r="A25" s="467"/>
      <c r="B25" s="468" t="s">
        <v>271</v>
      </c>
      <c r="C25" s="418"/>
      <c r="D25" s="418"/>
      <c r="E25" s="465"/>
      <c r="F25" s="465"/>
      <c r="G25" s="418"/>
      <c r="H25" s="418"/>
      <c r="I25" s="418"/>
    </row>
    <row r="26" spans="1:15" x14ac:dyDescent="0.25">
      <c r="A26" s="418"/>
      <c r="B26" s="418"/>
      <c r="C26" s="418"/>
      <c r="D26" s="418"/>
      <c r="E26" s="418"/>
      <c r="F26" s="418"/>
      <c r="G26" s="418"/>
      <c r="H26" s="418"/>
      <c r="I26" s="418"/>
      <c r="J26" s="418"/>
    </row>
    <row r="27" spans="1:15" x14ac:dyDescent="0.25">
      <c r="A27" s="418"/>
      <c r="B27" s="418" t="s">
        <v>229</v>
      </c>
      <c r="C27" s="418"/>
      <c r="D27" s="418"/>
      <c r="E27" s="418"/>
      <c r="F27" s="418"/>
      <c r="G27" s="418"/>
      <c r="H27" s="418"/>
      <c r="I27" s="418"/>
      <c r="J27" s="418"/>
    </row>
    <row r="28" spans="1:15" x14ac:dyDescent="0.25">
      <c r="A28" s="418"/>
      <c r="B28" s="418" t="s">
        <v>311</v>
      </c>
      <c r="C28" s="418"/>
      <c r="D28" s="418"/>
      <c r="E28" s="418"/>
      <c r="F28" s="418"/>
      <c r="G28" s="418"/>
      <c r="H28" s="418"/>
      <c r="I28" s="418"/>
      <c r="J28" s="418"/>
      <c r="O28" s="418"/>
    </row>
    <row r="29" spans="1:15" x14ac:dyDescent="0.25">
      <c r="O29" s="418"/>
    </row>
  </sheetData>
  <mergeCells count="3">
    <mergeCell ref="A1:H1"/>
    <mergeCell ref="L3:N3"/>
    <mergeCell ref="A21:B2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VR21-23</vt:lpstr>
      <vt:lpstr>INV21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2021-01-07T11:00:34Z</dcterms:modified>
</cp:coreProperties>
</file>