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16" yWindow="1740" windowWidth="15480" windowHeight="8700" activeTab="7"/>
  </bookViews>
  <sheets>
    <sheet name="2010-2011" sheetId="1" r:id="rId1"/>
    <sheet name="20093" sheetId="2" r:id="rId2"/>
    <sheet name="20092" sheetId="3" r:id="rId3"/>
    <sheet name="20091" sheetId="4" r:id="rId4"/>
    <sheet name="2009" sheetId="5" r:id="rId5"/>
    <sheet name="ZU" sheetId="6" r:id="rId6"/>
    <sheet name="Kons súvaha" sheetId="7" r:id="rId7"/>
    <sheet name="Kons VZS" sheetId="8" r:id="rId8"/>
  </sheets>
  <definedNames>
    <definedName name="_xlnm.Print_Titles" localSheetId="2">'20092'!$9:$10</definedName>
  </definedNames>
  <calcPr fullCalcOnLoad="1"/>
</workbook>
</file>

<file path=xl/sharedStrings.xml><?xml version="1.0" encoding="utf-8"?>
<sst xmlns="http://schemas.openxmlformats.org/spreadsheetml/2006/main" count="1524" uniqueCount="449">
  <si>
    <t>v tis. Sk</t>
  </si>
  <si>
    <t>Bežný rozpočet - príjmy</t>
  </si>
  <si>
    <t>Názov položky</t>
  </si>
  <si>
    <t>daňové príjmy</t>
  </si>
  <si>
    <t>výnos dane pre územnú samosprávu</t>
  </si>
  <si>
    <t>daň z bytov</t>
  </si>
  <si>
    <t>daň za psa</t>
  </si>
  <si>
    <t>daň za nevýherné hracie prístroje</t>
  </si>
  <si>
    <t>daň za užívanie verejného priestranstva</t>
  </si>
  <si>
    <t>MP za zber a odvoz odpadu</t>
  </si>
  <si>
    <t>nedaňové príjmy</t>
  </si>
  <si>
    <t>prenájom pozemkov</t>
  </si>
  <si>
    <t>prenájom bytov</t>
  </si>
  <si>
    <t>prenájom budov</t>
  </si>
  <si>
    <t xml:space="preserve">správne poplatky </t>
  </si>
  <si>
    <t>ostatné príjmy</t>
  </si>
  <si>
    <t>poplatky za dom smútku</t>
  </si>
  <si>
    <t>príjem za opatrovateľskú službu</t>
  </si>
  <si>
    <t>predaj prebytočného majetku</t>
  </si>
  <si>
    <t>úroky</t>
  </si>
  <si>
    <t>úroky z ZBU, TV</t>
  </si>
  <si>
    <t>granty, dotácie, transfery</t>
  </si>
  <si>
    <t>Dotácia na stavebný úrad</t>
  </si>
  <si>
    <t>Transfer na rodinné prídavky</t>
  </si>
  <si>
    <t>BEŽNÉ PRÍJMY CELKOM:</t>
  </si>
  <si>
    <t>Bežný rozpočet - výdavky</t>
  </si>
  <si>
    <t>Všeobecné verejné služby</t>
  </si>
  <si>
    <t>01116</t>
  </si>
  <si>
    <t>0112</t>
  </si>
  <si>
    <t>Fin.a rozpoč.oblasť - HKON, OZ, audit, bank.poplatky</t>
  </si>
  <si>
    <t>0133</t>
  </si>
  <si>
    <t>Civilná ochrana</t>
  </si>
  <si>
    <t>0220</t>
  </si>
  <si>
    <t xml:space="preserve">Požiarna ochrana </t>
  </si>
  <si>
    <t>0320</t>
  </si>
  <si>
    <t>Všeobecná ekonomická oblasť</t>
  </si>
  <si>
    <t>0411</t>
  </si>
  <si>
    <t>0443</t>
  </si>
  <si>
    <t>04513</t>
  </si>
  <si>
    <t>0490</t>
  </si>
  <si>
    <t>Ochrana životného prostredia</t>
  </si>
  <si>
    <t>0510</t>
  </si>
  <si>
    <t>Nakladanie s odpadmi</t>
  </si>
  <si>
    <t>0560</t>
  </si>
  <si>
    <t>Občianska vybavenosť</t>
  </si>
  <si>
    <t>0640</t>
  </si>
  <si>
    <t>Verejné osvetlenie</t>
  </si>
  <si>
    <t>Rekreácia, šport, kultúra, náboženstvo</t>
  </si>
  <si>
    <t>0810</t>
  </si>
  <si>
    <t>0820</t>
  </si>
  <si>
    <t>Horehronské dni spevu a tanca - obec</t>
  </si>
  <si>
    <t>08203</t>
  </si>
  <si>
    <t>08205</t>
  </si>
  <si>
    <t>08209</t>
  </si>
  <si>
    <t>0830</t>
  </si>
  <si>
    <t>0840</t>
  </si>
  <si>
    <t>0860</t>
  </si>
  <si>
    <t>Vzdelávanie</t>
  </si>
  <si>
    <t>09111</t>
  </si>
  <si>
    <t>09121</t>
  </si>
  <si>
    <t>09501</t>
  </si>
  <si>
    <t>ZUŠ</t>
  </si>
  <si>
    <t>09607</t>
  </si>
  <si>
    <t>Sociálne zabezpečenie</t>
  </si>
  <si>
    <t>10202</t>
  </si>
  <si>
    <t>10203</t>
  </si>
  <si>
    <t>10404</t>
  </si>
  <si>
    <t>1050</t>
  </si>
  <si>
    <t>Aktivačná činnosť</t>
  </si>
  <si>
    <t>10701</t>
  </si>
  <si>
    <t>10703</t>
  </si>
  <si>
    <t>Sociálna pomoc  občanom v núdzi</t>
  </si>
  <si>
    <t>1090</t>
  </si>
  <si>
    <t>Soc. pomoc pri živelných pohromách</t>
  </si>
  <si>
    <t>Transfer pre ZŠ</t>
  </si>
  <si>
    <t>09502</t>
  </si>
  <si>
    <t>Transfer pre ŠKD</t>
  </si>
  <si>
    <t>09601</t>
  </si>
  <si>
    <t>BEŽNÉ VÝDAVKY CELKOM:</t>
  </si>
  <si>
    <t>Kapitálový rozpočet</t>
  </si>
  <si>
    <t>kanalizácia</t>
  </si>
  <si>
    <t>Finančné operácie</t>
  </si>
  <si>
    <t>príjmy bežného rozpočtu</t>
  </si>
  <si>
    <t>výdavky bežného rozpočtu</t>
  </si>
  <si>
    <t>prebytok bežného rozpočtu</t>
  </si>
  <si>
    <t>príjmy kapitálového rozpočtu</t>
  </si>
  <si>
    <t>výdavky kapitálového rozpočtu</t>
  </si>
  <si>
    <t>schodok kapitálového rozpočtu</t>
  </si>
  <si>
    <t>CELKOVÝ  STAV  ROZPOČTU:</t>
  </si>
  <si>
    <t>Príjmy celkom:</t>
  </si>
  <si>
    <t>Výdavky celkom:</t>
  </si>
  <si>
    <t>Rozpočet 2008</t>
  </si>
  <si>
    <t>daň z pozemkov FO, PO</t>
  </si>
  <si>
    <t>daň zo stavieb FO, PO</t>
  </si>
  <si>
    <t>predaj odpadových nádob</t>
  </si>
  <si>
    <t>príjmy za separovaný zber</t>
  </si>
  <si>
    <t>ZUŠ - príspevok rodičov na náklady zariadenia</t>
  </si>
  <si>
    <t>MŠ - príspevok rodičov na náklady zariadenia</t>
  </si>
  <si>
    <t xml:space="preserve">ZŠS - prevod réžie </t>
  </si>
  <si>
    <t>predaj pozemkov, budov</t>
  </si>
  <si>
    <t>príjmy z refundácie za skladníka CO</t>
  </si>
  <si>
    <t>príjmy z ostatných refundácii</t>
  </si>
  <si>
    <t>príjmy z náhrad priestupkového konania</t>
  </si>
  <si>
    <t>príjem z výťažkov lotérií a hazardných hier</t>
  </si>
  <si>
    <t>príjmy z refundácii služieb nebytových priestorov</t>
  </si>
  <si>
    <t>Granty na kultúru</t>
  </si>
  <si>
    <t>Dotácia na matričnú činnosť a REGOP</t>
  </si>
  <si>
    <t>Transfer pre ZŠ - právny subjekt</t>
  </si>
  <si>
    <t>Dotácia na deti v hm.núdzi /strava,pomôcky,motivačný/</t>
  </si>
  <si>
    <t>Dotácia na aktivačnú činnosť</t>
  </si>
  <si>
    <t>BEŽNÉ PRÍJMY obce:</t>
  </si>
  <si>
    <t>Vlastný príjem ZŠ</t>
  </si>
  <si>
    <t>Výdavky verejnej správy - samospráva</t>
  </si>
  <si>
    <t>Spoločný stavebný úrad</t>
  </si>
  <si>
    <t>Skladník CO</t>
  </si>
  <si>
    <t>Členské príspevky združeniam, organizáciám</t>
  </si>
  <si>
    <t>Starostlivosť o ŽP, ver.zeleň, čistenie potokov</t>
  </si>
  <si>
    <t>Matričný úrad a REGOP</t>
  </si>
  <si>
    <t>Obecný hasičský zbor</t>
  </si>
  <si>
    <t>Miestne komunikácie-údržba ciest,zimná údržba</t>
  </si>
  <si>
    <t>Správa obecných objektov a majetku</t>
  </si>
  <si>
    <t>Príspevok pre Športový klub</t>
  </si>
  <si>
    <t>Údržba športového areálu</t>
  </si>
  <si>
    <t>Riadenie kultúrnych činností,propagácia</t>
  </si>
  <si>
    <t>Údržba amfiteátra</t>
  </si>
  <si>
    <t>Miestna ľudová knižnica</t>
  </si>
  <si>
    <t>HDST - prevod vstupného SOS</t>
  </si>
  <si>
    <t>Prevádzka Domu smútku a cintorína</t>
  </si>
  <si>
    <t>Kultúrna a športová reprezentácia obce a minigranty</t>
  </si>
  <si>
    <t>ZŠ - údržba priestorov</t>
  </si>
  <si>
    <t>Spoločný školský úrad</t>
  </si>
  <si>
    <t>Opatrovateľská služba</t>
  </si>
  <si>
    <t>Spoločný úrad sociálnej pomoci</t>
  </si>
  <si>
    <t>Mesiac úcty k starším, zlatá svadba</t>
  </si>
  <si>
    <t>Uvítanie detí do života</t>
  </si>
  <si>
    <t>Prídavky na deti</t>
  </si>
  <si>
    <t>Príspevok deťom v hm.núdzi -strava,motivačný,pomôcky</t>
  </si>
  <si>
    <t>BEŽNÉ VÝDAVKY obce:</t>
  </si>
  <si>
    <t>splácanie úveru ŠFRB</t>
  </si>
  <si>
    <t>finančné operácie výdavkové</t>
  </si>
  <si>
    <t>finančné operácie príjmové</t>
  </si>
  <si>
    <t>rozdiel finančných operácií</t>
  </si>
  <si>
    <t>Kapitálové príjmy</t>
  </si>
  <si>
    <t>Kapitálové výdavky</t>
  </si>
  <si>
    <t>príjmové</t>
  </si>
  <si>
    <t>výdavkové</t>
  </si>
  <si>
    <t>REKAPITULÁCIA ROZPOČTU</t>
  </si>
  <si>
    <t>Rozpočet 2009</t>
  </si>
  <si>
    <t>prenájom hrobového miesta</t>
  </si>
  <si>
    <t>pokuty, sankcie</t>
  </si>
  <si>
    <t>príjem za cintorínske služby</t>
  </si>
  <si>
    <t>Materské centrum</t>
  </si>
  <si>
    <t>MŠ</t>
  </si>
  <si>
    <t>príjem z refund. SOS</t>
  </si>
  <si>
    <t>príjmy z katastra za ROEP</t>
  </si>
  <si>
    <t>plnenie rozpočtu</t>
  </si>
  <si>
    <t>projekt sadovnícke úpravy</t>
  </si>
  <si>
    <t>rekonštrukcia amfiteátra</t>
  </si>
  <si>
    <t xml:space="preserve">Kolovrátok </t>
  </si>
  <si>
    <t>Školská kuchyňa a jedáleň</t>
  </si>
  <si>
    <t>čerpanie rozpočtu</t>
  </si>
  <si>
    <t>projektová dokumentácia ZŠ st. úpravy</t>
  </si>
  <si>
    <t>Údržba miest.rozhlasu, SOZA,RTVS,kronika</t>
  </si>
  <si>
    <t>Transfer pre ZŠ :</t>
  </si>
  <si>
    <t>príjem z náhrad poistného plnenia</t>
  </si>
  <si>
    <t>Transfer od obcí na SpU SOC</t>
  </si>
  <si>
    <t>Transfer od ZŠ na SpU ŠKOL</t>
  </si>
  <si>
    <t>Dotácia na HDST od BBSK</t>
  </si>
  <si>
    <t>príjmy zo vstupného a kult.činnosti</t>
  </si>
  <si>
    <t>príjem z dobropisov a vratiek</t>
  </si>
  <si>
    <t>príjem ŠKJ - mliečny program</t>
  </si>
  <si>
    <t>prenájom strojov,prístrojov,zariadení</t>
  </si>
  <si>
    <t>Rozpočet obce Heľpa na rok 2009</t>
  </si>
  <si>
    <t>Návrh</t>
  </si>
  <si>
    <t>prepočet v EUR</t>
  </si>
  <si>
    <t>Konverzný kurz: 1 € = 30,1260 Sk</t>
  </si>
  <si>
    <t>príjmy z refundácie zo SF, zam.strava</t>
  </si>
  <si>
    <t>Dotácia MK SR kult. poukazy</t>
  </si>
  <si>
    <t>granty</t>
  </si>
  <si>
    <t>infraštruktúra st.obvod Teplica II.</t>
  </si>
  <si>
    <t>výstavba haly zberný dvor</t>
  </si>
  <si>
    <t>Fašiangy, Mikuláš, Silvester</t>
  </si>
  <si>
    <t>kotolňa st. ZŠ</t>
  </si>
  <si>
    <t>nákup pozemkov st.obvod Teplica II.</t>
  </si>
  <si>
    <t>nákup techniky</t>
  </si>
  <si>
    <t>prevod z FRO - investičné akcie</t>
  </si>
  <si>
    <t>ŠKJ - zariadenie kuchyne</t>
  </si>
  <si>
    <t>Kultúrne podujatia</t>
  </si>
  <si>
    <t>poplatky za služby - užívanie obec.nebyt.priestorov</t>
  </si>
  <si>
    <t>ostatné príjmy /relácie,kopírovanie,fax,kult.../</t>
  </si>
  <si>
    <t>v EUR</t>
  </si>
  <si>
    <t>Rozpočet obce Heľpa na roky 2010 - 2011</t>
  </si>
  <si>
    <t>Rozpočet</t>
  </si>
  <si>
    <t>Rozpočet  2010</t>
  </si>
  <si>
    <t>Fin.a rozpoč.oblasť - HKON, OZ, audit, bank.popl.</t>
  </si>
  <si>
    <t>Rozpočet  2011</t>
  </si>
  <si>
    <t>oporný múr Farská ul.</t>
  </si>
  <si>
    <t>výstavba zberný dvor</t>
  </si>
  <si>
    <t>školstvo - zariadenia</t>
  </si>
  <si>
    <t>chodníky</t>
  </si>
  <si>
    <t>projektová dokumentácia ČOV + výstavba</t>
  </si>
  <si>
    <t>návratné zdroje financovania</t>
  </si>
  <si>
    <t>09</t>
  </si>
  <si>
    <t>sadové úpravy</t>
  </si>
  <si>
    <t>Schválený uznesením OZ v Heľpe č. 143/2008 zo dňa 12.12.2008</t>
  </si>
  <si>
    <t>Rozpočet 2009 v EUR</t>
  </si>
  <si>
    <t>Rozpočet 2009 v tis. Sk</t>
  </si>
  <si>
    <t>Rozpočet 2009 v tis.Sk</t>
  </si>
  <si>
    <t>projektová dokumentácia ČOV</t>
  </si>
  <si>
    <t>projektová dokumentácia zberný dvor</t>
  </si>
  <si>
    <t>0520</t>
  </si>
  <si>
    <t>výstavba ČOV</t>
  </si>
  <si>
    <t>0620</t>
  </si>
  <si>
    <t>projektová dokumentácia sadovnícke úpravy</t>
  </si>
  <si>
    <t>projektová dokumentácia kotolňa ZŠ</t>
  </si>
  <si>
    <t>Fašiangy, Mikuláš, Silvester, Zimné večery</t>
  </si>
  <si>
    <t>príjem ŠKJ - mliečny program, refundácie</t>
  </si>
  <si>
    <t>Transfer na voľby</t>
  </si>
  <si>
    <t>Transfer pre MŠ - učeb.pomôcky</t>
  </si>
  <si>
    <t>0160</t>
  </si>
  <si>
    <t>projektová dokumentácia VEO</t>
  </si>
  <si>
    <t>Zmena rozpočtu schválená uznesením OZ v Heľpe č. 19/2009 dňa 27.3.2009</t>
  </si>
  <si>
    <t>Dotácia MK SR - projekty</t>
  </si>
  <si>
    <t>splácanie výpomocí</t>
  </si>
  <si>
    <t>Voľby - prezident,EP</t>
  </si>
  <si>
    <t>projektová dokumentácia - pasport</t>
  </si>
  <si>
    <t>projektová dokumentácia -regenerácia sídel</t>
  </si>
  <si>
    <t>projektová dokumentácia - autobus.zastávka</t>
  </si>
  <si>
    <t>projektová dokumentácia ROP inž.tech.zab.</t>
  </si>
  <si>
    <t>detské ihrisko v MŠ</t>
  </si>
  <si>
    <t>sociálne výpomoci</t>
  </si>
  <si>
    <t>Príjmy obce celkom:</t>
  </si>
  <si>
    <t>Výdavky obce celkom:</t>
  </si>
  <si>
    <t>úprava 1</t>
  </si>
  <si>
    <t>úprava 2</t>
  </si>
  <si>
    <t>Dotácia BBSK projekty</t>
  </si>
  <si>
    <t>Projekty - BBSK</t>
  </si>
  <si>
    <t>Dotácia MF SR - výmena okien ZS</t>
  </si>
  <si>
    <t>Dotácia MP SR - výmena okien ZS</t>
  </si>
  <si>
    <t>0442</t>
  </si>
  <si>
    <t>projektová dokumentácia - IBV TE II</t>
  </si>
  <si>
    <t>Stavebné úpravy - st. ZŠ na ZUŠ</t>
  </si>
  <si>
    <t>Skutočnosť 9</t>
  </si>
  <si>
    <t xml:space="preserve">Projekty - M SR </t>
  </si>
  <si>
    <t>Zmena rozpočtu schválená uznesením OZ v Heľpe č. 68/2009 dňa 25.9.2009</t>
  </si>
  <si>
    <t>úprava 3</t>
  </si>
  <si>
    <t>Dotácia na deti v hm.núdzi /strava,pomôcky/</t>
  </si>
  <si>
    <t>Zmena rozpočtu schválená uznesením OZ v Heľpe č. 81/2009 dňa 11.12.2009</t>
  </si>
  <si>
    <t>Skutočnosť 12</t>
  </si>
  <si>
    <t>Prepočet v tis.Sk</t>
  </si>
  <si>
    <t>Voľby - prezident,EP,VC</t>
  </si>
  <si>
    <t>Matričný úrad a REGOB</t>
  </si>
  <si>
    <t xml:space="preserve">Dotácia MF SR - uz.vlády </t>
  </si>
  <si>
    <t>Príspevok deťom v hm.núdzi -strava,pomôcky</t>
  </si>
  <si>
    <t>Školská jedáleň</t>
  </si>
  <si>
    <t>Názov položky podľa ekonomickej klasifikácie</t>
  </si>
  <si>
    <t>100 - daňové príjmy</t>
  </si>
  <si>
    <t>miestne dane</t>
  </si>
  <si>
    <t>miestne poplatky</t>
  </si>
  <si>
    <t>200 - nedaňové príjmy</t>
  </si>
  <si>
    <t>príjmy z prenájmu pozemkov, budov, bytov</t>
  </si>
  <si>
    <t>administratívne poplatky a iné platby</t>
  </si>
  <si>
    <t>ostatné príjmy z refundácií, dobropisov, náhrad</t>
  </si>
  <si>
    <t>300 - granty, dotácie, transfery</t>
  </si>
  <si>
    <t xml:space="preserve">Dotácia na kultúrne poukazy </t>
  </si>
  <si>
    <t>Názov položky podľa funkčnej klasifikácie</t>
  </si>
  <si>
    <t>01.</t>
  </si>
  <si>
    <t xml:space="preserve">02. </t>
  </si>
  <si>
    <t>03.</t>
  </si>
  <si>
    <t>Požiarna ochrana</t>
  </si>
  <si>
    <t>04.</t>
  </si>
  <si>
    <t>05.</t>
  </si>
  <si>
    <t>06.</t>
  </si>
  <si>
    <t>07.</t>
  </si>
  <si>
    <t>08.</t>
  </si>
  <si>
    <t>10.</t>
  </si>
  <si>
    <t>RO</t>
  </si>
  <si>
    <t>Príjmy kapitálového rozpočtu:</t>
  </si>
  <si>
    <t>Príjem z predaja kapitálových aktív</t>
  </si>
  <si>
    <t>Príjem z predaja pozemkov</t>
  </si>
  <si>
    <t>Výdavky kapitálového rozpočtu:</t>
  </si>
  <si>
    <t>713</t>
  </si>
  <si>
    <t>716</t>
  </si>
  <si>
    <t>Prípravná a projektová dokumentácia</t>
  </si>
  <si>
    <t>717</t>
  </si>
  <si>
    <t>Realizácia nových stavieb</t>
  </si>
  <si>
    <t>Rekonštrukcie a modernizácie</t>
  </si>
  <si>
    <t>Prístavby, nadstavby, stavebné úpravy</t>
  </si>
  <si>
    <t>Príjmové finančné operácie:</t>
  </si>
  <si>
    <t xml:space="preserve">Prevod z peň. fondu obce - FRO </t>
  </si>
  <si>
    <t>Splácanie ostat. dlhodobých úverov</t>
  </si>
  <si>
    <t>Druh rozpočtu</t>
  </si>
  <si>
    <t>Schválený 2009</t>
  </si>
  <si>
    <t>Upravený 2009</t>
  </si>
  <si>
    <t>Skutočnosť 12/2009</t>
  </si>
  <si>
    <t>Dotácia na matričnú činnosť a register obyv.</t>
  </si>
  <si>
    <t>Transfer pre MŠ na učeb.pomôcky</t>
  </si>
  <si>
    <t>Bežný rozpočet - príjmy v EUR</t>
  </si>
  <si>
    <t>Transfer na voľby-prezident,EP,VÚC</t>
  </si>
  <si>
    <t>Dotácia MP SR -  výmena okien ZS</t>
  </si>
  <si>
    <t>Dotácia MK SR - projekty /Kolovrátok,tradície/</t>
  </si>
  <si>
    <t>Dotácia MF SR - ind.potreby /vým.okien ZS/</t>
  </si>
  <si>
    <t>Dotácia MF SR - uzn. Vlády</t>
  </si>
  <si>
    <t>Dotácia na deti v hm.núdzi /strava,šk.potreby/</t>
  </si>
  <si>
    <t>Dotácia na rodinné prídavky</t>
  </si>
  <si>
    <t>Dotácia od BBSK na projekty /Kolovrátok,tradície/</t>
  </si>
  <si>
    <t>Bežný rozpočet - výdavky v EUR</t>
  </si>
  <si>
    <t>Kapitálový rozpočet v EUR</t>
  </si>
  <si>
    <t>Splátky od fyz.osoby</t>
  </si>
  <si>
    <t>Výdavkové finančné operácie:</t>
  </si>
  <si>
    <t>Návratné zdroje financovania</t>
  </si>
  <si>
    <t>711</t>
  </si>
  <si>
    <t>Nákup pozemkov</t>
  </si>
  <si>
    <t>Nákup techniky</t>
  </si>
  <si>
    <t>Návratné fin.výpomoci FO</t>
  </si>
  <si>
    <t>Finančné operácie v EUR</t>
  </si>
  <si>
    <t>718</t>
  </si>
  <si>
    <t>Modernizácia techniky</t>
  </si>
  <si>
    <t>bežného rozpočtu</t>
  </si>
  <si>
    <t>kapitálového rozpočtu</t>
  </si>
  <si>
    <t>Celkové príjmy:</t>
  </si>
  <si>
    <t>Celkové výdavky:</t>
  </si>
  <si>
    <t>Výsledok rozpočtového hospodárenia:</t>
  </si>
  <si>
    <t>bežné príjmy obce</t>
  </si>
  <si>
    <t>kapitálové príjmy obce</t>
  </si>
  <si>
    <t>bežné príjmy RO</t>
  </si>
  <si>
    <t>bežné výdavky obce</t>
  </si>
  <si>
    <t>kapitálové výdavky obce</t>
  </si>
  <si>
    <t>bežné výdavky RO</t>
  </si>
  <si>
    <t>AKTÍVA</t>
  </si>
  <si>
    <t>PASÍVA</t>
  </si>
  <si>
    <t>Neobežný majetok</t>
  </si>
  <si>
    <t>Vlastné imanie</t>
  </si>
  <si>
    <t>Dlhodobý nehmotný majetok</t>
  </si>
  <si>
    <t>Oceňovacie rozdiely</t>
  </si>
  <si>
    <t>Dlhodobý hmotný majetok</t>
  </si>
  <si>
    <t>Oceňovacie rozdiely z kapit.účastín</t>
  </si>
  <si>
    <t>Pozemky</t>
  </si>
  <si>
    <t>Fondy</t>
  </si>
  <si>
    <t>Umelecké diela a zbierky</t>
  </si>
  <si>
    <t>Výsledok hospodárenia</t>
  </si>
  <si>
    <t>Stavby</t>
  </si>
  <si>
    <t>Nevysp.výsl.hosp. min. rokov</t>
  </si>
  <si>
    <t>Samostatné hnuteľné veci</t>
  </si>
  <si>
    <t>Výsledok hosp. za účt.obdobie</t>
  </si>
  <si>
    <t>Dopravné prostriedky</t>
  </si>
  <si>
    <t>Obstaranie DHM</t>
  </si>
  <si>
    <t>Dlhodobý finančný majetok</t>
  </si>
  <si>
    <t>Ostatný DFM</t>
  </si>
  <si>
    <t>Obežný majetok</t>
  </si>
  <si>
    <t>Záväzky</t>
  </si>
  <si>
    <t>Zásoby</t>
  </si>
  <si>
    <t>Rezervy</t>
  </si>
  <si>
    <t>Materiál</t>
  </si>
  <si>
    <t>Ostatné krátkodobé rezervy</t>
  </si>
  <si>
    <t>Zúčt. medzi subj. VS</t>
  </si>
  <si>
    <t>Dlhodobé pohľadávky</t>
  </si>
  <si>
    <t>Dlhodobé záväzky</t>
  </si>
  <si>
    <t>Krátkodobé pohľadávky</t>
  </si>
  <si>
    <t>Ostatné dlhodobé záväzky</t>
  </si>
  <si>
    <t>Pohľadávky z nedaň. príjmov obcí</t>
  </si>
  <si>
    <t>Záväzky zo sociálneho fondu</t>
  </si>
  <si>
    <t>Pohľadávky z daň. príjmov obcí</t>
  </si>
  <si>
    <t>Krátkodobé záväzky</t>
  </si>
  <si>
    <t>Pohľadávky voči zamestnancom</t>
  </si>
  <si>
    <t>Dodávatelia</t>
  </si>
  <si>
    <t>Finančné účty</t>
  </si>
  <si>
    <t>Iné záväzky</t>
  </si>
  <si>
    <t>Pokladnica</t>
  </si>
  <si>
    <t>Zamestnanci</t>
  </si>
  <si>
    <t>Bankové účty</t>
  </si>
  <si>
    <t>Zúčt. s org.soc.poist.a zdr.poist.</t>
  </si>
  <si>
    <t>Poskyt.návrat.fin.výpomoci dlhodobé</t>
  </si>
  <si>
    <t>Ostatné priame dane</t>
  </si>
  <si>
    <t>Poskyt.návrat.fin.výpomoci FO</t>
  </si>
  <si>
    <t>Bankové úvery a výpomoci</t>
  </si>
  <si>
    <t>Poskyt.návrat.fin.výpomoci krátkod.</t>
  </si>
  <si>
    <t>Časové rozlíšenie</t>
  </si>
  <si>
    <t>Náklady budúcich období</t>
  </si>
  <si>
    <t>Výnosy budúcich období</t>
  </si>
  <si>
    <t>Príjmy budúcich období</t>
  </si>
  <si>
    <t>MAJETOK SPOLU:</t>
  </si>
  <si>
    <t>VLASTNÉ IMANIE A ZÁV. SPOLU:</t>
  </si>
  <si>
    <t>Obec IUZ</t>
  </si>
  <si>
    <t>RO IUZ</t>
  </si>
  <si>
    <t>Agregovaná</t>
  </si>
  <si>
    <t>Eliminácia</t>
  </si>
  <si>
    <t>Konsolidovaná</t>
  </si>
  <si>
    <t>Iné pohľadávky</t>
  </si>
  <si>
    <t>Transfery a zúčt.subj. mimo VS</t>
  </si>
  <si>
    <t>Spotrebované nákupy</t>
  </si>
  <si>
    <t>Služby</t>
  </si>
  <si>
    <t>Ostatné náklady</t>
  </si>
  <si>
    <t>Dane a poplatky</t>
  </si>
  <si>
    <t>Ostatné náklady prevádz.činnosť</t>
  </si>
  <si>
    <t>Finančné náklady</t>
  </si>
  <si>
    <t>Mimoriadne náklady</t>
  </si>
  <si>
    <t>Náklady na transfery</t>
  </si>
  <si>
    <t>NÁKLADY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</si>
  <si>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</si>
  <si>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</si>
  <si>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</si>
  <si>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</si>
  <si>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</si>
  <si>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</si>
  <si>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</si>
  <si>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Zákonné sociálne poistenie</t>
  </si>
  <si>
    <t>Ostatné sociálne poistenie</t>
  </si>
  <si>
    <t>Zákonné sociálne náklady</t>
  </si>
  <si>
    <t>Ostatné dane a poplatky</t>
  </si>
  <si>
    <t>Zost.cena predaného DHM</t>
  </si>
  <si>
    <t>Ostatné náklady na prev.činn.</t>
  </si>
  <si>
    <t>Odpisy DHM</t>
  </si>
  <si>
    <t>Tvorba ostatných rezerv</t>
  </si>
  <si>
    <t>Úroky</t>
  </si>
  <si>
    <t>Kurzové straty</t>
  </si>
  <si>
    <t>Ostatné finančné náklady</t>
  </si>
  <si>
    <t>Náklady z odvodu príjmov</t>
  </si>
  <si>
    <t>NÁKLADY SPOLU:</t>
  </si>
  <si>
    <t>VÝNOSY</t>
  </si>
  <si>
    <t>Tržby za vlastné výkony a tovar</t>
  </si>
  <si>
    <t>Tržby z predaja služieb</t>
  </si>
  <si>
    <t>Aktivácia</t>
  </si>
  <si>
    <t>Aktivácia DHM</t>
  </si>
  <si>
    <t>Daňové a colné výnosy a z poplatkov</t>
  </si>
  <si>
    <t>Daňové výnosy samosprávy</t>
  </si>
  <si>
    <t>Výnosy z poplatkov</t>
  </si>
  <si>
    <t>Ostatné výnosy z prevádz.činnosti</t>
  </si>
  <si>
    <t>Tržby z predaja DHM</t>
  </si>
  <si>
    <t>Tržby z predaja materiálu</t>
  </si>
  <si>
    <t>Ostatné pokuty</t>
  </si>
  <si>
    <t>Zúčtov.rezerv,OP z prev,fin.čin.</t>
  </si>
  <si>
    <t>Zúčtov. ost.rezerv z prevádz.čin.</t>
  </si>
  <si>
    <t>Finančné výnosy</t>
  </si>
  <si>
    <t>Kurzové zisky</t>
  </si>
  <si>
    <t>Mimoriadne výnosy</t>
  </si>
  <si>
    <t>Výnosy z transferov a rozp. príjmov</t>
  </si>
  <si>
    <t>Výnosy z BT z rozpočtu obce</t>
  </si>
  <si>
    <t>VÝNOSY SPOLU:</t>
  </si>
  <si>
    <t>Odpisy,rezervy,OP z prev.,fin. čin.</t>
  </si>
  <si>
    <t>Nákl.na transf.z rozp. obce do RO</t>
  </si>
  <si>
    <t>Nákl.na tran.z rozp. obce subj.mimo VS</t>
  </si>
  <si>
    <t>Výn.sam.z BT zo ŠR,iných subj.VS</t>
  </si>
  <si>
    <t>Výn.sam.z KT zo ŠR,iných subj.VS</t>
  </si>
  <si>
    <t>Výn.sam.z BT subj.mimoVS</t>
  </si>
  <si>
    <t>Výn.sam.z KT subj.mimo VS</t>
  </si>
  <si>
    <t>Výn.sam.z odvodu rozp.príjmov</t>
  </si>
  <si>
    <t>Agregovaný VZS</t>
  </si>
  <si>
    <t>Konsolid. VZS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</si>
</sst>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Bookman Old Style"/>
      <family val="1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color indexed="10"/>
      <name val="Bookman Old Style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color indexed="41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0"/>
      <color indexed="47"/>
      <name val="Arial CE"/>
      <family val="0"/>
    </font>
    <font>
      <b/>
      <sz val="9"/>
      <name val="Arial CE"/>
      <family val="2"/>
    </font>
    <font>
      <b/>
      <sz val="12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7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3" fontId="4" fillId="2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49" fontId="0" fillId="0" borderId="18" xfId="0" applyNumberFormat="1" applyFill="1" applyBorder="1" applyAlignment="1">
      <alignment horizontal="right"/>
    </xf>
    <xf numFmtId="0" fontId="0" fillId="0" borderId="18" xfId="0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ill="1" applyBorder="1" applyAlignment="1">
      <alignment horizontal="right"/>
    </xf>
    <xf numFmtId="0" fontId="0" fillId="0" borderId="13" xfId="0" applyFont="1" applyBorder="1" applyAlignment="1">
      <alignment/>
    </xf>
    <xf numFmtId="49" fontId="0" fillId="0" borderId="18" xfId="0" applyNumberFormat="1" applyFont="1" applyFill="1" applyBorder="1" applyAlignment="1">
      <alignment horizontal="right"/>
    </xf>
    <xf numFmtId="49" fontId="4" fillId="4" borderId="17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49" fontId="0" fillId="0" borderId="15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24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49" fontId="0" fillId="0" borderId="24" xfId="0" applyNumberFormat="1" applyFill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4" fillId="7" borderId="17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49" fontId="0" fillId="0" borderId="29" xfId="0" applyNumberFormat="1" applyFill="1" applyBorder="1" applyAlignment="1">
      <alignment horizontal="right"/>
    </xf>
    <xf numFmtId="0" fontId="2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49" fontId="0" fillId="0" borderId="26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9" fontId="0" fillId="0" borderId="33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1" fontId="0" fillId="0" borderId="34" xfId="0" applyNumberFormat="1" applyFont="1" applyFill="1" applyBorder="1" applyAlignment="1">
      <alignment horizontal="right"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37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0" fillId="0" borderId="37" xfId="0" applyNumberFormat="1" applyFont="1" applyFill="1" applyBorder="1" applyAlignment="1">
      <alignment/>
    </xf>
    <xf numFmtId="1" fontId="2" fillId="0" borderId="40" xfId="0" applyNumberFormat="1" applyFont="1" applyFill="1" applyBorder="1" applyAlignment="1">
      <alignment/>
    </xf>
    <xf numFmtId="1" fontId="11" fillId="25" borderId="41" xfId="0" applyNumberFormat="1" applyFont="1" applyFill="1" applyBorder="1" applyAlignment="1">
      <alignment/>
    </xf>
    <xf numFmtId="1" fontId="2" fillId="17" borderId="37" xfId="0" applyNumberFormat="1" applyFont="1" applyFill="1" applyBorder="1" applyAlignment="1">
      <alignment horizontal="left"/>
    </xf>
    <xf numFmtId="1" fontId="5" fillId="8" borderId="42" xfId="0" applyNumberFormat="1" applyFont="1" applyFill="1" applyBorder="1" applyAlignment="1">
      <alignment horizontal="left"/>
    </xf>
    <xf numFmtId="1" fontId="0" fillId="0" borderId="4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4" fillId="4" borderId="41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2" fillId="4" borderId="18" xfId="0" applyNumberFormat="1" applyFont="1" applyFill="1" applyBorder="1" applyAlignment="1">
      <alignment horizontal="left"/>
    </xf>
    <xf numFmtId="1" fontId="2" fillId="4" borderId="41" xfId="0" applyNumberFormat="1" applyFont="1" applyFill="1" applyBorder="1" applyAlignment="1">
      <alignment horizontal="left"/>
    </xf>
    <xf numFmtId="1" fontId="13" fillId="0" borderId="0" xfId="0" applyNumberFormat="1" applyFont="1" applyAlignment="1">
      <alignment/>
    </xf>
    <xf numFmtId="1" fontId="0" fillId="0" borderId="19" xfId="0" applyNumberFormat="1" applyBorder="1" applyAlignment="1">
      <alignment/>
    </xf>
    <xf numFmtId="1" fontId="0" fillId="0" borderId="19" xfId="0" applyNumberFormat="1" applyFont="1" applyFill="1" applyBorder="1" applyAlignment="1">
      <alignment horizontal="right"/>
    </xf>
    <xf numFmtId="1" fontId="0" fillId="0" borderId="16" xfId="0" applyNumberFormat="1" applyBorder="1" applyAlignment="1">
      <alignment/>
    </xf>
    <xf numFmtId="1" fontId="4" fillId="7" borderId="41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/>
    </xf>
    <xf numFmtId="1" fontId="2" fillId="7" borderId="10" xfId="0" applyNumberFormat="1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right"/>
    </xf>
    <xf numFmtId="1" fontId="2" fillId="7" borderId="41" xfId="0" applyNumberFormat="1" applyFont="1" applyFill="1" applyBorder="1" applyAlignment="1">
      <alignment horizontal="left"/>
    </xf>
    <xf numFmtId="1" fontId="0" fillId="0" borderId="14" xfId="0" applyNumberFormat="1" applyBorder="1" applyAlignment="1">
      <alignment/>
    </xf>
    <xf numFmtId="1" fontId="0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" fontId="0" fillId="0" borderId="36" xfId="0" applyNumberFormat="1" applyFont="1" applyBorder="1" applyAlignment="1">
      <alignment/>
    </xf>
    <xf numFmtId="1" fontId="4" fillId="17" borderId="4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49" fontId="0" fillId="0" borderId="23" xfId="0" applyNumberForma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left"/>
    </xf>
    <xf numFmtId="1" fontId="0" fillId="0" borderId="43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" fontId="0" fillId="0" borderId="45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1" fontId="1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1" fontId="2" fillId="4" borderId="13" xfId="0" applyNumberFormat="1" applyFont="1" applyFill="1" applyBorder="1" applyAlignment="1">
      <alignment horizontal="left"/>
    </xf>
    <xf numFmtId="1" fontId="4" fillId="0" borderId="35" xfId="0" applyNumberFormat="1" applyFont="1" applyFill="1" applyBorder="1" applyAlignment="1">
      <alignment horizontal="right"/>
    </xf>
    <xf numFmtId="1" fontId="4" fillId="0" borderId="3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0" fillId="0" borderId="32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1" fontId="0" fillId="0" borderId="46" xfId="0" applyNumberFormat="1" applyFont="1" applyFill="1" applyBorder="1" applyAlignment="1">
      <alignment horizontal="right"/>
    </xf>
    <xf numFmtId="1" fontId="0" fillId="0" borderId="47" xfId="0" applyNumberFormat="1" applyFont="1" applyFill="1" applyBorder="1" applyAlignment="1">
      <alignment horizontal="right"/>
    </xf>
    <xf numFmtId="1" fontId="0" fillId="0" borderId="48" xfId="0" applyNumberFormat="1" applyFont="1" applyFill="1" applyBorder="1" applyAlignment="1">
      <alignment horizontal="right"/>
    </xf>
    <xf numFmtId="1" fontId="0" fillId="0" borderId="49" xfId="0" applyNumberFormat="1" applyFont="1" applyFill="1" applyBorder="1" applyAlignment="1">
      <alignment horizontal="right"/>
    </xf>
    <xf numFmtId="1" fontId="0" fillId="0" borderId="50" xfId="0" applyNumberFormat="1" applyFont="1" applyFill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2" fillId="8" borderId="51" xfId="0" applyNumberFormat="1" applyFont="1" applyFill="1" applyBorder="1" applyAlignment="1">
      <alignment horizontal="left"/>
    </xf>
    <xf numFmtId="1" fontId="2" fillId="8" borderId="52" xfId="0" applyNumberFormat="1" applyFont="1" applyFill="1" applyBorder="1" applyAlignment="1">
      <alignment horizontal="left"/>
    </xf>
    <xf numFmtId="0" fontId="7" fillId="0" borderId="24" xfId="0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0" fontId="4" fillId="19" borderId="55" xfId="0" applyFont="1" applyFill="1" applyBorder="1" applyAlignment="1">
      <alignment horizontal="center" vertical="center"/>
    </xf>
    <xf numFmtId="0" fontId="4" fillId="19" borderId="46" xfId="0" applyFont="1" applyFill="1" applyBorder="1" applyAlignment="1">
      <alignment horizontal="center" vertical="center"/>
    </xf>
    <xf numFmtId="1" fontId="4" fillId="7" borderId="49" xfId="0" applyNumberFormat="1" applyFont="1" applyFill="1" applyBorder="1" applyAlignment="1">
      <alignment horizontal="left"/>
    </xf>
    <xf numFmtId="1" fontId="4" fillId="4" borderId="41" xfId="0" applyNumberFormat="1" applyFont="1" applyFill="1" applyBorder="1" applyAlignment="1">
      <alignment horizontal="right"/>
    </xf>
    <xf numFmtId="1" fontId="4" fillId="17" borderId="44" xfId="0" applyNumberFormat="1" applyFont="1" applyFill="1" applyBorder="1" applyAlignment="1">
      <alignment horizontal="right"/>
    </xf>
    <xf numFmtId="1" fontId="2" fillId="4" borderId="41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" fontId="4" fillId="0" borderId="5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56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57" xfId="0" applyNumberFormat="1" applyFont="1" applyFill="1" applyBorder="1" applyAlignment="1">
      <alignment horizontal="right"/>
    </xf>
    <xf numFmtId="1" fontId="0" fillId="0" borderId="22" xfId="0" applyNumberFormat="1" applyFill="1" applyBorder="1" applyAlignment="1">
      <alignment/>
    </xf>
    <xf numFmtId="1" fontId="0" fillId="0" borderId="37" xfId="0" applyNumberFormat="1" applyFill="1" applyBorder="1" applyAlignment="1">
      <alignment/>
    </xf>
    <xf numFmtId="1" fontId="0" fillId="0" borderId="58" xfId="0" applyNumberFormat="1" applyFont="1" applyBorder="1" applyAlignment="1">
      <alignment/>
    </xf>
    <xf numFmtId="1" fontId="2" fillId="17" borderId="35" xfId="0" applyNumberFormat="1" applyFont="1" applyFill="1" applyBorder="1" applyAlignment="1">
      <alignment horizontal="left"/>
    </xf>
    <xf numFmtId="0" fontId="0" fillId="0" borderId="37" xfId="0" applyFill="1" applyBorder="1" applyAlignment="1">
      <alignment/>
    </xf>
    <xf numFmtId="0" fontId="0" fillId="0" borderId="36" xfId="0" applyFont="1" applyBorder="1" applyAlignment="1">
      <alignment/>
    </xf>
    <xf numFmtId="1" fontId="0" fillId="0" borderId="37" xfId="0" applyNumberFormat="1" applyFont="1" applyFill="1" applyBorder="1" applyAlignment="1">
      <alignment horizontal="right"/>
    </xf>
    <xf numFmtId="1" fontId="0" fillId="0" borderId="44" xfId="0" applyNumberFormat="1" applyFont="1" applyFill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5" xfId="0" applyNumberFormat="1" applyFont="1" applyFill="1" applyBorder="1" applyAlignment="1">
      <alignment horizontal="right"/>
    </xf>
    <xf numFmtId="1" fontId="2" fillId="8" borderId="49" xfId="0" applyNumberFormat="1" applyFont="1" applyFill="1" applyBorder="1" applyAlignment="1">
      <alignment horizontal="left"/>
    </xf>
    <xf numFmtId="0" fontId="0" fillId="0" borderId="39" xfId="0" applyFont="1" applyBorder="1" applyAlignment="1">
      <alignment/>
    </xf>
    <xf numFmtId="1" fontId="0" fillId="0" borderId="35" xfId="0" applyNumberFormat="1" applyFont="1" applyBorder="1" applyAlignment="1">
      <alignment horizontal="right"/>
    </xf>
    <xf numFmtId="1" fontId="0" fillId="0" borderId="37" xfId="0" applyNumberFormat="1" applyFon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" fontId="4" fillId="0" borderId="39" xfId="0" applyNumberFormat="1" applyFont="1" applyFill="1" applyBorder="1" applyAlignment="1">
      <alignment horizontal="right"/>
    </xf>
    <xf numFmtId="49" fontId="0" fillId="0" borderId="59" xfId="0" applyNumberFormat="1" applyFill="1" applyBorder="1" applyAlignment="1">
      <alignment horizontal="right"/>
    </xf>
    <xf numFmtId="1" fontId="0" fillId="0" borderId="40" xfId="0" applyNumberFormat="1" applyFont="1" applyBorder="1" applyAlignment="1">
      <alignment horizontal="right"/>
    </xf>
    <xf numFmtId="49" fontId="0" fillId="0" borderId="32" xfId="0" applyNumberFormat="1" applyFill="1" applyBorder="1" applyAlignment="1">
      <alignment horizontal="right"/>
    </xf>
    <xf numFmtId="1" fontId="0" fillId="0" borderId="39" xfId="0" applyNumberFormat="1" applyFont="1" applyBorder="1" applyAlignment="1">
      <alignment horizontal="right"/>
    </xf>
    <xf numFmtId="49" fontId="0" fillId="0" borderId="29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right"/>
    </xf>
    <xf numFmtId="1" fontId="0" fillId="0" borderId="38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1" fontId="0" fillId="0" borderId="36" xfId="0" applyNumberFormat="1" applyBorder="1" applyAlignment="1">
      <alignment horizontal="right"/>
    </xf>
    <xf numFmtId="0" fontId="0" fillId="0" borderId="32" xfId="0" applyFill="1" applyBorder="1" applyAlignment="1">
      <alignment/>
    </xf>
    <xf numFmtId="1" fontId="0" fillId="0" borderId="39" xfId="0" applyNumberFormat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41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37" xfId="0" applyNumberFormat="1" applyFill="1" applyBorder="1" applyAlignment="1">
      <alignment horizontal="right"/>
    </xf>
    <xf numFmtId="1" fontId="4" fillId="0" borderId="37" xfId="0" applyNumberFormat="1" applyFont="1" applyFill="1" applyBorder="1" applyAlignment="1">
      <alignment horizontal="right"/>
    </xf>
    <xf numFmtId="0" fontId="2" fillId="7" borderId="32" xfId="0" applyFont="1" applyFill="1" applyBorder="1" applyAlignment="1">
      <alignment/>
    </xf>
    <xf numFmtId="0" fontId="0" fillId="7" borderId="20" xfId="0" applyFill="1" applyBorder="1" applyAlignment="1">
      <alignment/>
    </xf>
    <xf numFmtId="1" fontId="2" fillId="7" borderId="20" xfId="0" applyNumberFormat="1" applyFont="1" applyFill="1" applyBorder="1" applyAlignment="1">
      <alignment horizontal="left"/>
    </xf>
    <xf numFmtId="1" fontId="2" fillId="7" borderId="39" xfId="0" applyNumberFormat="1" applyFont="1" applyFill="1" applyBorder="1" applyAlignment="1">
      <alignment horizontal="left"/>
    </xf>
    <xf numFmtId="0" fontId="0" fillId="0" borderId="59" xfId="0" applyFont="1" applyFill="1" applyBorder="1" applyAlignment="1">
      <alignment/>
    </xf>
    <xf numFmtId="1" fontId="4" fillId="0" borderId="40" xfId="0" applyNumberFormat="1" applyFont="1" applyFill="1" applyBorder="1" applyAlignment="1">
      <alignment horizontal="right"/>
    </xf>
    <xf numFmtId="0" fontId="2" fillId="4" borderId="60" xfId="0" applyFont="1" applyFill="1" applyBorder="1" applyAlignment="1">
      <alignment/>
    </xf>
    <xf numFmtId="0" fontId="0" fillId="4" borderId="61" xfId="0" applyFill="1" applyBorder="1" applyAlignment="1">
      <alignment/>
    </xf>
    <xf numFmtId="1" fontId="2" fillId="4" borderId="14" xfId="0" applyNumberFormat="1" applyFont="1" applyFill="1" applyBorder="1" applyAlignment="1">
      <alignment horizontal="right"/>
    </xf>
    <xf numFmtId="1" fontId="2" fillId="17" borderId="33" xfId="0" applyNumberFormat="1" applyFont="1" applyFill="1" applyBorder="1" applyAlignment="1">
      <alignment horizontal="left"/>
    </xf>
    <xf numFmtId="1" fontId="2" fillId="17" borderId="22" xfId="0" applyNumberFormat="1" applyFont="1" applyFill="1" applyBorder="1" applyAlignment="1">
      <alignment horizontal="left"/>
    </xf>
    <xf numFmtId="49" fontId="0" fillId="0" borderId="25" xfId="0" applyNumberForma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49" fontId="0" fillId="0" borderId="32" xfId="0" applyNumberFormat="1" applyBorder="1" applyAlignment="1">
      <alignment horizontal="right"/>
    </xf>
    <xf numFmtId="49" fontId="0" fillId="0" borderId="20" xfId="0" applyNumberFormat="1" applyFont="1" applyFill="1" applyBorder="1" applyAlignment="1">
      <alignment horizontal="left"/>
    </xf>
    <xf numFmtId="3" fontId="0" fillId="0" borderId="35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11" fillId="25" borderId="41" xfId="0" applyNumberFormat="1" applyFont="1" applyFill="1" applyBorder="1" applyAlignment="1">
      <alignment/>
    </xf>
    <xf numFmtId="3" fontId="2" fillId="17" borderId="10" xfId="0" applyNumberFormat="1" applyFont="1" applyFill="1" applyBorder="1" applyAlignment="1">
      <alignment horizontal="left"/>
    </xf>
    <xf numFmtId="3" fontId="2" fillId="17" borderId="37" xfId="0" applyNumberFormat="1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8" borderId="62" xfId="0" applyNumberFormat="1" applyFont="1" applyFill="1" applyBorder="1" applyAlignment="1">
      <alignment horizontal="left"/>
    </xf>
    <xf numFmtId="3" fontId="5" fillId="8" borderId="41" xfId="0" applyNumberFormat="1" applyFont="1" applyFill="1" applyBorder="1" applyAlignment="1">
      <alignment horizontal="left"/>
    </xf>
    <xf numFmtId="3" fontId="0" fillId="0" borderId="53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8" borderId="42" xfId="0" applyNumberFormat="1" applyFont="1" applyFill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" fillId="4" borderId="63" xfId="0" applyNumberFormat="1" applyFont="1" applyFill="1" applyBorder="1" applyAlignment="1">
      <alignment horizontal="left"/>
    </xf>
    <xf numFmtId="3" fontId="4" fillId="4" borderId="41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4" borderId="18" xfId="0" applyNumberFormat="1" applyFont="1" applyFill="1" applyBorder="1" applyAlignment="1">
      <alignment horizontal="left"/>
    </xf>
    <xf numFmtId="3" fontId="4" fillId="0" borderId="53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4" fillId="17" borderId="44" xfId="0" applyNumberFormat="1" applyFont="1" applyFill="1" applyBorder="1" applyAlignment="1">
      <alignment/>
    </xf>
    <xf numFmtId="3" fontId="2" fillId="4" borderId="41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4" fillId="4" borderId="14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61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4" fillId="7" borderId="63" xfId="0" applyNumberFormat="1" applyFont="1" applyFill="1" applyBorder="1" applyAlignment="1">
      <alignment horizontal="left"/>
    </xf>
    <xf numFmtId="3" fontId="4" fillId="7" borderId="41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2" fillId="7" borderId="10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7" borderId="41" xfId="0" applyNumberFormat="1" applyFont="1" applyFill="1" applyBorder="1" applyAlignment="1">
      <alignment horizontal="left"/>
    </xf>
    <xf numFmtId="3" fontId="4" fillId="7" borderId="49" xfId="0" applyNumberFormat="1" applyFont="1" applyFill="1" applyBorder="1" applyAlignment="1">
      <alignment horizontal="left"/>
    </xf>
    <xf numFmtId="3" fontId="4" fillId="7" borderId="42" xfId="0" applyNumberFormat="1" applyFont="1" applyFill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12" fillId="0" borderId="61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8" xfId="0" applyNumberFormat="1" applyFont="1" applyBorder="1" applyAlignment="1">
      <alignment/>
    </xf>
    <xf numFmtId="3" fontId="4" fillId="4" borderId="49" xfId="0" applyNumberFormat="1" applyFont="1" applyFill="1" applyBorder="1" applyAlignment="1">
      <alignment horizontal="left"/>
    </xf>
    <xf numFmtId="3" fontId="12" fillId="0" borderId="13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0" fontId="0" fillId="0" borderId="5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5" fillId="8" borderId="14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2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2" fillId="0" borderId="18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49" fontId="0" fillId="0" borderId="17" xfId="0" applyNumberFormat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3" fontId="0" fillId="0" borderId="63" xfId="0" applyNumberForma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12" fillId="0" borderId="64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2" fillId="4" borderId="14" xfId="0" applyNumberFormat="1" applyFont="1" applyFill="1" applyBorder="1" applyAlignment="1">
      <alignment horizontal="left"/>
    </xf>
    <xf numFmtId="3" fontId="5" fillId="8" borderId="42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4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2" fillId="0" borderId="63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49" fontId="0" fillId="0" borderId="65" xfId="0" applyNumberFormat="1" applyFont="1" applyFill="1" applyBorder="1" applyAlignment="1">
      <alignment horizontal="right"/>
    </xf>
    <xf numFmtId="3" fontId="0" fillId="0" borderId="63" xfId="0" applyNumberFormat="1" applyBorder="1" applyAlignment="1">
      <alignment/>
    </xf>
    <xf numFmtId="3" fontId="12" fillId="0" borderId="63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35" xfId="0" applyNumberFormat="1" applyBorder="1" applyAlignment="1">
      <alignment/>
    </xf>
    <xf numFmtId="3" fontId="2" fillId="17" borderId="17" xfId="0" applyNumberFormat="1" applyFont="1" applyFill="1" applyBorder="1" applyAlignment="1">
      <alignment horizontal="left"/>
    </xf>
    <xf numFmtId="3" fontId="2" fillId="17" borderId="41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18" xfId="0" applyFill="1" applyBorder="1" applyAlignment="1">
      <alignment/>
    </xf>
    <xf numFmtId="3" fontId="12" fillId="0" borderId="64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66" xfId="0" applyNumberFormat="1" applyFont="1" applyFill="1" applyBorder="1" applyAlignment="1">
      <alignment horizontal="right"/>
    </xf>
    <xf numFmtId="3" fontId="12" fillId="0" borderId="66" xfId="0" applyNumberFormat="1" applyFont="1" applyFill="1" applyBorder="1" applyAlignment="1">
      <alignment horizontal="right"/>
    </xf>
    <xf numFmtId="3" fontId="2" fillId="17" borderId="14" xfId="0" applyNumberFormat="1" applyFont="1" applyFill="1" applyBorder="1" applyAlignment="1">
      <alignment horizontal="left"/>
    </xf>
    <xf numFmtId="3" fontId="2" fillId="17" borderId="63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0" fillId="0" borderId="36" xfId="0" applyNumberFormat="1" applyFont="1" applyFill="1" applyBorder="1" applyAlignment="1">
      <alignment horizontal="right"/>
    </xf>
    <xf numFmtId="3" fontId="0" fillId="0" borderId="43" xfId="0" applyNumberFormat="1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49" fontId="0" fillId="0" borderId="67" xfId="0" applyNumberFormat="1" applyFont="1" applyFill="1" applyBorder="1" applyAlignment="1">
      <alignment horizontal="right"/>
    </xf>
    <xf numFmtId="0" fontId="0" fillId="0" borderId="61" xfId="0" applyBorder="1" applyAlignment="1">
      <alignment/>
    </xf>
    <xf numFmtId="3" fontId="0" fillId="0" borderId="68" xfId="0" applyNumberFormat="1" applyBorder="1" applyAlignment="1">
      <alignment/>
    </xf>
    <xf numFmtId="3" fontId="12" fillId="0" borderId="68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12" fillId="0" borderId="6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0" fillId="0" borderId="69" xfId="0" applyNumberFormat="1" applyBorder="1" applyAlignment="1">
      <alignment/>
    </xf>
    <xf numFmtId="49" fontId="0" fillId="0" borderId="60" xfId="0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49" fontId="0" fillId="0" borderId="59" xfId="0" applyNumberFormat="1" applyFont="1" applyFill="1" applyBorder="1" applyAlignment="1">
      <alignment horizontal="right"/>
    </xf>
    <xf numFmtId="3" fontId="12" fillId="0" borderId="54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" fillId="7" borderId="25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3" fontId="4" fillId="7" borderId="41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4" fillId="7" borderId="38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2" fillId="7" borderId="10" xfId="0" applyNumberFormat="1" applyFont="1" applyFill="1" applyBorder="1" applyAlignment="1">
      <alignment horizontal="right"/>
    </xf>
    <xf numFmtId="3" fontId="2" fillId="7" borderId="41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/>
    </xf>
    <xf numFmtId="3" fontId="2" fillId="4" borderId="41" xfId="0" applyNumberFormat="1" applyFont="1" applyFill="1" applyBorder="1" applyAlignment="1">
      <alignment horizontal="right"/>
    </xf>
    <xf numFmtId="3" fontId="4" fillId="0" borderId="69" xfId="0" applyNumberFormat="1" applyFont="1" applyFill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3" fontId="4" fillId="17" borderId="44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5" fillId="8" borderId="4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2" fillId="8" borderId="42" xfId="0" applyNumberFormat="1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49" fontId="0" fillId="0" borderId="71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16" xfId="0" applyFont="1" applyBorder="1" applyAlignment="1">
      <alignment/>
    </xf>
    <xf numFmtId="3" fontId="0" fillId="0" borderId="38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0" fillId="0" borderId="24" xfId="0" applyBorder="1" applyAlignment="1">
      <alignment/>
    </xf>
    <xf numFmtId="3" fontId="0" fillId="0" borderId="35" xfId="0" applyNumberFormat="1" applyBorder="1" applyAlignment="1">
      <alignment horizontal="right"/>
    </xf>
    <xf numFmtId="3" fontId="2" fillId="17" borderId="41" xfId="0" applyNumberFormat="1" applyFont="1" applyFill="1" applyBorder="1" applyAlignment="1">
      <alignment horizontal="right"/>
    </xf>
    <xf numFmtId="3" fontId="5" fillId="8" borderId="62" xfId="0" applyNumberFormat="1" applyFon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5" fillId="8" borderId="49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2" fillId="8" borderId="62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74" xfId="0" applyNumberFormat="1" applyBorder="1" applyAlignment="1">
      <alignment horizontal="right"/>
    </xf>
    <xf numFmtId="3" fontId="2" fillId="8" borderId="49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3" fontId="0" fillId="0" borderId="75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59" xfId="0" applyFont="1" applyBorder="1" applyAlignment="1">
      <alignment/>
    </xf>
    <xf numFmtId="0" fontId="20" fillId="0" borderId="18" xfId="0" applyFont="1" applyBorder="1" applyAlignment="1">
      <alignment/>
    </xf>
    <xf numFmtId="0" fontId="19" fillId="6" borderId="14" xfId="0" applyFont="1" applyFill="1" applyBorder="1" applyAlignment="1">
      <alignment horizontal="center" vertical="center" wrapText="1"/>
    </xf>
    <xf numFmtId="0" fontId="19" fillId="6" borderId="41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19" fillId="6" borderId="14" xfId="0" applyNumberFormat="1" applyFont="1" applyFill="1" applyBorder="1" applyAlignment="1">
      <alignment/>
    </xf>
    <xf numFmtId="0" fontId="19" fillId="6" borderId="17" xfId="0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3" fontId="20" fillId="0" borderId="21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24" xfId="0" applyNumberFormat="1" applyFont="1" applyBorder="1" applyAlignment="1">
      <alignment/>
    </xf>
    <xf numFmtId="0" fontId="19" fillId="6" borderId="17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6" borderId="63" xfId="0" applyFont="1" applyFill="1" applyBorder="1" applyAlignment="1">
      <alignment/>
    </xf>
    <xf numFmtId="3" fontId="19" fillId="6" borderId="17" xfId="0" applyNumberFormat="1" applyFont="1" applyFill="1" applyBorder="1" applyAlignment="1">
      <alignment/>
    </xf>
    <xf numFmtId="3" fontId="19" fillId="6" borderId="41" xfId="0" applyNumberFormat="1" applyFont="1" applyFill="1" applyBorder="1" applyAlignment="1">
      <alignment/>
    </xf>
    <xf numFmtId="0" fontId="42" fillId="4" borderId="10" xfId="0" applyFont="1" applyFill="1" applyBorder="1" applyAlignment="1">
      <alignment/>
    </xf>
    <xf numFmtId="3" fontId="42" fillId="4" borderId="10" xfId="0" applyNumberFormat="1" applyFont="1" applyFill="1" applyBorder="1" applyAlignment="1">
      <alignment/>
    </xf>
    <xf numFmtId="0" fontId="42" fillId="18" borderId="10" xfId="0" applyFont="1" applyFill="1" applyBorder="1" applyAlignment="1">
      <alignment/>
    </xf>
    <xf numFmtId="3" fontId="42" fillId="18" borderId="1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0" fontId="40" fillId="26" borderId="10" xfId="0" applyFont="1" applyFill="1" applyBorder="1" applyAlignment="1">
      <alignment/>
    </xf>
    <xf numFmtId="3" fontId="40" fillId="26" borderId="10" xfId="0" applyNumberFormat="1" applyFont="1" applyFill="1" applyBorder="1" applyAlignment="1">
      <alignment/>
    </xf>
    <xf numFmtId="0" fontId="41" fillId="26" borderId="10" xfId="0" applyFont="1" applyFill="1" applyBorder="1" applyAlignment="1">
      <alignment/>
    </xf>
    <xf numFmtId="0" fontId="40" fillId="26" borderId="10" xfId="0" applyFont="1" applyFill="1" applyBorder="1" applyAlignment="1">
      <alignment horizontal="center" vertical="center"/>
    </xf>
    <xf numFmtId="0" fontId="41" fillId="26" borderId="10" xfId="0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/>
    </xf>
    <xf numFmtId="0" fontId="3" fillId="8" borderId="31" xfId="0" applyFont="1" applyFill="1" applyBorder="1" applyAlignment="1">
      <alignment horizontal="center"/>
    </xf>
    <xf numFmtId="0" fontId="3" fillId="8" borderId="7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41" fillId="26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9" fillId="25" borderId="65" xfId="0" applyFont="1" applyFill="1" applyBorder="1" applyAlignment="1">
      <alignment/>
    </xf>
    <xf numFmtId="0" fontId="10" fillId="0" borderId="62" xfId="0" applyFont="1" applyBorder="1" applyAlignment="1">
      <alignment/>
    </xf>
    <xf numFmtId="1" fontId="4" fillId="19" borderId="39" xfId="0" applyNumberFormat="1" applyFont="1" applyFill="1" applyBorder="1" applyAlignment="1">
      <alignment horizontal="center" wrapText="1"/>
    </xf>
    <xf numFmtId="1" fontId="4" fillId="19" borderId="36" xfId="0" applyNumberFormat="1" applyFont="1" applyFill="1" applyBorder="1" applyAlignment="1">
      <alignment horizontal="center" wrapText="1"/>
    </xf>
    <xf numFmtId="0" fontId="4" fillId="19" borderId="39" xfId="0" applyFont="1" applyFill="1" applyBorder="1" applyAlignment="1">
      <alignment horizontal="center" wrapText="1"/>
    </xf>
    <xf numFmtId="0" fontId="4" fillId="19" borderId="40" xfId="0" applyFont="1" applyFill="1" applyBorder="1" applyAlignment="1">
      <alignment horizontal="center" wrapText="1"/>
    </xf>
    <xf numFmtId="0" fontId="4" fillId="19" borderId="71" xfId="0" applyFont="1" applyFill="1" applyBorder="1" applyAlignment="1">
      <alignment horizontal="center" wrapText="1"/>
    </xf>
    <xf numFmtId="0" fontId="4" fillId="19" borderId="58" xfId="0" applyFont="1" applyFill="1" applyBorder="1" applyAlignment="1">
      <alignment horizontal="center" wrapText="1"/>
    </xf>
    <xf numFmtId="0" fontId="4" fillId="19" borderId="52" xfId="0" applyFont="1" applyFill="1" applyBorder="1" applyAlignment="1">
      <alignment horizontal="center" wrapText="1"/>
    </xf>
    <xf numFmtId="0" fontId="4" fillId="19" borderId="48" xfId="0" applyFont="1" applyFill="1" applyBorder="1" applyAlignment="1">
      <alignment horizontal="center" wrapText="1"/>
    </xf>
    <xf numFmtId="0" fontId="2" fillId="17" borderId="22" xfId="0" applyFont="1" applyFill="1" applyBorder="1" applyAlignment="1">
      <alignment horizontal="left"/>
    </xf>
    <xf numFmtId="0" fontId="2" fillId="17" borderId="45" xfId="0" applyFont="1" applyFill="1" applyBorder="1" applyAlignment="1">
      <alignment horizontal="left"/>
    </xf>
    <xf numFmtId="0" fontId="6" fillId="25" borderId="26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4" fillId="19" borderId="67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19" borderId="36" xfId="0" applyFont="1" applyFill="1" applyBorder="1" applyAlignment="1">
      <alignment horizontal="center" wrapText="1"/>
    </xf>
    <xf numFmtId="0" fontId="5" fillId="8" borderId="65" xfId="0" applyFont="1" applyFill="1" applyBorder="1" applyAlignment="1">
      <alignment horizontal="left"/>
    </xf>
    <xf numFmtId="0" fontId="5" fillId="8" borderId="77" xfId="0" applyFont="1" applyFill="1" applyBorder="1" applyAlignment="1">
      <alignment horizontal="left"/>
    </xf>
    <xf numFmtId="0" fontId="3" fillId="17" borderId="26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3" fillId="17" borderId="56" xfId="0" applyFont="1" applyFill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65" xfId="0" applyFont="1" applyFill="1" applyBorder="1" applyAlignment="1">
      <alignment horizontal="left"/>
    </xf>
    <xf numFmtId="0" fontId="4" fillId="4" borderId="62" xfId="0" applyFont="1" applyFill="1" applyBorder="1" applyAlignment="1">
      <alignment horizontal="left"/>
    </xf>
    <xf numFmtId="49" fontId="4" fillId="17" borderId="31" xfId="0" applyNumberFormat="1" applyFont="1" applyFill="1" applyBorder="1" applyAlignment="1">
      <alignment horizontal="left"/>
    </xf>
    <xf numFmtId="49" fontId="4" fillId="17" borderId="79" xfId="0" applyNumberFormat="1" applyFont="1" applyFill="1" applyBorder="1" applyAlignment="1">
      <alignment horizontal="left"/>
    </xf>
    <xf numFmtId="0" fontId="3" fillId="4" borderId="31" xfId="0" applyFont="1" applyFill="1" applyBorder="1" applyAlignment="1">
      <alignment horizontal="center"/>
    </xf>
    <xf numFmtId="0" fontId="3" fillId="4" borderId="76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 vertical="center"/>
    </xf>
    <xf numFmtId="0" fontId="4" fillId="19" borderId="76" xfId="0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left"/>
    </xf>
    <xf numFmtId="0" fontId="4" fillId="7" borderId="62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center"/>
    </xf>
    <xf numFmtId="0" fontId="3" fillId="7" borderId="7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17" borderId="65" xfId="0" applyFont="1" applyFill="1" applyBorder="1" applyAlignment="1">
      <alignment horizontal="left"/>
    </xf>
    <xf numFmtId="0" fontId="2" fillId="17" borderId="62" xfId="0" applyFont="1" applyFill="1" applyBorder="1" applyAlignment="1">
      <alignment horizontal="left"/>
    </xf>
    <xf numFmtId="0" fontId="6" fillId="25" borderId="67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6" fillId="25" borderId="78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7" fillId="19" borderId="39" xfId="0" applyFont="1" applyFill="1" applyBorder="1" applyAlignment="1">
      <alignment horizontal="center" wrapText="1"/>
    </xf>
    <xf numFmtId="0" fontId="17" fillId="19" borderId="36" xfId="0" applyFont="1" applyFill="1" applyBorder="1" applyAlignment="1">
      <alignment horizontal="center" wrapText="1"/>
    </xf>
    <xf numFmtId="0" fontId="6" fillId="17" borderId="67" xfId="0" applyFont="1" applyFill="1" applyBorder="1" applyAlignment="1">
      <alignment horizontal="center"/>
    </xf>
    <xf numFmtId="0" fontId="6" fillId="17" borderId="70" xfId="0" applyFont="1" applyFill="1" applyBorder="1" applyAlignment="1">
      <alignment horizontal="center"/>
    </xf>
    <xf numFmtId="0" fontId="6" fillId="17" borderId="78" xfId="0" applyFont="1" applyFill="1" applyBorder="1" applyAlignment="1">
      <alignment horizontal="center"/>
    </xf>
    <xf numFmtId="0" fontId="4" fillId="19" borderId="39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17" fillId="19" borderId="40" xfId="0" applyFont="1" applyFill="1" applyBorder="1" applyAlignment="1">
      <alignment horizontal="center" wrapText="1"/>
    </xf>
    <xf numFmtId="0" fontId="3" fillId="8" borderId="65" xfId="0" applyFont="1" applyFill="1" applyBorder="1" applyAlignment="1">
      <alignment horizontal="center"/>
    </xf>
    <xf numFmtId="0" fontId="3" fillId="8" borderId="62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7" borderId="65" xfId="0" applyFont="1" applyFill="1" applyBorder="1" applyAlignment="1">
      <alignment horizontal="center"/>
    </xf>
    <xf numFmtId="0" fontId="3" fillId="7" borderId="62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2" fillId="17" borderId="57" xfId="0" applyFont="1" applyFill="1" applyBorder="1" applyAlignment="1">
      <alignment horizontal="left"/>
    </xf>
    <xf numFmtId="0" fontId="6" fillId="17" borderId="26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4" fillId="19" borderId="37" xfId="0" applyFont="1" applyFill="1" applyBorder="1" applyAlignment="1">
      <alignment horizontal="center" wrapText="1"/>
    </xf>
    <xf numFmtId="0" fontId="3" fillId="17" borderId="33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 wrapText="1"/>
    </xf>
    <xf numFmtId="0" fontId="4" fillId="19" borderId="75" xfId="0" applyFont="1" applyFill="1" applyBorder="1" applyAlignment="1">
      <alignment horizontal="center" vertical="center" wrapText="1"/>
    </xf>
    <xf numFmtId="0" fontId="5" fillId="8" borderId="71" xfId="0" applyFont="1" applyFill="1" applyBorder="1" applyAlignment="1">
      <alignment horizontal="left"/>
    </xf>
    <xf numFmtId="0" fontId="5" fillId="8" borderId="80" xfId="0" applyFont="1" applyFill="1" applyBorder="1" applyAlignment="1">
      <alignment horizontal="left"/>
    </xf>
    <xf numFmtId="0" fontId="7" fillId="0" borderId="81" xfId="0" applyFont="1" applyBorder="1" applyAlignment="1">
      <alignment horizontal="left"/>
    </xf>
    <xf numFmtId="0" fontId="9" fillId="25" borderId="77" xfId="0" applyFont="1" applyFill="1" applyBorder="1" applyAlignment="1">
      <alignment/>
    </xf>
    <xf numFmtId="0" fontId="19" fillId="6" borderId="65" xfId="0" applyFont="1" applyFill="1" applyBorder="1" applyAlignment="1">
      <alignment horizontal="center"/>
    </xf>
    <xf numFmtId="0" fontId="19" fillId="6" borderId="77" xfId="0" applyFont="1" applyFill="1" applyBorder="1" applyAlignment="1">
      <alignment horizontal="center"/>
    </xf>
    <xf numFmtId="0" fontId="19" fillId="6" borderId="65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2" fillId="17" borderId="77" xfId="0" applyFont="1" applyFill="1" applyBorder="1" applyAlignment="1">
      <alignment horizontal="left"/>
    </xf>
    <xf numFmtId="0" fontId="6" fillId="25" borderId="65" xfId="0" applyFont="1" applyFill="1" applyBorder="1" applyAlignment="1">
      <alignment horizontal="center"/>
    </xf>
    <xf numFmtId="0" fontId="6" fillId="25" borderId="62" xfId="0" applyFont="1" applyFill="1" applyBorder="1" applyAlignment="1">
      <alignment horizontal="center"/>
    </xf>
    <xf numFmtId="0" fontId="6" fillId="25" borderId="42" xfId="0" applyFont="1" applyFill="1" applyBorder="1" applyAlignment="1">
      <alignment horizontal="center"/>
    </xf>
    <xf numFmtId="0" fontId="4" fillId="19" borderId="82" xfId="0" applyFont="1" applyFill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19" borderId="83" xfId="0" applyFont="1" applyFill="1" applyBorder="1" applyAlignment="1">
      <alignment horizontal="center" vertical="center"/>
    </xf>
    <xf numFmtId="0" fontId="3" fillId="17" borderId="65" xfId="0" applyFont="1" applyFill="1" applyBorder="1" applyAlignment="1">
      <alignment horizontal="center"/>
    </xf>
    <xf numFmtId="0" fontId="3" fillId="17" borderId="62" xfId="0" applyFont="1" applyFill="1" applyBorder="1" applyAlignment="1">
      <alignment horizontal="center"/>
    </xf>
    <xf numFmtId="0" fontId="3" fillId="17" borderId="42" xfId="0" applyFont="1" applyFill="1" applyBorder="1" applyAlignment="1">
      <alignment horizontal="center"/>
    </xf>
    <xf numFmtId="0" fontId="4" fillId="19" borderId="84" xfId="0" applyFont="1" applyFill="1" applyBorder="1" applyAlignment="1">
      <alignment horizontal="center" vertical="center"/>
    </xf>
    <xf numFmtId="0" fontId="4" fillId="19" borderId="79" xfId="0" applyFont="1" applyFill="1" applyBorder="1" applyAlignment="1">
      <alignment horizontal="center" vertical="center"/>
    </xf>
    <xf numFmtId="0" fontId="18" fillId="8" borderId="65" xfId="0" applyFont="1" applyFill="1" applyBorder="1" applyAlignment="1">
      <alignment horizontal="center"/>
    </xf>
    <xf numFmtId="0" fontId="18" fillId="8" borderId="62" xfId="0" applyFont="1" applyFill="1" applyBorder="1" applyAlignment="1">
      <alignment horizontal="center"/>
    </xf>
    <xf numFmtId="0" fontId="18" fillId="8" borderId="42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 wrapText="1"/>
    </xf>
    <xf numFmtId="0" fontId="4" fillId="19" borderId="54" xfId="0" applyFont="1" applyFill="1" applyBorder="1" applyAlignment="1">
      <alignment horizontal="center" wrapText="1"/>
    </xf>
    <xf numFmtId="0" fontId="4" fillId="19" borderId="78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/>
    </xf>
    <xf numFmtId="0" fontId="18" fillId="7" borderId="65" xfId="0" applyFont="1" applyFill="1" applyBorder="1" applyAlignment="1">
      <alignment horizontal="center"/>
    </xf>
    <xf numFmtId="0" fontId="18" fillId="7" borderId="62" xfId="0" applyFont="1" applyFill="1" applyBorder="1" applyAlignment="1">
      <alignment horizontal="center"/>
    </xf>
    <xf numFmtId="0" fontId="18" fillId="7" borderId="42" xfId="0" applyFont="1" applyFill="1" applyBorder="1" applyAlignment="1">
      <alignment horizontal="center"/>
    </xf>
    <xf numFmtId="0" fontId="18" fillId="4" borderId="65" xfId="0" applyFont="1" applyFill="1" applyBorder="1" applyAlignment="1">
      <alignment horizontal="center"/>
    </xf>
    <xf numFmtId="0" fontId="18" fillId="4" borderId="62" xfId="0" applyFont="1" applyFill="1" applyBorder="1" applyAlignment="1">
      <alignment horizontal="center"/>
    </xf>
    <xf numFmtId="0" fontId="18" fillId="4" borderId="42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60">
      <selection activeCell="B186" sqref="B186"/>
    </sheetView>
  </sheetViews>
  <sheetFormatPr defaultColWidth="9.00390625" defaultRowHeight="12.75"/>
  <cols>
    <col min="1" max="1" width="6.00390625" style="0" customWidth="1"/>
    <col min="2" max="2" width="42.375" style="0" customWidth="1"/>
    <col min="3" max="4" width="13.875" style="0" customWidth="1"/>
  </cols>
  <sheetData>
    <row r="1" spans="1:7" ht="20.25">
      <c r="A1" s="634" t="s">
        <v>191</v>
      </c>
      <c r="B1" s="634"/>
      <c r="C1" s="634"/>
      <c r="D1" s="634"/>
      <c r="E1" s="1"/>
      <c r="F1" s="1"/>
      <c r="G1" s="1"/>
    </row>
    <row r="2" spans="1:7" ht="15.75">
      <c r="A2" s="635" t="s">
        <v>190</v>
      </c>
      <c r="B2" s="635"/>
      <c r="C2" s="635"/>
      <c r="D2" s="635"/>
      <c r="E2" s="2"/>
      <c r="F2" s="2"/>
      <c r="G2" s="2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636" t="s">
        <v>173</v>
      </c>
      <c r="B4" s="636"/>
      <c r="C4" s="636"/>
      <c r="D4" s="636"/>
      <c r="E4" s="135"/>
      <c r="F4" s="135"/>
      <c r="G4" s="2"/>
    </row>
    <row r="5" spans="1:7" ht="12.75">
      <c r="A5" s="637"/>
      <c r="B5" s="637"/>
      <c r="C5" s="637"/>
      <c r="D5" s="637"/>
      <c r="E5" s="637"/>
      <c r="F5" s="637"/>
      <c r="G5" s="637"/>
    </row>
    <row r="6" spans="5:7" ht="12.75">
      <c r="E6" s="19"/>
      <c r="F6" s="19"/>
      <c r="G6" s="19"/>
    </row>
    <row r="7" spans="1:7" ht="18.75" thickBot="1">
      <c r="A7" s="632" t="s">
        <v>1</v>
      </c>
      <c r="B7" s="633"/>
      <c r="C7" s="633"/>
      <c r="D7" s="633"/>
      <c r="E7" s="93"/>
      <c r="F7" s="93"/>
      <c r="G7" s="93"/>
    </row>
    <row r="8" spans="1:4" ht="12.75" customHeight="1">
      <c r="A8" s="608" t="s">
        <v>2</v>
      </c>
      <c r="B8" s="609"/>
      <c r="C8" s="183" t="s">
        <v>192</v>
      </c>
      <c r="D8" s="183" t="s">
        <v>192</v>
      </c>
    </row>
    <row r="9" spans="1:4" ht="13.5" thickBot="1">
      <c r="A9" s="628"/>
      <c r="B9" s="629"/>
      <c r="C9" s="184">
        <v>2010</v>
      </c>
      <c r="D9" s="184">
        <v>2011</v>
      </c>
    </row>
    <row r="10" spans="1:4" ht="13.5" thickBot="1">
      <c r="A10" s="630" t="s">
        <v>3</v>
      </c>
      <c r="B10" s="631"/>
      <c r="C10" s="185">
        <f>SUM(C11:C18)</f>
        <v>720646</v>
      </c>
      <c r="D10" s="185">
        <f>SUM(D11:D18)</f>
        <v>720646</v>
      </c>
    </row>
    <row r="11" spans="1:4" ht="13.5" thickBot="1">
      <c r="A11" s="90">
        <v>111</v>
      </c>
      <c r="B11" s="46" t="s">
        <v>4</v>
      </c>
      <c r="C11" s="134">
        <v>680480</v>
      </c>
      <c r="D11" s="227">
        <v>680480</v>
      </c>
    </row>
    <row r="12" spans="1:4" ht="12.75">
      <c r="A12" s="228">
        <v>121</v>
      </c>
      <c r="B12" s="37" t="s">
        <v>92</v>
      </c>
      <c r="C12" s="173">
        <v>13210</v>
      </c>
      <c r="D12" s="211">
        <v>13210</v>
      </c>
    </row>
    <row r="13" spans="1:4" ht="12.75">
      <c r="A13" s="229">
        <v>121</v>
      </c>
      <c r="B13" s="7" t="s">
        <v>93</v>
      </c>
      <c r="C13" s="174">
        <v>12880</v>
      </c>
      <c r="D13" s="210">
        <v>12880</v>
      </c>
    </row>
    <row r="14" spans="1:5" ht="13.5" thickBot="1">
      <c r="A14" s="230">
        <v>121</v>
      </c>
      <c r="B14" s="39" t="s">
        <v>5</v>
      </c>
      <c r="C14" s="175">
        <v>66</v>
      </c>
      <c r="D14" s="231">
        <v>66</v>
      </c>
      <c r="E14" s="92"/>
    </row>
    <row r="15" spans="1:4" ht="12.75">
      <c r="A15" s="228">
        <v>133</v>
      </c>
      <c r="B15" s="37" t="s">
        <v>6</v>
      </c>
      <c r="C15" s="173">
        <v>498</v>
      </c>
      <c r="D15" s="211">
        <v>498</v>
      </c>
    </row>
    <row r="16" spans="1:4" ht="12.75">
      <c r="A16" s="229">
        <v>133</v>
      </c>
      <c r="B16" s="7" t="s">
        <v>7</v>
      </c>
      <c r="C16" s="174">
        <v>232</v>
      </c>
      <c r="D16" s="210">
        <v>232</v>
      </c>
    </row>
    <row r="17" spans="1:4" ht="12.75">
      <c r="A17" s="229">
        <v>133</v>
      </c>
      <c r="B17" s="7" t="s">
        <v>8</v>
      </c>
      <c r="C17" s="174">
        <v>1660</v>
      </c>
      <c r="D17" s="210">
        <v>1660</v>
      </c>
    </row>
    <row r="18" spans="1:5" ht="13.5" thickBot="1">
      <c r="A18" s="230">
        <v>133</v>
      </c>
      <c r="B18" s="39" t="s">
        <v>9</v>
      </c>
      <c r="C18" s="175">
        <v>11620</v>
      </c>
      <c r="D18" s="231">
        <v>11620</v>
      </c>
      <c r="E18" s="92"/>
    </row>
    <row r="19" spans="1:4" ht="13.5" thickBot="1">
      <c r="A19" s="630" t="s">
        <v>10</v>
      </c>
      <c r="B19" s="631"/>
      <c r="C19" s="128">
        <f>SUM(C20:C37)</f>
        <v>79938</v>
      </c>
      <c r="D19" s="128">
        <f>SUM(D20:D37)</f>
        <v>79938</v>
      </c>
    </row>
    <row r="20" spans="1:4" ht="12.75">
      <c r="A20" s="232">
        <v>212</v>
      </c>
      <c r="B20" s="66" t="s">
        <v>11</v>
      </c>
      <c r="C20" s="176">
        <v>498</v>
      </c>
      <c r="D20" s="233">
        <v>498</v>
      </c>
    </row>
    <row r="21" spans="1:4" ht="12.75">
      <c r="A21" s="228">
        <v>212</v>
      </c>
      <c r="B21" s="37" t="s">
        <v>148</v>
      </c>
      <c r="C21" s="173">
        <v>200</v>
      </c>
      <c r="D21" s="211">
        <v>200</v>
      </c>
    </row>
    <row r="22" spans="1:4" ht="12.75">
      <c r="A22" s="229">
        <v>212</v>
      </c>
      <c r="B22" s="7" t="s">
        <v>12</v>
      </c>
      <c r="C22" s="174">
        <v>3920</v>
      </c>
      <c r="D22" s="210">
        <v>3920</v>
      </c>
    </row>
    <row r="23" spans="1:5" ht="12.75">
      <c r="A23" s="229">
        <v>212</v>
      </c>
      <c r="B23" s="7" t="s">
        <v>13</v>
      </c>
      <c r="C23" s="174">
        <v>9960</v>
      </c>
      <c r="D23" s="210">
        <v>9960</v>
      </c>
      <c r="E23" s="92"/>
    </row>
    <row r="24" spans="1:5" ht="13.5" thickBot="1">
      <c r="A24" s="234">
        <v>212</v>
      </c>
      <c r="B24" s="44" t="s">
        <v>171</v>
      </c>
      <c r="C24" s="177">
        <v>30</v>
      </c>
      <c r="D24" s="212">
        <v>30</v>
      </c>
      <c r="E24" s="92"/>
    </row>
    <row r="25" spans="1:4" ht="13.5" thickBot="1">
      <c r="A25" s="235">
        <v>221</v>
      </c>
      <c r="B25" s="41" t="s">
        <v>14</v>
      </c>
      <c r="C25" s="178">
        <v>9900</v>
      </c>
      <c r="D25" s="236">
        <v>9900</v>
      </c>
    </row>
    <row r="26" spans="1:4" ht="13.5" thickBot="1">
      <c r="A26" s="235">
        <v>222</v>
      </c>
      <c r="B26" s="41" t="s">
        <v>149</v>
      </c>
      <c r="C26" s="178">
        <v>30</v>
      </c>
      <c r="D26" s="236">
        <v>30</v>
      </c>
    </row>
    <row r="27" spans="1:4" ht="12.75">
      <c r="A27" s="228">
        <v>223</v>
      </c>
      <c r="B27" s="37" t="s">
        <v>189</v>
      </c>
      <c r="C27" s="173">
        <v>995</v>
      </c>
      <c r="D27" s="211">
        <v>995</v>
      </c>
    </row>
    <row r="28" spans="1:4" ht="12.75">
      <c r="A28" s="229">
        <v>223</v>
      </c>
      <c r="B28" s="7" t="s">
        <v>16</v>
      </c>
      <c r="C28" s="174">
        <v>665</v>
      </c>
      <c r="D28" s="210">
        <v>665</v>
      </c>
    </row>
    <row r="29" spans="1:4" ht="12.75">
      <c r="A29" s="229">
        <v>223</v>
      </c>
      <c r="B29" s="7" t="s">
        <v>94</v>
      </c>
      <c r="C29" s="174">
        <v>1030</v>
      </c>
      <c r="D29" s="210">
        <v>1030</v>
      </c>
    </row>
    <row r="30" spans="1:4" ht="12.75">
      <c r="A30" s="229">
        <v>223</v>
      </c>
      <c r="B30" s="7" t="s">
        <v>168</v>
      </c>
      <c r="C30" s="174">
        <v>8300</v>
      </c>
      <c r="D30" s="210">
        <v>8300</v>
      </c>
    </row>
    <row r="31" spans="1:4" ht="12.75">
      <c r="A31" s="229">
        <v>223</v>
      </c>
      <c r="B31" s="7" t="s">
        <v>95</v>
      </c>
      <c r="C31" s="174">
        <v>1600</v>
      </c>
      <c r="D31" s="210">
        <v>1600</v>
      </c>
    </row>
    <row r="32" spans="1:4" ht="12.75">
      <c r="A32" s="229">
        <v>223</v>
      </c>
      <c r="B32" s="7" t="s">
        <v>17</v>
      </c>
      <c r="C32" s="174">
        <v>8300</v>
      </c>
      <c r="D32" s="210">
        <v>8300</v>
      </c>
    </row>
    <row r="33" spans="1:4" ht="12.75">
      <c r="A33" s="229">
        <v>223</v>
      </c>
      <c r="B33" s="7" t="s">
        <v>188</v>
      </c>
      <c r="C33" s="174">
        <v>15600</v>
      </c>
      <c r="D33" s="210">
        <v>15600</v>
      </c>
    </row>
    <row r="34" spans="1:4" ht="12.75">
      <c r="A34" s="229">
        <v>223</v>
      </c>
      <c r="B34" s="7" t="s">
        <v>96</v>
      </c>
      <c r="C34" s="174">
        <v>5300</v>
      </c>
      <c r="D34" s="210">
        <v>5300</v>
      </c>
    </row>
    <row r="35" spans="1:4" ht="12.75">
      <c r="A35" s="229">
        <v>223</v>
      </c>
      <c r="B35" s="7" t="s">
        <v>97</v>
      </c>
      <c r="C35" s="174">
        <v>1660</v>
      </c>
      <c r="D35" s="210">
        <v>1660</v>
      </c>
    </row>
    <row r="36" spans="1:4" ht="12.75">
      <c r="A36" s="229">
        <v>223</v>
      </c>
      <c r="B36" s="7" t="s">
        <v>98</v>
      </c>
      <c r="C36" s="174">
        <v>11620</v>
      </c>
      <c r="D36" s="210">
        <v>11620</v>
      </c>
    </row>
    <row r="37" spans="1:5" ht="13.5" thickBot="1">
      <c r="A37" s="230">
        <v>223</v>
      </c>
      <c r="B37" s="39" t="s">
        <v>18</v>
      </c>
      <c r="C37" s="175">
        <v>330</v>
      </c>
      <c r="D37" s="231">
        <v>330</v>
      </c>
      <c r="E37" s="92"/>
    </row>
    <row r="38" spans="1:4" ht="13.5" thickBot="1">
      <c r="A38" s="630" t="s">
        <v>19</v>
      </c>
      <c r="B38" s="631"/>
      <c r="C38" s="128">
        <f>SUM(C39)</f>
        <v>3300</v>
      </c>
      <c r="D38" s="128">
        <f>SUM(D39)</f>
        <v>3300</v>
      </c>
    </row>
    <row r="39" spans="1:4" ht="13.5" thickBot="1">
      <c r="A39" s="237">
        <v>240</v>
      </c>
      <c r="B39" s="41" t="s">
        <v>20</v>
      </c>
      <c r="C39" s="178">
        <v>3300</v>
      </c>
      <c r="D39" s="236">
        <v>3300</v>
      </c>
    </row>
    <row r="40" spans="1:4" ht="13.5" thickBot="1">
      <c r="A40" s="630" t="s">
        <v>15</v>
      </c>
      <c r="B40" s="631"/>
      <c r="C40" s="128">
        <f>SUM(C41:C52)</f>
        <v>29193</v>
      </c>
      <c r="D40" s="128">
        <f>SUM(D41:D52)</f>
        <v>29193</v>
      </c>
    </row>
    <row r="41" spans="1:5" ht="12.75">
      <c r="A41" s="238">
        <v>292</v>
      </c>
      <c r="B41" s="43" t="s">
        <v>164</v>
      </c>
      <c r="C41" s="120">
        <v>0</v>
      </c>
      <c r="D41" s="213">
        <v>0</v>
      </c>
      <c r="E41" s="19"/>
    </row>
    <row r="42" spans="1:4" ht="12.75">
      <c r="A42" s="238">
        <v>292</v>
      </c>
      <c r="B42" s="43" t="s">
        <v>103</v>
      </c>
      <c r="C42" s="120">
        <v>200</v>
      </c>
      <c r="D42" s="213">
        <v>200</v>
      </c>
    </row>
    <row r="43" spans="1:4" ht="12.75">
      <c r="A43" s="239">
        <v>292</v>
      </c>
      <c r="B43" s="9" t="s">
        <v>169</v>
      </c>
      <c r="C43" s="121">
        <v>1160</v>
      </c>
      <c r="D43" s="208">
        <v>1160</v>
      </c>
    </row>
    <row r="44" spans="1:4" ht="12.75">
      <c r="A44" s="239">
        <v>292</v>
      </c>
      <c r="B44" s="7" t="s">
        <v>100</v>
      </c>
      <c r="C44" s="174">
        <v>133</v>
      </c>
      <c r="D44" s="210">
        <v>133</v>
      </c>
    </row>
    <row r="45" spans="1:4" ht="12.75">
      <c r="A45" s="239">
        <v>292</v>
      </c>
      <c r="B45" s="9" t="s">
        <v>176</v>
      </c>
      <c r="C45" s="121">
        <v>6310</v>
      </c>
      <c r="D45" s="208">
        <v>6310</v>
      </c>
    </row>
    <row r="46" spans="1:4" ht="12.75">
      <c r="A46" s="239">
        <v>292</v>
      </c>
      <c r="B46" s="9" t="s">
        <v>150</v>
      </c>
      <c r="C46" s="121">
        <v>500</v>
      </c>
      <c r="D46" s="208">
        <v>500</v>
      </c>
    </row>
    <row r="47" spans="1:4" ht="12.75">
      <c r="A47" s="239">
        <v>292</v>
      </c>
      <c r="B47" s="9" t="s">
        <v>153</v>
      </c>
      <c r="C47" s="121">
        <v>165</v>
      </c>
      <c r="D47" s="208">
        <v>165</v>
      </c>
    </row>
    <row r="48" spans="1:4" ht="12.75">
      <c r="A48" s="239">
        <v>292</v>
      </c>
      <c r="B48" s="7" t="s">
        <v>104</v>
      </c>
      <c r="C48" s="174">
        <v>19600</v>
      </c>
      <c r="D48" s="210">
        <v>19600</v>
      </c>
    </row>
    <row r="49" spans="1:4" ht="12.75">
      <c r="A49" s="239">
        <v>292</v>
      </c>
      <c r="B49" s="7" t="s">
        <v>101</v>
      </c>
      <c r="C49" s="174">
        <v>665</v>
      </c>
      <c r="D49" s="210">
        <v>665</v>
      </c>
    </row>
    <row r="50" spans="1:4" ht="12.75">
      <c r="A50" s="239">
        <v>292</v>
      </c>
      <c r="B50" s="7" t="s">
        <v>170</v>
      </c>
      <c r="C50" s="174">
        <v>330</v>
      </c>
      <c r="D50" s="210">
        <v>330</v>
      </c>
    </row>
    <row r="51" spans="1:4" ht="12.75">
      <c r="A51" s="239">
        <v>292</v>
      </c>
      <c r="B51" s="7" t="s">
        <v>102</v>
      </c>
      <c r="C51" s="174">
        <v>100</v>
      </c>
      <c r="D51" s="210">
        <v>100</v>
      </c>
    </row>
    <row r="52" spans="1:4" ht="13.5" thickBot="1">
      <c r="A52" s="240">
        <v>292</v>
      </c>
      <c r="B52" s="44" t="s">
        <v>154</v>
      </c>
      <c r="C52" s="177">
        <v>30</v>
      </c>
      <c r="D52" s="212">
        <v>30</v>
      </c>
    </row>
    <row r="53" spans="1:4" ht="13.5" thickBot="1">
      <c r="A53" s="80" t="s">
        <v>21</v>
      </c>
      <c r="B53" s="81"/>
      <c r="C53" s="128">
        <f>SUM(C54:C64)</f>
        <v>328395</v>
      </c>
      <c r="D53" s="128">
        <f>SUM(D54:D64)</f>
        <v>328345</v>
      </c>
    </row>
    <row r="54" spans="1:4" ht="12.75">
      <c r="A54" s="241">
        <v>311</v>
      </c>
      <c r="B54" s="37" t="s">
        <v>105</v>
      </c>
      <c r="C54" s="173">
        <v>0</v>
      </c>
      <c r="D54" s="211">
        <v>0</v>
      </c>
    </row>
    <row r="55" spans="1:4" ht="12.75">
      <c r="A55" s="242">
        <v>312</v>
      </c>
      <c r="B55" s="7" t="s">
        <v>106</v>
      </c>
      <c r="C55" s="174">
        <v>3455</v>
      </c>
      <c r="D55" s="210">
        <v>3455</v>
      </c>
    </row>
    <row r="56" spans="1:4" ht="12.75">
      <c r="A56" s="242">
        <v>312</v>
      </c>
      <c r="B56" s="6" t="s">
        <v>22</v>
      </c>
      <c r="C56" s="179">
        <v>2890</v>
      </c>
      <c r="D56" s="243">
        <v>2890</v>
      </c>
    </row>
    <row r="57" spans="1:4" ht="12.75">
      <c r="A57" s="242">
        <v>312</v>
      </c>
      <c r="B57" s="10" t="s">
        <v>107</v>
      </c>
      <c r="C57" s="180">
        <v>292110</v>
      </c>
      <c r="D57" s="244">
        <v>292110</v>
      </c>
    </row>
    <row r="58" spans="1:4" ht="12.75">
      <c r="A58" s="242">
        <v>312</v>
      </c>
      <c r="B58" s="7" t="s">
        <v>108</v>
      </c>
      <c r="C58" s="174">
        <v>4650</v>
      </c>
      <c r="D58" s="210">
        <v>4650</v>
      </c>
    </row>
    <row r="59" spans="1:4" ht="12.75">
      <c r="A59" s="242">
        <v>312</v>
      </c>
      <c r="B59" s="7" t="s">
        <v>23</v>
      </c>
      <c r="C59" s="174">
        <v>1330</v>
      </c>
      <c r="D59" s="210">
        <v>1330</v>
      </c>
    </row>
    <row r="60" spans="1:4" ht="12.75">
      <c r="A60" s="242">
        <v>312</v>
      </c>
      <c r="B60" s="11" t="s">
        <v>109</v>
      </c>
      <c r="C60" s="181">
        <v>1660</v>
      </c>
      <c r="D60" s="217">
        <v>1660</v>
      </c>
    </row>
    <row r="61" spans="1:6" ht="12.75" customHeight="1">
      <c r="A61" s="242">
        <v>312</v>
      </c>
      <c r="B61" s="11" t="s">
        <v>177</v>
      </c>
      <c r="C61" s="181">
        <v>0</v>
      </c>
      <c r="D61" s="217">
        <v>0</v>
      </c>
      <c r="F61" s="3"/>
    </row>
    <row r="62" spans="1:6" ht="12.75" customHeight="1">
      <c r="A62" s="242">
        <v>312</v>
      </c>
      <c r="B62" s="11" t="s">
        <v>165</v>
      </c>
      <c r="C62" s="181">
        <v>9000</v>
      </c>
      <c r="D62" s="217">
        <v>8970</v>
      </c>
      <c r="F62" s="3"/>
    </row>
    <row r="63" spans="1:6" ht="12.75" customHeight="1">
      <c r="A63" s="242">
        <v>312</v>
      </c>
      <c r="B63" s="11" t="s">
        <v>166</v>
      </c>
      <c r="C63" s="181">
        <v>13300</v>
      </c>
      <c r="D63" s="217">
        <v>13280</v>
      </c>
      <c r="F63" s="3"/>
    </row>
    <row r="64" spans="1:4" ht="13.5" thickBot="1">
      <c r="A64" s="71">
        <v>312</v>
      </c>
      <c r="B64" s="61" t="s">
        <v>167</v>
      </c>
      <c r="C64" s="191">
        <v>0</v>
      </c>
      <c r="D64" s="218">
        <v>0</v>
      </c>
    </row>
    <row r="65" spans="1:4" ht="15.75">
      <c r="A65" s="245" t="s">
        <v>110</v>
      </c>
      <c r="B65" s="246"/>
      <c r="C65" s="247">
        <f>SUM(C10+C19+C38+C40+C53)</f>
        <v>1161472</v>
      </c>
      <c r="D65" s="248">
        <f>SUM(D10+D19+D38+D40+D53)</f>
        <v>1161422</v>
      </c>
    </row>
    <row r="66" spans="1:4" ht="13.5" thickBot="1">
      <c r="A66" s="249">
        <v>236</v>
      </c>
      <c r="B66" s="83" t="s">
        <v>111</v>
      </c>
      <c r="C66" s="182">
        <v>2160</v>
      </c>
      <c r="D66" s="250">
        <v>2160</v>
      </c>
    </row>
    <row r="67" spans="1:4" ht="16.5" thickBot="1">
      <c r="A67" s="84" t="s">
        <v>24</v>
      </c>
      <c r="B67" s="81"/>
      <c r="C67" s="132">
        <f>SUM(C65:C66)</f>
        <v>1163632</v>
      </c>
      <c r="D67" s="132">
        <f>SUM(D65:D66)</f>
        <v>1163582</v>
      </c>
    </row>
    <row r="68" spans="1:4" ht="15.75">
      <c r="A68" s="14"/>
      <c r="B68" s="22"/>
      <c r="C68" s="22"/>
      <c r="D68" s="22"/>
    </row>
    <row r="69" spans="1:6" ht="12.75">
      <c r="A69" s="15"/>
      <c r="B69" s="17"/>
      <c r="C69" s="17"/>
      <c r="D69" s="17"/>
      <c r="E69" s="18"/>
      <c r="F69" s="18"/>
    </row>
    <row r="70" spans="1:7" ht="18.75" thickBot="1">
      <c r="A70" s="626" t="s">
        <v>25</v>
      </c>
      <c r="B70" s="627"/>
      <c r="C70" s="627"/>
      <c r="D70" s="627"/>
      <c r="E70" s="3"/>
      <c r="F70" s="3"/>
      <c r="G70" s="3"/>
    </row>
    <row r="71" spans="1:4" ht="12.75" customHeight="1">
      <c r="A71" s="608" t="s">
        <v>2</v>
      </c>
      <c r="B71" s="609"/>
      <c r="C71" s="596" t="s">
        <v>193</v>
      </c>
      <c r="D71" s="596" t="s">
        <v>195</v>
      </c>
    </row>
    <row r="72" spans="1:4" ht="13.5" thickBot="1">
      <c r="A72" s="628"/>
      <c r="B72" s="629"/>
      <c r="C72" s="597"/>
      <c r="D72" s="597"/>
    </row>
    <row r="73" spans="1:4" ht="13.5" thickBot="1">
      <c r="A73" s="48" t="s">
        <v>26</v>
      </c>
      <c r="B73" s="49"/>
      <c r="C73" s="186">
        <f>SUM(C74:C76)</f>
        <v>172655</v>
      </c>
      <c r="D73" s="186">
        <f>SUM(D74:D76)</f>
        <v>172655</v>
      </c>
    </row>
    <row r="74" spans="1:4" ht="12.75">
      <c r="A74" s="72" t="s">
        <v>27</v>
      </c>
      <c r="B74" s="47" t="s">
        <v>112</v>
      </c>
      <c r="C74" s="189">
        <v>146000</v>
      </c>
      <c r="D74" s="216">
        <v>146000</v>
      </c>
    </row>
    <row r="75" spans="1:4" ht="12.75">
      <c r="A75" s="73" t="s">
        <v>28</v>
      </c>
      <c r="B75" s="11" t="s">
        <v>194</v>
      </c>
      <c r="C75" s="181">
        <v>23200</v>
      </c>
      <c r="D75" s="217">
        <v>23200</v>
      </c>
    </row>
    <row r="76" spans="1:4" ht="13.5" thickBot="1">
      <c r="A76" s="165" t="s">
        <v>30</v>
      </c>
      <c r="B76" s="11" t="s">
        <v>117</v>
      </c>
      <c r="C76" s="181">
        <v>3455</v>
      </c>
      <c r="D76" s="217">
        <v>3455</v>
      </c>
    </row>
    <row r="77" spans="1:4" ht="13.5" thickBot="1">
      <c r="A77" s="622" t="s">
        <v>31</v>
      </c>
      <c r="B77" s="623"/>
      <c r="C77" s="186">
        <f>C78</f>
        <v>133</v>
      </c>
      <c r="D77" s="186">
        <f>D78</f>
        <v>133</v>
      </c>
    </row>
    <row r="78" spans="1:4" ht="13.5" thickBot="1">
      <c r="A78" s="86" t="s">
        <v>32</v>
      </c>
      <c r="B78" s="22" t="s">
        <v>114</v>
      </c>
      <c r="C78" s="163">
        <v>133</v>
      </c>
      <c r="D78" s="163">
        <v>133</v>
      </c>
    </row>
    <row r="79" spans="1:4" ht="13.5" thickBot="1">
      <c r="A79" s="622" t="s">
        <v>33</v>
      </c>
      <c r="B79" s="623"/>
      <c r="C79" s="186">
        <f>C80</f>
        <v>4400</v>
      </c>
      <c r="D79" s="186">
        <f>D80</f>
        <v>4400</v>
      </c>
    </row>
    <row r="80" spans="1:4" ht="13.5" thickBot="1">
      <c r="A80" s="224" t="s">
        <v>34</v>
      </c>
      <c r="B80" s="56" t="s">
        <v>118</v>
      </c>
      <c r="C80" s="163">
        <v>4400</v>
      </c>
      <c r="D80" s="163">
        <v>4400</v>
      </c>
    </row>
    <row r="81" spans="1:4" ht="13.5" thickBot="1">
      <c r="A81" s="48" t="s">
        <v>35</v>
      </c>
      <c r="B81" s="57"/>
      <c r="C81" s="186">
        <f>SUM(C82:C85)</f>
        <v>163360</v>
      </c>
      <c r="D81" s="186">
        <f>SUM(D82:D85)</f>
        <v>163360</v>
      </c>
    </row>
    <row r="82" spans="1:4" ht="12.75">
      <c r="A82" s="225" t="s">
        <v>36</v>
      </c>
      <c r="B82" s="43" t="s">
        <v>115</v>
      </c>
      <c r="C82" s="120">
        <v>1330</v>
      </c>
      <c r="D82" s="213">
        <v>1330</v>
      </c>
    </row>
    <row r="83" spans="1:4" ht="12.75">
      <c r="A83" s="165" t="s">
        <v>37</v>
      </c>
      <c r="B83" s="11" t="s">
        <v>113</v>
      </c>
      <c r="C83" s="181">
        <v>3980</v>
      </c>
      <c r="D83" s="217">
        <v>3980</v>
      </c>
    </row>
    <row r="84" spans="1:4" ht="12.75">
      <c r="A84" s="165" t="s">
        <v>38</v>
      </c>
      <c r="B84" s="11" t="s">
        <v>119</v>
      </c>
      <c r="C84" s="181">
        <v>28550</v>
      </c>
      <c r="D84" s="217">
        <v>28550</v>
      </c>
    </row>
    <row r="85" spans="1:4" ht="13.5" thickBot="1">
      <c r="A85" s="220" t="s">
        <v>39</v>
      </c>
      <c r="B85" s="51" t="s">
        <v>120</v>
      </c>
      <c r="C85" s="190">
        <v>129500</v>
      </c>
      <c r="D85" s="221">
        <v>129500</v>
      </c>
    </row>
    <row r="86" spans="1:4" ht="13.5" thickBot="1">
      <c r="A86" s="48" t="s">
        <v>40</v>
      </c>
      <c r="B86" s="49"/>
      <c r="C86" s="186">
        <f>SUM(C87:C88)</f>
        <v>27260</v>
      </c>
      <c r="D86" s="186">
        <f>SUM(D87:D88)</f>
        <v>27260</v>
      </c>
    </row>
    <row r="87" spans="1:4" ht="12.75">
      <c r="A87" s="76" t="s">
        <v>41</v>
      </c>
      <c r="B87" s="47" t="s">
        <v>42</v>
      </c>
      <c r="C87" s="189">
        <v>22410</v>
      </c>
      <c r="D87" s="216">
        <v>22410</v>
      </c>
    </row>
    <row r="88" spans="1:4" ht="13.5" thickBot="1">
      <c r="A88" s="220" t="s">
        <v>43</v>
      </c>
      <c r="B88" s="51" t="s">
        <v>116</v>
      </c>
      <c r="C88" s="190">
        <v>4850</v>
      </c>
      <c r="D88" s="221">
        <v>4850</v>
      </c>
    </row>
    <row r="89" spans="1:4" ht="13.5" thickBot="1">
      <c r="A89" s="48" t="s">
        <v>44</v>
      </c>
      <c r="B89" s="57"/>
      <c r="C89" s="186">
        <f>SUM(C90:C90)</f>
        <v>16450</v>
      </c>
      <c r="D89" s="186">
        <f>SUM(D90:D90)</f>
        <v>16450</v>
      </c>
    </row>
    <row r="90" spans="1:4" ht="13.5" thickBot="1">
      <c r="A90" s="226" t="s">
        <v>45</v>
      </c>
      <c r="B90" s="61" t="s">
        <v>46</v>
      </c>
      <c r="C90" s="191">
        <v>16450</v>
      </c>
      <c r="D90" s="218">
        <v>16450</v>
      </c>
    </row>
    <row r="91" spans="1:4" ht="13.5" thickBot="1">
      <c r="A91" s="63" t="s">
        <v>47</v>
      </c>
      <c r="B91" s="49"/>
      <c r="C91" s="186">
        <f>SUM(C92:C104)</f>
        <v>83190</v>
      </c>
      <c r="D91" s="186">
        <f>SUM(D92:D104)</f>
        <v>83190</v>
      </c>
    </row>
    <row r="92" spans="1:4" ht="12.75">
      <c r="A92" s="222" t="s">
        <v>48</v>
      </c>
      <c r="B92" s="65" t="s">
        <v>121</v>
      </c>
      <c r="C92" s="193">
        <v>5650</v>
      </c>
      <c r="D92" s="223">
        <v>5650</v>
      </c>
    </row>
    <row r="93" spans="1:4" ht="13.5" thickBot="1">
      <c r="A93" s="139" t="s">
        <v>48</v>
      </c>
      <c r="B93" s="61" t="s">
        <v>122</v>
      </c>
      <c r="C93" s="191">
        <v>8500</v>
      </c>
      <c r="D93" s="218">
        <v>8500</v>
      </c>
    </row>
    <row r="94" spans="1:4" ht="12.75">
      <c r="A94" s="76" t="s">
        <v>49</v>
      </c>
      <c r="B94" s="59" t="s">
        <v>123</v>
      </c>
      <c r="C94" s="120">
        <v>22510</v>
      </c>
      <c r="D94" s="213">
        <v>22510</v>
      </c>
    </row>
    <row r="95" spans="1:4" ht="12.75">
      <c r="A95" s="165" t="s">
        <v>51</v>
      </c>
      <c r="B95" s="58" t="s">
        <v>124</v>
      </c>
      <c r="C95" s="192">
        <v>670</v>
      </c>
      <c r="D95" s="217">
        <v>670</v>
      </c>
    </row>
    <row r="96" spans="1:4" ht="13.5" thickBot="1">
      <c r="A96" s="139" t="s">
        <v>52</v>
      </c>
      <c r="B96" s="61" t="s">
        <v>125</v>
      </c>
      <c r="C96" s="191">
        <v>670</v>
      </c>
      <c r="D96" s="218">
        <v>670</v>
      </c>
    </row>
    <row r="97" spans="1:4" ht="12.75">
      <c r="A97" s="165" t="s">
        <v>53</v>
      </c>
      <c r="B97" s="11" t="s">
        <v>181</v>
      </c>
      <c r="C97" s="181">
        <v>2660</v>
      </c>
      <c r="D97" s="217">
        <v>2660</v>
      </c>
    </row>
    <row r="98" spans="1:4" ht="12.75">
      <c r="A98" s="165" t="s">
        <v>53</v>
      </c>
      <c r="B98" s="11" t="s">
        <v>158</v>
      </c>
      <c r="C98" s="181">
        <v>3320</v>
      </c>
      <c r="D98" s="217">
        <v>3320</v>
      </c>
    </row>
    <row r="99" spans="1:4" ht="12.75">
      <c r="A99" s="165" t="s">
        <v>53</v>
      </c>
      <c r="B99" s="11" t="s">
        <v>50</v>
      </c>
      <c r="C99" s="181">
        <v>6640</v>
      </c>
      <c r="D99" s="217">
        <v>6640</v>
      </c>
    </row>
    <row r="100" spans="1:4" ht="12.75">
      <c r="A100" s="220" t="s">
        <v>53</v>
      </c>
      <c r="B100" s="51" t="s">
        <v>187</v>
      </c>
      <c r="C100" s="190">
        <v>2000</v>
      </c>
      <c r="D100" s="221">
        <v>2000</v>
      </c>
    </row>
    <row r="101" spans="1:4" ht="13.5" thickBot="1">
      <c r="A101" s="139" t="s">
        <v>53</v>
      </c>
      <c r="B101" s="61" t="s">
        <v>126</v>
      </c>
      <c r="C101" s="191">
        <v>6650</v>
      </c>
      <c r="D101" s="218">
        <v>6650</v>
      </c>
    </row>
    <row r="102" spans="1:4" ht="12.75">
      <c r="A102" s="222" t="s">
        <v>54</v>
      </c>
      <c r="B102" s="65" t="s">
        <v>162</v>
      </c>
      <c r="C102" s="193">
        <v>1660</v>
      </c>
      <c r="D102" s="223">
        <v>1660</v>
      </c>
    </row>
    <row r="103" spans="1:4" ht="12.75">
      <c r="A103" s="76" t="s">
        <v>55</v>
      </c>
      <c r="B103" s="47" t="s">
        <v>127</v>
      </c>
      <c r="C103" s="189">
        <v>15950</v>
      </c>
      <c r="D103" s="216">
        <v>15950</v>
      </c>
    </row>
    <row r="104" spans="1:4" ht="13.5" thickBot="1">
      <c r="A104" s="220" t="s">
        <v>56</v>
      </c>
      <c r="B104" s="51" t="s">
        <v>128</v>
      </c>
      <c r="C104" s="190">
        <v>6310</v>
      </c>
      <c r="D104" s="221">
        <v>6310</v>
      </c>
    </row>
    <row r="105" spans="1:4" ht="13.5" thickBot="1">
      <c r="A105" s="622" t="s">
        <v>57</v>
      </c>
      <c r="B105" s="623"/>
      <c r="C105" s="186">
        <f>SUM(C106:C110)</f>
        <v>260800</v>
      </c>
      <c r="D105" s="186">
        <f>SUM(D106:D110)</f>
        <v>260800</v>
      </c>
    </row>
    <row r="106" spans="1:4" ht="12.75">
      <c r="A106" s="97" t="s">
        <v>58</v>
      </c>
      <c r="B106" s="43" t="s">
        <v>152</v>
      </c>
      <c r="C106" s="120">
        <v>89000</v>
      </c>
      <c r="D106" s="213">
        <v>89000</v>
      </c>
    </row>
    <row r="107" spans="1:4" ht="12.75">
      <c r="A107" s="142" t="s">
        <v>59</v>
      </c>
      <c r="B107" s="9" t="s">
        <v>129</v>
      </c>
      <c r="C107" s="121">
        <v>3300</v>
      </c>
      <c r="D107" s="208">
        <v>3300</v>
      </c>
    </row>
    <row r="108" spans="1:4" ht="12.75">
      <c r="A108" s="142" t="s">
        <v>60</v>
      </c>
      <c r="B108" s="9" t="s">
        <v>61</v>
      </c>
      <c r="C108" s="121">
        <v>94200</v>
      </c>
      <c r="D108" s="208">
        <v>94200</v>
      </c>
    </row>
    <row r="109" spans="1:4" ht="12.75">
      <c r="A109" s="142" t="s">
        <v>77</v>
      </c>
      <c r="B109" s="9" t="s">
        <v>159</v>
      </c>
      <c r="C109" s="121">
        <v>61000</v>
      </c>
      <c r="D109" s="208">
        <v>61000</v>
      </c>
    </row>
    <row r="110" spans="1:4" ht="13.5" thickBot="1">
      <c r="A110" s="139" t="s">
        <v>62</v>
      </c>
      <c r="B110" s="61" t="s">
        <v>130</v>
      </c>
      <c r="C110" s="191">
        <v>13300</v>
      </c>
      <c r="D110" s="218">
        <v>13300</v>
      </c>
    </row>
    <row r="111" spans="1:4" ht="13.5" thickBot="1">
      <c r="A111" s="48" t="s">
        <v>63</v>
      </c>
      <c r="B111" s="49"/>
      <c r="C111" s="186">
        <f>SUM(C112:C120)</f>
        <v>99100</v>
      </c>
      <c r="D111" s="186">
        <f>SUM(D112:D120)</f>
        <v>99100</v>
      </c>
    </row>
    <row r="112" spans="1:4" ht="12.75">
      <c r="A112" s="76" t="s">
        <v>64</v>
      </c>
      <c r="B112" s="47" t="s">
        <v>131</v>
      </c>
      <c r="C112" s="189">
        <v>74050</v>
      </c>
      <c r="D112" s="216">
        <v>74050</v>
      </c>
    </row>
    <row r="113" spans="1:4" ht="12.75">
      <c r="A113" s="165" t="s">
        <v>65</v>
      </c>
      <c r="B113" s="11" t="s">
        <v>132</v>
      </c>
      <c r="C113" s="181">
        <v>12180</v>
      </c>
      <c r="D113" s="217">
        <v>12180</v>
      </c>
    </row>
    <row r="114" spans="1:4" ht="13.5" thickBot="1">
      <c r="A114" s="139" t="s">
        <v>65</v>
      </c>
      <c r="B114" s="61" t="s">
        <v>133</v>
      </c>
      <c r="C114" s="191">
        <v>1660</v>
      </c>
      <c r="D114" s="218">
        <v>1660</v>
      </c>
    </row>
    <row r="115" spans="1:4" ht="12.75">
      <c r="A115" s="76" t="s">
        <v>66</v>
      </c>
      <c r="B115" s="47" t="s">
        <v>134</v>
      </c>
      <c r="C115" s="189">
        <v>330</v>
      </c>
      <c r="D115" s="216">
        <v>330</v>
      </c>
    </row>
    <row r="116" spans="1:4" ht="12.75">
      <c r="A116" s="165" t="s">
        <v>67</v>
      </c>
      <c r="B116" s="11" t="s">
        <v>68</v>
      </c>
      <c r="C116" s="181">
        <v>3300</v>
      </c>
      <c r="D116" s="217">
        <v>3300</v>
      </c>
    </row>
    <row r="117" spans="1:4" ht="12.75">
      <c r="A117" s="165" t="s">
        <v>69</v>
      </c>
      <c r="B117" s="11" t="s">
        <v>135</v>
      </c>
      <c r="C117" s="181">
        <v>1330</v>
      </c>
      <c r="D117" s="217">
        <v>1330</v>
      </c>
    </row>
    <row r="118" spans="1:4" ht="12.75">
      <c r="A118" s="165" t="s">
        <v>69</v>
      </c>
      <c r="B118" s="11" t="s">
        <v>136</v>
      </c>
      <c r="C118" s="181">
        <v>4650</v>
      </c>
      <c r="D118" s="217">
        <v>4650</v>
      </c>
    </row>
    <row r="119" spans="1:4" ht="12.75">
      <c r="A119" s="165" t="s">
        <v>70</v>
      </c>
      <c r="B119" s="11" t="s">
        <v>71</v>
      </c>
      <c r="C119" s="181">
        <v>600</v>
      </c>
      <c r="D119" s="217">
        <v>600</v>
      </c>
    </row>
    <row r="120" spans="1:4" ht="13.5" thickBot="1">
      <c r="A120" s="139" t="s">
        <v>72</v>
      </c>
      <c r="B120" s="61" t="s">
        <v>73</v>
      </c>
      <c r="C120" s="191">
        <v>1000</v>
      </c>
      <c r="D120" s="218">
        <v>1000</v>
      </c>
    </row>
    <row r="121" spans="1:4" ht="16.5" thickBot="1">
      <c r="A121" s="251" t="s">
        <v>137</v>
      </c>
      <c r="B121" s="252"/>
      <c r="C121" s="253">
        <f>SUM(C73+C77+C79+C81+C86+C89+C91+C105+C111)</f>
        <v>827348</v>
      </c>
      <c r="D121" s="188">
        <f>SUM(D73+D77+D79+D81+D86+D89+D91+D105+D111)</f>
        <v>827348</v>
      </c>
    </row>
    <row r="122" spans="1:4" ht="12.75">
      <c r="A122" s="158" t="s">
        <v>59</v>
      </c>
      <c r="B122" s="157" t="s">
        <v>74</v>
      </c>
      <c r="C122" s="194">
        <v>292110</v>
      </c>
      <c r="D122" s="219">
        <v>292110</v>
      </c>
    </row>
    <row r="123" spans="1:4" ht="12.75">
      <c r="A123" s="159" t="s">
        <v>75</v>
      </c>
      <c r="B123" s="10" t="s">
        <v>76</v>
      </c>
      <c r="C123" s="195">
        <v>16600</v>
      </c>
      <c r="D123" s="155">
        <v>16600</v>
      </c>
    </row>
    <row r="124" spans="1:4" ht="13.5" thickBot="1">
      <c r="A124" s="624" t="s">
        <v>163</v>
      </c>
      <c r="B124" s="625"/>
      <c r="C124" s="187">
        <f>SUM(C122:C123)</f>
        <v>308710</v>
      </c>
      <c r="D124" s="187">
        <f>SUM(D122:D123)</f>
        <v>308710</v>
      </c>
    </row>
    <row r="125" spans="1:4" ht="16.5" thickBot="1">
      <c r="A125" s="85" t="s">
        <v>78</v>
      </c>
      <c r="B125" s="57"/>
      <c r="C125" s="188">
        <f>C121+C124</f>
        <v>1136058</v>
      </c>
      <c r="D125" s="188">
        <f>D121+D124</f>
        <v>1136058</v>
      </c>
    </row>
    <row r="127" spans="1:4" ht="12.75">
      <c r="A127" s="15"/>
      <c r="B127" s="24"/>
      <c r="C127" s="24"/>
      <c r="D127" s="24"/>
    </row>
    <row r="128" spans="1:5" ht="18.75" thickBot="1">
      <c r="A128" s="588" t="s">
        <v>79</v>
      </c>
      <c r="B128" s="589"/>
      <c r="C128" s="589"/>
      <c r="D128" s="589"/>
      <c r="E128" s="124"/>
    </row>
    <row r="129" spans="1:7" ht="12.75" customHeight="1">
      <c r="A129" s="608" t="s">
        <v>2</v>
      </c>
      <c r="B129" s="609"/>
      <c r="C129" s="598" t="s">
        <v>193</v>
      </c>
      <c r="D129" s="598" t="s">
        <v>195</v>
      </c>
      <c r="E129" s="25"/>
      <c r="F129" s="124"/>
      <c r="G129" s="124"/>
    </row>
    <row r="130" spans="1:7" ht="13.5" thickBot="1">
      <c r="A130" s="590"/>
      <c r="B130" s="621"/>
      <c r="C130" s="599"/>
      <c r="D130" s="599"/>
      <c r="F130" s="25"/>
      <c r="G130" s="4"/>
    </row>
    <row r="131" spans="1:4" ht="15.75" thickBot="1">
      <c r="A131" s="613" t="s">
        <v>142</v>
      </c>
      <c r="B131" s="614"/>
      <c r="C131" s="112">
        <f>SUM(C132:C133)</f>
        <v>0</v>
      </c>
      <c r="D131" s="112">
        <f>SUM(D132:D133)</f>
        <v>0</v>
      </c>
    </row>
    <row r="132" spans="1:4" ht="12.75">
      <c r="A132" s="96">
        <v>230</v>
      </c>
      <c r="B132" s="65" t="s">
        <v>99</v>
      </c>
      <c r="C132" s="171">
        <v>0</v>
      </c>
      <c r="D132" s="215">
        <v>0</v>
      </c>
    </row>
    <row r="133" spans="1:4" ht="13.5" thickBot="1">
      <c r="A133" s="95">
        <v>321</v>
      </c>
      <c r="B133" s="61" t="s">
        <v>178</v>
      </c>
      <c r="C133" s="172">
        <v>0</v>
      </c>
      <c r="D133" s="207">
        <v>0</v>
      </c>
    </row>
    <row r="134" spans="1:4" ht="18.75" thickBot="1">
      <c r="A134" s="75"/>
      <c r="B134" s="3"/>
      <c r="C134" s="3"/>
      <c r="D134" s="3"/>
    </row>
    <row r="135" spans="1:4" ht="16.5" thickBot="1">
      <c r="A135" s="613" t="s">
        <v>143</v>
      </c>
      <c r="B135" s="614"/>
      <c r="C135" s="214">
        <f>SUM(C136:C146)</f>
        <v>94700</v>
      </c>
      <c r="D135" s="214">
        <f>SUM(D136:D146)</f>
        <v>91400</v>
      </c>
    </row>
    <row r="136" spans="1:4" ht="12.75">
      <c r="A136" s="97" t="s">
        <v>39</v>
      </c>
      <c r="B136" s="98" t="s">
        <v>184</v>
      </c>
      <c r="C136" s="199">
        <v>3300</v>
      </c>
      <c r="D136" s="213">
        <v>3300</v>
      </c>
    </row>
    <row r="137" spans="1:4" ht="12.75">
      <c r="A137" s="89" t="s">
        <v>37</v>
      </c>
      <c r="B137" s="140" t="s">
        <v>196</v>
      </c>
      <c r="C137" s="200">
        <v>3300</v>
      </c>
      <c r="D137" s="209">
        <v>0</v>
      </c>
    </row>
    <row r="138" spans="1:4" ht="12.75">
      <c r="A138" s="142" t="s">
        <v>37</v>
      </c>
      <c r="B138" s="143" t="s">
        <v>199</v>
      </c>
      <c r="C138" s="201">
        <v>6600</v>
      </c>
      <c r="D138" s="208">
        <v>6600</v>
      </c>
    </row>
    <row r="139" spans="1:4" ht="12.75">
      <c r="A139" s="73" t="s">
        <v>37</v>
      </c>
      <c r="B139" s="7" t="s">
        <v>179</v>
      </c>
      <c r="C139" s="196">
        <v>33000</v>
      </c>
      <c r="D139" s="210">
        <v>33000</v>
      </c>
    </row>
    <row r="140" spans="1:4" ht="12.75">
      <c r="A140" s="76" t="s">
        <v>37</v>
      </c>
      <c r="B140" s="37" t="s">
        <v>80</v>
      </c>
      <c r="C140" s="198">
        <v>0</v>
      </c>
      <c r="D140" s="211">
        <v>0</v>
      </c>
    </row>
    <row r="141" spans="1:4" ht="12.75">
      <c r="A141" s="165" t="s">
        <v>37</v>
      </c>
      <c r="B141" s="7" t="s">
        <v>183</v>
      </c>
      <c r="C141" s="196">
        <v>6600</v>
      </c>
      <c r="D141" s="210">
        <v>6600</v>
      </c>
    </row>
    <row r="142" spans="1:4" ht="12.75">
      <c r="A142" s="72" t="s">
        <v>41</v>
      </c>
      <c r="B142" s="37" t="s">
        <v>197</v>
      </c>
      <c r="C142" s="198">
        <v>3300</v>
      </c>
      <c r="D142" s="211">
        <v>3300</v>
      </c>
    </row>
    <row r="143" spans="1:4" ht="12.75">
      <c r="A143" s="73" t="s">
        <v>43</v>
      </c>
      <c r="B143" s="7" t="s">
        <v>203</v>
      </c>
      <c r="C143" s="196">
        <v>3300</v>
      </c>
      <c r="D143" s="210">
        <v>3300</v>
      </c>
    </row>
    <row r="144" spans="1:4" ht="12.75">
      <c r="A144" s="72" t="s">
        <v>51</v>
      </c>
      <c r="B144" s="37" t="s">
        <v>157</v>
      </c>
      <c r="C144" s="198">
        <v>16000</v>
      </c>
      <c r="D144" s="211">
        <v>16000</v>
      </c>
    </row>
    <row r="145" spans="1:4" ht="12.75">
      <c r="A145" s="73" t="s">
        <v>202</v>
      </c>
      <c r="B145" s="7" t="s">
        <v>198</v>
      </c>
      <c r="C145" s="196">
        <v>3300</v>
      </c>
      <c r="D145" s="210">
        <v>3300</v>
      </c>
    </row>
    <row r="146" spans="1:4" ht="13.5" thickBot="1">
      <c r="A146" s="74" t="s">
        <v>45</v>
      </c>
      <c r="B146" s="44" t="s">
        <v>46</v>
      </c>
      <c r="C146" s="197">
        <v>16000</v>
      </c>
      <c r="D146" s="212">
        <v>16000</v>
      </c>
    </row>
    <row r="147" spans="1:4" ht="12.75">
      <c r="A147" s="28"/>
      <c r="B147" s="29"/>
      <c r="C147" s="29"/>
      <c r="D147" s="29"/>
    </row>
    <row r="148" spans="1:5" ht="12.75">
      <c r="A148" s="29"/>
      <c r="B148" s="24"/>
      <c r="C148" s="24"/>
      <c r="D148" s="24"/>
      <c r="E148" s="146"/>
    </row>
    <row r="149" spans="1:7" ht="18.75" thickBot="1">
      <c r="A149" s="615" t="s">
        <v>81</v>
      </c>
      <c r="B149" s="616"/>
      <c r="C149" s="617"/>
      <c r="D149" s="617"/>
      <c r="E149" s="30"/>
      <c r="F149" s="146"/>
      <c r="G149" s="147"/>
    </row>
    <row r="150" spans="1:7" ht="12.75" customHeight="1">
      <c r="A150" s="608" t="s">
        <v>2</v>
      </c>
      <c r="B150" s="618"/>
      <c r="C150" s="600" t="s">
        <v>193</v>
      </c>
      <c r="D150" s="598" t="s">
        <v>195</v>
      </c>
      <c r="F150" s="30"/>
      <c r="G150" s="4"/>
    </row>
    <row r="151" spans="1:4" ht="13.5" thickBot="1">
      <c r="A151" s="619"/>
      <c r="B151" s="620"/>
      <c r="C151" s="601"/>
      <c r="D151" s="612"/>
    </row>
    <row r="152" spans="1:4" ht="15.75">
      <c r="A152" s="604" t="s">
        <v>144</v>
      </c>
      <c r="B152" s="605"/>
      <c r="C152" s="254">
        <f>SUM(C153:C153)</f>
        <v>67657</v>
      </c>
      <c r="D152" s="205">
        <f>SUM(D153:D153)</f>
        <v>64407</v>
      </c>
    </row>
    <row r="153" spans="1:4" ht="12.75">
      <c r="A153" s="69">
        <v>454</v>
      </c>
      <c r="B153" s="206" t="s">
        <v>185</v>
      </c>
      <c r="C153" s="202">
        <f>136924-69267</f>
        <v>67657</v>
      </c>
      <c r="D153" s="203">
        <f>136925-72518</f>
        <v>64407</v>
      </c>
    </row>
    <row r="154" spans="1:4" ht="15.75">
      <c r="A154" s="604" t="s">
        <v>145</v>
      </c>
      <c r="B154" s="605"/>
      <c r="C154" s="255">
        <f>C155</f>
        <v>531</v>
      </c>
      <c r="D154" s="111">
        <f>D155</f>
        <v>531.1027019849963</v>
      </c>
    </row>
    <row r="155" spans="1:5" ht="14.25" customHeight="1" thickBot="1">
      <c r="A155" s="70">
        <v>821</v>
      </c>
      <c r="B155" s="207" t="s">
        <v>138</v>
      </c>
      <c r="C155" s="204">
        <v>531</v>
      </c>
      <c r="D155" s="136">
        <v>531.1027019849963</v>
      </c>
      <c r="E155" s="33"/>
    </row>
    <row r="156" spans="1:4" ht="15.75">
      <c r="A156" s="14"/>
      <c r="B156" s="15"/>
      <c r="C156" s="15"/>
      <c r="D156" s="15"/>
    </row>
    <row r="157" spans="1:4" ht="15.75">
      <c r="A157" s="14"/>
      <c r="B157" s="15"/>
      <c r="C157" s="15"/>
      <c r="D157" s="15"/>
    </row>
    <row r="158" spans="1:5" ht="15.75">
      <c r="A158" s="14"/>
      <c r="B158" s="15"/>
      <c r="C158" s="15"/>
      <c r="D158" s="15"/>
      <c r="E158" s="16"/>
    </row>
    <row r="159" spans="2:7" ht="18">
      <c r="B159" s="24"/>
      <c r="C159" s="24"/>
      <c r="D159" s="24"/>
      <c r="E159" s="16"/>
      <c r="F159" s="16"/>
      <c r="G159" s="33"/>
    </row>
    <row r="160" spans="1:7" ht="18.75" thickBot="1">
      <c r="A160" s="606" t="s">
        <v>146</v>
      </c>
      <c r="B160" s="607"/>
      <c r="C160" s="607"/>
      <c r="D160" s="607"/>
      <c r="E160" s="31"/>
      <c r="F160" s="16"/>
      <c r="G160" s="33"/>
    </row>
    <row r="161" spans="1:6" ht="12.75" customHeight="1">
      <c r="A161" s="608" t="s">
        <v>2</v>
      </c>
      <c r="B161" s="609"/>
      <c r="C161" s="602" t="s">
        <v>193</v>
      </c>
      <c r="D161" s="598" t="s">
        <v>195</v>
      </c>
      <c r="F161" s="31"/>
    </row>
    <row r="162" spans="1:4" ht="13.5" thickBot="1">
      <c r="A162" s="610"/>
      <c r="B162" s="611"/>
      <c r="C162" s="603"/>
      <c r="D162" s="612"/>
    </row>
    <row r="163" spans="1:4" ht="15">
      <c r="A163" s="169" t="s">
        <v>82</v>
      </c>
      <c r="B163" s="37"/>
      <c r="C163" s="170">
        <f>C67</f>
        <v>1163632</v>
      </c>
      <c r="D163" s="170">
        <f>D67</f>
        <v>1163582</v>
      </c>
    </row>
    <row r="164" spans="1:4" ht="15">
      <c r="A164" s="77" t="s">
        <v>83</v>
      </c>
      <c r="B164" s="7"/>
      <c r="C164" s="106">
        <f>C125</f>
        <v>1136058</v>
      </c>
      <c r="D164" s="106">
        <f>D125</f>
        <v>1136058</v>
      </c>
    </row>
    <row r="165" spans="1:4" ht="15.75">
      <c r="A165" s="68"/>
      <c r="B165" s="32" t="s">
        <v>84</v>
      </c>
      <c r="C165" s="107">
        <f>C163-C164</f>
        <v>27574</v>
      </c>
      <c r="D165" s="107">
        <f>D163-D164</f>
        <v>27524</v>
      </c>
    </row>
    <row r="166" spans="1:4" ht="15">
      <c r="A166" s="77" t="s">
        <v>85</v>
      </c>
      <c r="B166" s="7"/>
      <c r="C166" s="106">
        <f>C131</f>
        <v>0</v>
      </c>
      <c r="D166" s="106">
        <f>D131</f>
        <v>0</v>
      </c>
    </row>
    <row r="167" spans="1:4" ht="15">
      <c r="A167" s="77" t="s">
        <v>86</v>
      </c>
      <c r="B167" s="7"/>
      <c r="C167" s="103">
        <f>C135</f>
        <v>94700</v>
      </c>
      <c r="D167" s="103">
        <f>D135</f>
        <v>91400</v>
      </c>
    </row>
    <row r="168" spans="1:4" ht="15.75">
      <c r="A168" s="68"/>
      <c r="B168" s="34" t="s">
        <v>87</v>
      </c>
      <c r="C168" s="107">
        <f>C166-C167</f>
        <v>-94700</v>
      </c>
      <c r="D168" s="107">
        <f>D166-D167</f>
        <v>-91400</v>
      </c>
    </row>
    <row r="169" spans="1:4" ht="15">
      <c r="A169" s="592" t="s">
        <v>140</v>
      </c>
      <c r="B169" s="593"/>
      <c r="C169" s="108">
        <f>C152</f>
        <v>67657</v>
      </c>
      <c r="D169" s="108">
        <f>D152</f>
        <v>64407</v>
      </c>
    </row>
    <row r="170" spans="1:4" ht="15">
      <c r="A170" s="592" t="s">
        <v>139</v>
      </c>
      <c r="B170" s="593"/>
      <c r="C170" s="108">
        <f>C154</f>
        <v>531</v>
      </c>
      <c r="D170" s="108">
        <f>D154</f>
        <v>531.1027019849963</v>
      </c>
    </row>
    <row r="171" spans="1:4" ht="16.5" thickBot="1">
      <c r="A171" s="78"/>
      <c r="B171" s="79" t="s">
        <v>141</v>
      </c>
      <c r="C171" s="109">
        <f>C169-C170</f>
        <v>67126</v>
      </c>
      <c r="D171" s="109">
        <f>D169-D170</f>
        <v>63875.89729801501</v>
      </c>
    </row>
    <row r="172" spans="1:4" ht="16.5" thickBot="1">
      <c r="A172" s="594" t="s">
        <v>88</v>
      </c>
      <c r="B172" s="595"/>
      <c r="C172" s="110">
        <f>C165+C168+C171</f>
        <v>0</v>
      </c>
      <c r="D172" s="110">
        <f>D165+D168+D171</f>
        <v>-0.10270198499347316</v>
      </c>
    </row>
    <row r="174" spans="2:4" ht="12.75">
      <c r="B174" s="35" t="s">
        <v>89</v>
      </c>
      <c r="C174" s="4">
        <f>C163+C166+C169</f>
        <v>1231289</v>
      </c>
      <c r="D174" s="4">
        <f>D163+D166+D169</f>
        <v>1227989</v>
      </c>
    </row>
    <row r="175" spans="2:4" ht="12.75">
      <c r="B175" s="35" t="s">
        <v>90</v>
      </c>
      <c r="C175" s="4">
        <f>C164+C167+C170</f>
        <v>1231289</v>
      </c>
      <c r="D175" s="4">
        <f>D164+D167+D170</f>
        <v>1227989.102701985</v>
      </c>
    </row>
    <row r="176" spans="2:4" ht="12.75">
      <c r="B176" s="35"/>
      <c r="C176" s="4"/>
      <c r="D176" s="4"/>
    </row>
    <row r="177" spans="2:4" ht="12.75">
      <c r="B177" s="35" t="s">
        <v>155</v>
      </c>
      <c r="C177" s="4">
        <f>C174-C66</f>
        <v>1229129</v>
      </c>
      <c r="D177" s="4">
        <f>D174-D66</f>
        <v>1225829</v>
      </c>
    </row>
    <row r="178" spans="2:4" ht="12.75">
      <c r="B178" s="35" t="s">
        <v>160</v>
      </c>
      <c r="C178" s="4">
        <f>C175-C124</f>
        <v>922579</v>
      </c>
      <c r="D178" s="4">
        <f>D175-D124</f>
        <v>919279.102701985</v>
      </c>
    </row>
  </sheetData>
  <sheetProtection/>
  <mergeCells count="37">
    <mergeCell ref="A7:D7"/>
    <mergeCell ref="A8:B9"/>
    <mergeCell ref="A1:D1"/>
    <mergeCell ref="A2:D2"/>
    <mergeCell ref="A4:D4"/>
    <mergeCell ref="A5:G5"/>
    <mergeCell ref="A70:D70"/>
    <mergeCell ref="A71:B72"/>
    <mergeCell ref="D71:D72"/>
    <mergeCell ref="A10:B10"/>
    <mergeCell ref="A19:B19"/>
    <mergeCell ref="A38:B38"/>
    <mergeCell ref="A40:B40"/>
    <mergeCell ref="A128:D128"/>
    <mergeCell ref="A129:B130"/>
    <mergeCell ref="D129:D130"/>
    <mergeCell ref="A77:B77"/>
    <mergeCell ref="A79:B79"/>
    <mergeCell ref="A105:B105"/>
    <mergeCell ref="A124:B124"/>
    <mergeCell ref="A161:B162"/>
    <mergeCell ref="D161:D162"/>
    <mergeCell ref="A131:B131"/>
    <mergeCell ref="A135:B135"/>
    <mergeCell ref="A149:D149"/>
    <mergeCell ref="A150:B151"/>
    <mergeCell ref="D150:D151"/>
    <mergeCell ref="A169:B169"/>
    <mergeCell ref="A170:B170"/>
    <mergeCell ref="A172:B172"/>
    <mergeCell ref="C71:C72"/>
    <mergeCell ref="C129:C130"/>
    <mergeCell ref="C150:C151"/>
    <mergeCell ref="C161:C162"/>
    <mergeCell ref="A152:B152"/>
    <mergeCell ref="A154:B154"/>
    <mergeCell ref="A160:D1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6.25390625" style="0" customWidth="1"/>
    <col min="2" max="2" width="41.75390625" style="0" customWidth="1"/>
    <col min="3" max="3" width="12.75390625" style="0" customWidth="1"/>
    <col min="4" max="5" width="12.00390625" style="0" customWidth="1"/>
    <col min="6" max="6" width="11.875" style="0" customWidth="1"/>
    <col min="7" max="7" width="12.625" style="0" customWidth="1"/>
  </cols>
  <sheetData>
    <row r="1" spans="1:8" ht="20.25">
      <c r="A1" s="634" t="s">
        <v>172</v>
      </c>
      <c r="B1" s="634"/>
      <c r="C1" s="634"/>
      <c r="D1" s="634"/>
      <c r="E1" s="634"/>
      <c r="F1" s="634"/>
      <c r="G1" s="634"/>
      <c r="H1" s="634"/>
    </row>
    <row r="2" spans="1:8" ht="15.75">
      <c r="A2" s="635"/>
      <c r="B2" s="635"/>
      <c r="C2" s="635"/>
      <c r="D2" s="635"/>
      <c r="E2" s="635"/>
      <c r="F2" s="635"/>
      <c r="G2" s="635"/>
      <c r="H2" s="635"/>
    </row>
    <row r="3" spans="1:8" ht="12.75">
      <c r="A3" s="637" t="s">
        <v>204</v>
      </c>
      <c r="B3" s="637"/>
      <c r="C3" s="637"/>
      <c r="D3" s="637"/>
      <c r="E3" s="637"/>
      <c r="F3" s="637"/>
      <c r="G3" s="637"/>
      <c r="H3" s="637"/>
    </row>
    <row r="4" spans="1:8" ht="12.75">
      <c r="A4" s="637" t="s">
        <v>221</v>
      </c>
      <c r="B4" s="637"/>
      <c r="C4" s="637"/>
      <c r="D4" s="637"/>
      <c r="E4" s="637"/>
      <c r="F4" s="637"/>
      <c r="G4" s="637"/>
      <c r="H4" s="637"/>
    </row>
    <row r="5" spans="1:8" ht="12.75">
      <c r="A5" s="637" t="s">
        <v>244</v>
      </c>
      <c r="B5" s="637"/>
      <c r="C5" s="637"/>
      <c r="D5" s="637"/>
      <c r="E5" s="637"/>
      <c r="F5" s="637"/>
      <c r="G5" s="637"/>
      <c r="H5" s="637"/>
    </row>
    <row r="6" spans="1:8" ht="12.75">
      <c r="A6" s="637" t="s">
        <v>247</v>
      </c>
      <c r="B6" s="637"/>
      <c r="C6" s="637"/>
      <c r="D6" s="637"/>
      <c r="E6" s="637"/>
      <c r="F6" s="637"/>
      <c r="G6" s="637"/>
      <c r="H6" s="637"/>
    </row>
    <row r="7" spans="1:8" ht="12.75">
      <c r="A7" s="380" t="s">
        <v>175</v>
      </c>
      <c r="B7" s="135"/>
      <c r="C7" s="135"/>
      <c r="D7" s="135"/>
      <c r="E7" s="135"/>
      <c r="F7" s="135"/>
      <c r="G7" s="135"/>
      <c r="H7" s="135"/>
    </row>
    <row r="8" ht="13.5" thickBot="1">
      <c r="H8" s="381">
        <v>30.126</v>
      </c>
    </row>
    <row r="9" spans="1:8" ht="18.75" thickBot="1">
      <c r="A9" s="660" t="s">
        <v>1</v>
      </c>
      <c r="B9" s="661"/>
      <c r="C9" s="661"/>
      <c r="D9" s="661"/>
      <c r="E9" s="661"/>
      <c r="F9" s="661"/>
      <c r="G9" s="661"/>
      <c r="H9" s="662"/>
    </row>
    <row r="10" spans="1:8" ht="12.75">
      <c r="A10" s="608" t="s">
        <v>2</v>
      </c>
      <c r="B10" s="609"/>
      <c r="C10" s="598" t="s">
        <v>205</v>
      </c>
      <c r="D10" s="643" t="s">
        <v>233</v>
      </c>
      <c r="E10" s="643" t="s">
        <v>234</v>
      </c>
      <c r="F10" s="643" t="s">
        <v>245</v>
      </c>
      <c r="G10" s="643" t="s">
        <v>248</v>
      </c>
      <c r="H10" s="646" t="s">
        <v>249</v>
      </c>
    </row>
    <row r="11" spans="1:8" ht="13.5" thickBot="1">
      <c r="A11" s="628"/>
      <c r="B11" s="629"/>
      <c r="C11" s="612"/>
      <c r="D11" s="644"/>
      <c r="E11" s="644"/>
      <c r="F11" s="644"/>
      <c r="G11" s="644"/>
      <c r="H11" s="647"/>
    </row>
    <row r="12" spans="1:8" ht="13.5" thickBot="1">
      <c r="A12" s="630" t="s">
        <v>3</v>
      </c>
      <c r="B12" s="631"/>
      <c r="C12" s="326">
        <f aca="true" t="shared" si="0" ref="C12:H12">SUM(C13:C20)</f>
        <v>720640</v>
      </c>
      <c r="D12" s="326">
        <f t="shared" si="0"/>
        <v>720649</v>
      </c>
      <c r="E12" s="326">
        <f t="shared" si="0"/>
        <v>720649</v>
      </c>
      <c r="F12" s="326">
        <f t="shared" si="0"/>
        <v>710935</v>
      </c>
      <c r="G12" s="326">
        <f t="shared" si="0"/>
        <v>705518</v>
      </c>
      <c r="H12" s="326">
        <f t="shared" si="0"/>
        <v>21417.627809999998</v>
      </c>
    </row>
    <row r="13" spans="1:8" ht="13.5" thickBot="1">
      <c r="A13" s="90">
        <v>111</v>
      </c>
      <c r="B13" s="46" t="s">
        <v>4</v>
      </c>
      <c r="C13" s="332">
        <v>680475</v>
      </c>
      <c r="D13" s="332">
        <v>680475</v>
      </c>
      <c r="E13" s="332">
        <v>680475</v>
      </c>
      <c r="F13" s="416">
        <v>670000</v>
      </c>
      <c r="G13" s="387">
        <v>664900</v>
      </c>
      <c r="H13" s="283">
        <f>F13*$H$8/1000</f>
        <v>20184.42</v>
      </c>
    </row>
    <row r="14" spans="1:8" ht="12.75">
      <c r="A14" s="228">
        <v>121</v>
      </c>
      <c r="B14" s="37" t="s">
        <v>92</v>
      </c>
      <c r="C14" s="292">
        <v>13211</v>
      </c>
      <c r="D14" s="292">
        <v>13211</v>
      </c>
      <c r="E14" s="292">
        <v>13211</v>
      </c>
      <c r="F14" s="419">
        <v>12200</v>
      </c>
      <c r="G14" s="292">
        <v>12065</v>
      </c>
      <c r="H14" s="283">
        <f aca="true" t="shared" si="1" ref="H14:H20">F14*$H$8/1000</f>
        <v>367.5372</v>
      </c>
    </row>
    <row r="15" spans="1:8" ht="12.75">
      <c r="A15" s="229">
        <v>121</v>
      </c>
      <c r="B15" s="7" t="s">
        <v>93</v>
      </c>
      <c r="C15" s="288">
        <v>12879</v>
      </c>
      <c r="D15" s="288">
        <v>12879</v>
      </c>
      <c r="E15" s="288">
        <v>12879</v>
      </c>
      <c r="F15" s="420">
        <v>13200</v>
      </c>
      <c r="G15" s="288">
        <v>13107</v>
      </c>
      <c r="H15" s="283">
        <f t="shared" si="1"/>
        <v>397.6632</v>
      </c>
    </row>
    <row r="16" spans="1:8" ht="13.5" thickBot="1">
      <c r="A16" s="230">
        <v>121</v>
      </c>
      <c r="B16" s="39" t="s">
        <v>5</v>
      </c>
      <c r="C16" s="297">
        <v>66</v>
      </c>
      <c r="D16" s="344">
        <v>75</v>
      </c>
      <c r="E16" s="385">
        <v>75</v>
      </c>
      <c r="F16" s="385">
        <v>75</v>
      </c>
      <c r="G16" s="385">
        <v>71</v>
      </c>
      <c r="H16" s="283">
        <f t="shared" si="1"/>
        <v>2.25945</v>
      </c>
    </row>
    <row r="17" spans="1:8" ht="12.75">
      <c r="A17" s="228">
        <v>133</v>
      </c>
      <c r="B17" s="37" t="s">
        <v>6</v>
      </c>
      <c r="C17" s="292">
        <v>498</v>
      </c>
      <c r="D17" s="292">
        <v>498</v>
      </c>
      <c r="E17" s="292">
        <v>498</v>
      </c>
      <c r="F17" s="292">
        <v>498</v>
      </c>
      <c r="G17" s="292">
        <v>484</v>
      </c>
      <c r="H17" s="283">
        <f t="shared" si="1"/>
        <v>15.002748000000002</v>
      </c>
    </row>
    <row r="18" spans="1:8" ht="12.75">
      <c r="A18" s="229">
        <v>133</v>
      </c>
      <c r="B18" s="7" t="s">
        <v>7</v>
      </c>
      <c r="C18" s="288">
        <v>232</v>
      </c>
      <c r="D18" s="288">
        <v>232</v>
      </c>
      <c r="E18" s="288">
        <v>232</v>
      </c>
      <c r="F18" s="288">
        <v>232</v>
      </c>
      <c r="G18" s="288">
        <v>199</v>
      </c>
      <c r="H18" s="283">
        <f t="shared" si="1"/>
        <v>6.989232</v>
      </c>
    </row>
    <row r="19" spans="1:8" ht="12.75">
      <c r="A19" s="229">
        <v>133</v>
      </c>
      <c r="B19" s="7" t="s">
        <v>8</v>
      </c>
      <c r="C19" s="288">
        <v>1660</v>
      </c>
      <c r="D19" s="288">
        <v>1660</v>
      </c>
      <c r="E19" s="288">
        <v>1660</v>
      </c>
      <c r="F19" s="346">
        <v>1830</v>
      </c>
      <c r="G19" s="288">
        <v>1826</v>
      </c>
      <c r="H19" s="283">
        <f t="shared" si="1"/>
        <v>55.13058</v>
      </c>
    </row>
    <row r="20" spans="1:8" ht="13.5" thickBot="1">
      <c r="A20" s="230">
        <v>133</v>
      </c>
      <c r="B20" s="39" t="s">
        <v>9</v>
      </c>
      <c r="C20" s="297">
        <v>11619</v>
      </c>
      <c r="D20" s="297">
        <v>11619</v>
      </c>
      <c r="E20" s="297">
        <v>11619</v>
      </c>
      <c r="F20" s="344">
        <v>12900</v>
      </c>
      <c r="G20" s="297">
        <v>12866</v>
      </c>
      <c r="H20" s="443">
        <f t="shared" si="1"/>
        <v>388.6254</v>
      </c>
    </row>
    <row r="21" spans="1:8" ht="13.5" thickBot="1">
      <c r="A21" s="630" t="s">
        <v>10</v>
      </c>
      <c r="B21" s="631"/>
      <c r="C21" s="326">
        <f aca="true" t="shared" si="2" ref="C21:H21">SUM(C22:C39)</f>
        <v>82108</v>
      </c>
      <c r="D21" s="326">
        <f t="shared" si="2"/>
        <v>94502</v>
      </c>
      <c r="E21" s="326">
        <f t="shared" si="2"/>
        <v>94283</v>
      </c>
      <c r="F21" s="326">
        <f t="shared" si="2"/>
        <v>94191</v>
      </c>
      <c r="G21" s="326">
        <f t="shared" si="2"/>
        <v>91553</v>
      </c>
      <c r="H21" s="326">
        <f t="shared" si="2"/>
        <v>2837.5980660000005</v>
      </c>
    </row>
    <row r="22" spans="1:8" ht="12.75">
      <c r="A22" s="91">
        <v>212</v>
      </c>
      <c r="B22" s="66" t="s">
        <v>11</v>
      </c>
      <c r="C22" s="310">
        <v>816</v>
      </c>
      <c r="D22" s="359">
        <v>816</v>
      </c>
      <c r="E22" s="359">
        <v>816</v>
      </c>
      <c r="F22" s="359">
        <v>816</v>
      </c>
      <c r="G22" s="383">
        <v>809</v>
      </c>
      <c r="H22" s="288">
        <f>F22*$H$8/1000</f>
        <v>24.582816</v>
      </c>
    </row>
    <row r="23" spans="1:8" ht="12.75">
      <c r="A23" s="36">
        <v>212</v>
      </c>
      <c r="B23" s="37" t="s">
        <v>148</v>
      </c>
      <c r="C23" s="292">
        <v>1660</v>
      </c>
      <c r="D23" s="345">
        <v>4300</v>
      </c>
      <c r="E23" s="383">
        <v>4300</v>
      </c>
      <c r="F23" s="345">
        <v>6300</v>
      </c>
      <c r="G23" s="383">
        <v>6263</v>
      </c>
      <c r="H23" s="288">
        <f aca="true" t="shared" si="3" ref="H23:H39">F23*$H$8/1000</f>
        <v>189.7938</v>
      </c>
    </row>
    <row r="24" spans="1:8" ht="12.75">
      <c r="A24" s="6">
        <v>212</v>
      </c>
      <c r="B24" s="7" t="s">
        <v>12</v>
      </c>
      <c r="C24" s="288">
        <v>3787</v>
      </c>
      <c r="D24" s="360">
        <v>3787</v>
      </c>
      <c r="E24" s="360">
        <v>3787</v>
      </c>
      <c r="F24" s="360">
        <v>3787</v>
      </c>
      <c r="G24" s="360">
        <v>3634</v>
      </c>
      <c r="H24" s="288">
        <f t="shared" si="3"/>
        <v>114.087162</v>
      </c>
    </row>
    <row r="25" spans="1:8" ht="12.75">
      <c r="A25" s="6">
        <v>212</v>
      </c>
      <c r="B25" s="7" t="s">
        <v>13</v>
      </c>
      <c r="C25" s="288">
        <v>10354</v>
      </c>
      <c r="D25" s="360">
        <v>10354</v>
      </c>
      <c r="E25" s="360">
        <v>10354</v>
      </c>
      <c r="F25" s="360">
        <v>10354</v>
      </c>
      <c r="G25" s="360">
        <v>10038</v>
      </c>
      <c r="H25" s="288">
        <f t="shared" si="3"/>
        <v>311.924604</v>
      </c>
    </row>
    <row r="26" spans="1:9" ht="13.5" thickBot="1">
      <c r="A26" s="45">
        <v>212</v>
      </c>
      <c r="B26" s="44" t="s">
        <v>171</v>
      </c>
      <c r="C26" s="328">
        <v>33</v>
      </c>
      <c r="D26" s="328">
        <v>33</v>
      </c>
      <c r="E26" s="328">
        <v>33</v>
      </c>
      <c r="F26" s="328">
        <v>33</v>
      </c>
      <c r="G26" s="297">
        <v>3</v>
      </c>
      <c r="H26" s="288">
        <f t="shared" si="3"/>
        <v>0.994158</v>
      </c>
      <c r="I26" s="4">
        <f>SUM(G22:G26)</f>
        <v>20747</v>
      </c>
    </row>
    <row r="27" spans="1:8" ht="13.5" thickBot="1">
      <c r="A27" s="40">
        <v>221</v>
      </c>
      <c r="B27" s="41" t="s">
        <v>14</v>
      </c>
      <c r="C27" s="331">
        <v>9958</v>
      </c>
      <c r="D27" s="331">
        <v>9958</v>
      </c>
      <c r="E27" s="331">
        <v>9958</v>
      </c>
      <c r="F27" s="421">
        <v>10250</v>
      </c>
      <c r="G27" s="331">
        <v>10233</v>
      </c>
      <c r="H27" s="288">
        <f t="shared" si="3"/>
        <v>308.7915</v>
      </c>
    </row>
    <row r="28" spans="1:8" ht="13.5" thickBot="1">
      <c r="A28" s="40">
        <v>222</v>
      </c>
      <c r="B28" s="41" t="s">
        <v>149</v>
      </c>
      <c r="C28" s="331">
        <v>33</v>
      </c>
      <c r="D28" s="347">
        <v>100</v>
      </c>
      <c r="E28" s="388">
        <v>100</v>
      </c>
      <c r="F28" s="388">
        <v>100</v>
      </c>
      <c r="G28" s="389">
        <v>70</v>
      </c>
      <c r="H28" s="288">
        <f t="shared" si="3"/>
        <v>3.0126</v>
      </c>
    </row>
    <row r="29" spans="1:8" ht="12.75">
      <c r="A29" s="36">
        <v>223</v>
      </c>
      <c r="B29" s="37" t="s">
        <v>189</v>
      </c>
      <c r="C29" s="292">
        <v>996</v>
      </c>
      <c r="D29" s="292">
        <v>996</v>
      </c>
      <c r="E29" s="292">
        <v>996</v>
      </c>
      <c r="F29" s="345">
        <v>800</v>
      </c>
      <c r="G29" s="292">
        <f>435+110+54</f>
        <v>599</v>
      </c>
      <c r="H29" s="288">
        <f t="shared" si="3"/>
        <v>24.1008</v>
      </c>
    </row>
    <row r="30" spans="1:8" ht="12.75">
      <c r="A30" s="6">
        <v>223</v>
      </c>
      <c r="B30" s="7" t="s">
        <v>16</v>
      </c>
      <c r="C30" s="288">
        <v>664</v>
      </c>
      <c r="D30" s="288">
        <v>664</v>
      </c>
      <c r="E30" s="288">
        <v>664</v>
      </c>
      <c r="F30" s="420">
        <v>680</v>
      </c>
      <c r="G30" s="288">
        <v>676</v>
      </c>
      <c r="H30" s="288">
        <f t="shared" si="3"/>
        <v>20.48568</v>
      </c>
    </row>
    <row r="31" spans="1:8" ht="12.75">
      <c r="A31" s="6">
        <v>223</v>
      </c>
      <c r="B31" s="7" t="s">
        <v>94</v>
      </c>
      <c r="C31" s="288">
        <v>1029</v>
      </c>
      <c r="D31" s="333">
        <v>1500</v>
      </c>
      <c r="E31" s="294">
        <v>1500</v>
      </c>
      <c r="F31" s="422">
        <v>900</v>
      </c>
      <c r="G31" s="294">
        <v>720</v>
      </c>
      <c r="H31" s="288">
        <f t="shared" si="3"/>
        <v>27.113400000000002</v>
      </c>
    </row>
    <row r="32" spans="1:8" ht="12.75">
      <c r="A32" s="6">
        <v>223</v>
      </c>
      <c r="B32" s="7" t="s">
        <v>17</v>
      </c>
      <c r="C32" s="288">
        <v>8298</v>
      </c>
      <c r="D32" s="288">
        <v>8298</v>
      </c>
      <c r="E32" s="288">
        <v>8298</v>
      </c>
      <c r="F32" s="346">
        <v>7000</v>
      </c>
      <c r="G32" s="288">
        <v>6203</v>
      </c>
      <c r="H32" s="288">
        <f t="shared" si="3"/>
        <v>210.882</v>
      </c>
    </row>
    <row r="33" spans="1:8" ht="12.75">
      <c r="A33" s="6">
        <v>223</v>
      </c>
      <c r="B33" s="7" t="s">
        <v>168</v>
      </c>
      <c r="C33" s="288">
        <v>8298</v>
      </c>
      <c r="D33" s="346">
        <v>14990</v>
      </c>
      <c r="E33" s="346">
        <v>12903</v>
      </c>
      <c r="F33" s="346">
        <v>12500</v>
      </c>
      <c r="G33" s="360">
        <v>12437</v>
      </c>
      <c r="H33" s="288">
        <f t="shared" si="3"/>
        <v>376.575</v>
      </c>
    </row>
    <row r="34" spans="1:8" ht="12.75">
      <c r="A34" s="6">
        <v>223</v>
      </c>
      <c r="B34" s="7" t="s">
        <v>95</v>
      </c>
      <c r="C34" s="288">
        <v>1660</v>
      </c>
      <c r="D34" s="288">
        <v>1660</v>
      </c>
      <c r="E34" s="288">
        <v>1660</v>
      </c>
      <c r="F34" s="288">
        <v>1660</v>
      </c>
      <c r="G34" s="288">
        <v>1317</v>
      </c>
      <c r="H34" s="288">
        <f t="shared" si="3"/>
        <v>50.00916</v>
      </c>
    </row>
    <row r="35" spans="1:8" ht="12.75">
      <c r="A35" s="6">
        <v>223</v>
      </c>
      <c r="B35" s="7" t="s">
        <v>188</v>
      </c>
      <c r="C35" s="288">
        <v>15601</v>
      </c>
      <c r="D35" s="346">
        <v>18125</v>
      </c>
      <c r="E35" s="333">
        <f>18125+1868</f>
        <v>19993</v>
      </c>
      <c r="F35" s="294">
        <f>18125+1868</f>
        <v>19993</v>
      </c>
      <c r="G35" s="360">
        <v>19839</v>
      </c>
      <c r="H35" s="288">
        <f t="shared" si="3"/>
        <v>602.309118</v>
      </c>
    </row>
    <row r="36" spans="1:8" ht="12.75">
      <c r="A36" s="6">
        <v>223</v>
      </c>
      <c r="B36" s="7" t="s">
        <v>96</v>
      </c>
      <c r="C36" s="288">
        <v>5311</v>
      </c>
      <c r="D36" s="288">
        <v>5311</v>
      </c>
      <c r="E36" s="288">
        <v>5311</v>
      </c>
      <c r="F36" s="420">
        <v>5710</v>
      </c>
      <c r="G36" s="295">
        <v>5709</v>
      </c>
      <c r="H36" s="288">
        <f t="shared" si="3"/>
        <v>172.01946</v>
      </c>
    </row>
    <row r="37" spans="1:8" ht="12.75">
      <c r="A37" s="6">
        <v>223</v>
      </c>
      <c r="B37" s="7" t="s">
        <v>97</v>
      </c>
      <c r="C37" s="288">
        <v>1660</v>
      </c>
      <c r="D37" s="288">
        <v>1660</v>
      </c>
      <c r="E37" s="288">
        <v>1660</v>
      </c>
      <c r="F37" s="346">
        <v>1006</v>
      </c>
      <c r="G37" s="288">
        <v>1006</v>
      </c>
      <c r="H37" s="288">
        <f t="shared" si="3"/>
        <v>30.306756</v>
      </c>
    </row>
    <row r="38" spans="1:8" ht="12.75">
      <c r="A38" s="6">
        <v>223</v>
      </c>
      <c r="B38" s="7" t="s">
        <v>98</v>
      </c>
      <c r="C38" s="288">
        <v>11618</v>
      </c>
      <c r="D38" s="288">
        <v>11618</v>
      </c>
      <c r="E38" s="288">
        <v>11618</v>
      </c>
      <c r="F38" s="346">
        <v>11970</v>
      </c>
      <c r="G38" s="288">
        <v>11967</v>
      </c>
      <c r="H38" s="288">
        <f t="shared" si="3"/>
        <v>360.60822</v>
      </c>
    </row>
    <row r="39" spans="1:9" ht="13.5" thickBot="1">
      <c r="A39" s="38">
        <v>223</v>
      </c>
      <c r="B39" s="39" t="s">
        <v>18</v>
      </c>
      <c r="C39" s="297">
        <v>332</v>
      </c>
      <c r="D39" s="297">
        <v>332</v>
      </c>
      <c r="E39" s="297">
        <v>332</v>
      </c>
      <c r="F39" s="297">
        <v>332</v>
      </c>
      <c r="G39" s="308">
        <v>30</v>
      </c>
      <c r="H39" s="288">
        <f t="shared" si="3"/>
        <v>10.001832</v>
      </c>
      <c r="I39" s="4">
        <f>SUM(G27:G39)</f>
        <v>70806</v>
      </c>
    </row>
    <row r="40" spans="1:8" ht="13.5" thickBot="1">
      <c r="A40" s="630" t="s">
        <v>19</v>
      </c>
      <c r="B40" s="631"/>
      <c r="C40" s="326">
        <f aca="true" t="shared" si="4" ref="C40:H40">C41</f>
        <v>6639</v>
      </c>
      <c r="D40" s="326">
        <f t="shared" si="4"/>
        <v>6639</v>
      </c>
      <c r="E40" s="326">
        <f t="shared" si="4"/>
        <v>6639</v>
      </c>
      <c r="F40" s="326">
        <f t="shared" si="4"/>
        <v>3639</v>
      </c>
      <c r="G40" s="326">
        <f t="shared" si="4"/>
        <v>3290</v>
      </c>
      <c r="H40" s="326">
        <f t="shared" si="4"/>
        <v>109.62851400000001</v>
      </c>
    </row>
    <row r="41" spans="1:8" ht="13.5" thickBot="1">
      <c r="A41" s="44">
        <v>240</v>
      </c>
      <c r="B41" s="44" t="s">
        <v>20</v>
      </c>
      <c r="C41" s="328">
        <v>6639</v>
      </c>
      <c r="D41" s="328">
        <v>6639</v>
      </c>
      <c r="E41" s="328">
        <v>6639</v>
      </c>
      <c r="F41" s="408">
        <v>3639</v>
      </c>
      <c r="G41" s="328">
        <v>3290</v>
      </c>
      <c r="H41" s="328">
        <f>F41*$H$8/1000</f>
        <v>109.62851400000001</v>
      </c>
    </row>
    <row r="42" spans="1:8" ht="13.5" thickBot="1">
      <c r="A42" s="630" t="s">
        <v>15</v>
      </c>
      <c r="B42" s="631"/>
      <c r="C42" s="326">
        <f aca="true" t="shared" si="5" ref="C42:H42">SUM(C43:C54)</f>
        <v>29257</v>
      </c>
      <c r="D42" s="326">
        <f t="shared" si="5"/>
        <v>40456</v>
      </c>
      <c r="E42" s="326">
        <f t="shared" si="5"/>
        <v>38558</v>
      </c>
      <c r="F42" s="326">
        <f t="shared" si="5"/>
        <v>40161</v>
      </c>
      <c r="G42" s="326">
        <f t="shared" si="5"/>
        <v>37726</v>
      </c>
      <c r="H42" s="326">
        <f t="shared" si="5"/>
        <v>1209.8902859999998</v>
      </c>
    </row>
    <row r="43" spans="1:8" ht="12.75">
      <c r="A43" s="42">
        <v>292</v>
      </c>
      <c r="B43" s="43" t="s">
        <v>164</v>
      </c>
      <c r="C43" s="293">
        <v>663</v>
      </c>
      <c r="D43" s="293">
        <v>663</v>
      </c>
      <c r="E43" s="293">
        <v>663</v>
      </c>
      <c r="F43" s="293">
        <v>663</v>
      </c>
      <c r="G43" s="293">
        <v>317</v>
      </c>
      <c r="H43" s="288">
        <f>F43*$H$8/1000</f>
        <v>19.973538</v>
      </c>
    </row>
    <row r="44" spans="1:8" ht="12.75">
      <c r="A44" s="42">
        <v>292</v>
      </c>
      <c r="B44" s="43" t="s">
        <v>103</v>
      </c>
      <c r="C44" s="293">
        <v>199</v>
      </c>
      <c r="D44" s="339">
        <v>220</v>
      </c>
      <c r="E44" s="339">
        <v>400</v>
      </c>
      <c r="F44" s="339">
        <v>440</v>
      </c>
      <c r="G44" s="293">
        <v>437</v>
      </c>
      <c r="H44" s="288">
        <f aca="true" t="shared" si="6" ref="H44:H54">F44*$H$8/1000</f>
        <v>13.25544</v>
      </c>
    </row>
    <row r="45" spans="1:8" ht="12.75">
      <c r="A45" s="8">
        <v>292</v>
      </c>
      <c r="B45" s="9" t="s">
        <v>169</v>
      </c>
      <c r="C45" s="312">
        <v>1162</v>
      </c>
      <c r="D45" s="336">
        <v>5210</v>
      </c>
      <c r="E45" s="336">
        <v>5950</v>
      </c>
      <c r="F45" s="312">
        <v>5950</v>
      </c>
      <c r="G45" s="312">
        <f>5210+737</f>
        <v>5947</v>
      </c>
      <c r="H45" s="288">
        <f t="shared" si="6"/>
        <v>179.24970000000002</v>
      </c>
    </row>
    <row r="46" spans="1:8" ht="12.75">
      <c r="A46" s="8">
        <v>292</v>
      </c>
      <c r="B46" s="7" t="s">
        <v>100</v>
      </c>
      <c r="C46" s="329">
        <v>133</v>
      </c>
      <c r="D46" s="349">
        <v>140</v>
      </c>
      <c r="E46" s="390">
        <v>140</v>
      </c>
      <c r="F46" s="390">
        <v>140</v>
      </c>
      <c r="G46" s="390">
        <v>139</v>
      </c>
      <c r="H46" s="288">
        <f t="shared" si="6"/>
        <v>4.21764</v>
      </c>
    </row>
    <row r="47" spans="1:8" ht="12.75">
      <c r="A47" s="8">
        <v>292</v>
      </c>
      <c r="B47" s="9" t="s">
        <v>176</v>
      </c>
      <c r="C47" s="312">
        <v>6307</v>
      </c>
      <c r="D47" s="312">
        <v>6307</v>
      </c>
      <c r="E47" s="312">
        <v>6307</v>
      </c>
      <c r="F47" s="312">
        <v>6307</v>
      </c>
      <c r="G47" s="312">
        <f>2502+3291</f>
        <v>5793</v>
      </c>
      <c r="H47" s="288">
        <f t="shared" si="6"/>
        <v>190.004682</v>
      </c>
    </row>
    <row r="48" spans="1:8" ht="12.75">
      <c r="A48" s="8">
        <v>292</v>
      </c>
      <c r="B48" s="9" t="s">
        <v>150</v>
      </c>
      <c r="C48" s="312">
        <v>498</v>
      </c>
      <c r="D48" s="312">
        <v>498</v>
      </c>
      <c r="E48" s="312">
        <v>498</v>
      </c>
      <c r="F48" s="312">
        <v>498</v>
      </c>
      <c r="G48" s="312">
        <v>199</v>
      </c>
      <c r="H48" s="288">
        <f t="shared" si="6"/>
        <v>15.002748000000002</v>
      </c>
    </row>
    <row r="49" spans="1:8" ht="12.75">
      <c r="A49" s="8">
        <v>292</v>
      </c>
      <c r="B49" s="9" t="s">
        <v>153</v>
      </c>
      <c r="C49" s="312">
        <v>166</v>
      </c>
      <c r="D49" s="336">
        <f>166+300+200</f>
        <v>666</v>
      </c>
      <c r="E49" s="312">
        <f>166+300+200</f>
        <v>666</v>
      </c>
      <c r="F49" s="423">
        <f>166+300+200+1767</f>
        <v>2433</v>
      </c>
      <c r="G49" s="312">
        <v>2433</v>
      </c>
      <c r="H49" s="288">
        <f t="shared" si="6"/>
        <v>73.296558</v>
      </c>
    </row>
    <row r="50" spans="1:8" ht="12.75">
      <c r="A50" s="8">
        <v>292</v>
      </c>
      <c r="B50" s="7" t="s">
        <v>104</v>
      </c>
      <c r="C50" s="329">
        <v>19000</v>
      </c>
      <c r="D50" s="349">
        <v>23620</v>
      </c>
      <c r="E50" s="396">
        <f>23620-3420+14</f>
        <v>20214</v>
      </c>
      <c r="F50" s="396">
        <v>20000</v>
      </c>
      <c r="G50" s="390">
        <v>18862</v>
      </c>
      <c r="H50" s="288">
        <f t="shared" si="6"/>
        <v>602.52</v>
      </c>
    </row>
    <row r="51" spans="1:8" ht="12.75">
      <c r="A51" s="8">
        <v>292</v>
      </c>
      <c r="B51" s="7" t="s">
        <v>101</v>
      </c>
      <c r="C51" s="329">
        <v>664</v>
      </c>
      <c r="D51" s="349">
        <v>2000</v>
      </c>
      <c r="E51" s="390">
        <v>2000</v>
      </c>
      <c r="F51" s="390">
        <v>2000</v>
      </c>
      <c r="G51" s="390">
        <v>1925</v>
      </c>
      <c r="H51" s="288">
        <f t="shared" si="6"/>
        <v>60.252</v>
      </c>
    </row>
    <row r="52" spans="1:8" ht="12.75">
      <c r="A52" s="8">
        <v>292</v>
      </c>
      <c r="B52" s="7" t="s">
        <v>216</v>
      </c>
      <c r="C52" s="329">
        <v>332</v>
      </c>
      <c r="D52" s="329">
        <v>332</v>
      </c>
      <c r="E52" s="396">
        <v>0</v>
      </c>
      <c r="F52" s="390">
        <v>0</v>
      </c>
      <c r="G52" s="390">
        <v>0</v>
      </c>
      <c r="H52" s="288">
        <f t="shared" si="6"/>
        <v>0</v>
      </c>
    </row>
    <row r="53" spans="1:8" ht="12.75">
      <c r="A53" s="8">
        <v>292</v>
      </c>
      <c r="B53" s="7" t="s">
        <v>102</v>
      </c>
      <c r="C53" s="329">
        <v>100</v>
      </c>
      <c r="D53" s="329">
        <v>100</v>
      </c>
      <c r="E53" s="396">
        <v>120</v>
      </c>
      <c r="F53" s="396">
        <v>130</v>
      </c>
      <c r="G53" s="390">
        <v>123</v>
      </c>
      <c r="H53" s="288">
        <f t="shared" si="6"/>
        <v>3.91638</v>
      </c>
    </row>
    <row r="54" spans="1:9" ht="13.5" thickBot="1">
      <c r="A54" s="94">
        <v>292</v>
      </c>
      <c r="B54" s="44" t="s">
        <v>154</v>
      </c>
      <c r="C54" s="330">
        <v>33</v>
      </c>
      <c r="D54" s="350">
        <v>700</v>
      </c>
      <c r="E54" s="407">
        <v>1600</v>
      </c>
      <c r="F54" s="417">
        <v>1600</v>
      </c>
      <c r="G54" s="391">
        <v>1551</v>
      </c>
      <c r="H54" s="288">
        <f t="shared" si="6"/>
        <v>48.2016</v>
      </c>
      <c r="I54" s="4">
        <f>SUM(G42+G40+G21)+25656</f>
        <v>158225</v>
      </c>
    </row>
    <row r="55" spans="1:8" ht="13.5" thickBot="1">
      <c r="A55" s="80" t="s">
        <v>21</v>
      </c>
      <c r="B55" s="81"/>
      <c r="C55" s="318">
        <f aca="true" t="shared" si="7" ref="C55:H55">SUM(C56:C72)</f>
        <v>328321</v>
      </c>
      <c r="D55" s="318">
        <f t="shared" si="7"/>
        <v>386329</v>
      </c>
      <c r="E55" s="318">
        <f t="shared" si="7"/>
        <v>394923</v>
      </c>
      <c r="F55" s="318">
        <f t="shared" si="7"/>
        <v>443200</v>
      </c>
      <c r="G55" s="318">
        <f t="shared" si="7"/>
        <v>442481</v>
      </c>
      <c r="H55" s="319">
        <f t="shared" si="7"/>
        <v>13351.8432</v>
      </c>
    </row>
    <row r="56" spans="1:8" ht="12.75">
      <c r="A56" s="59">
        <v>311</v>
      </c>
      <c r="B56" s="37" t="s">
        <v>105</v>
      </c>
      <c r="C56" s="292">
        <v>0</v>
      </c>
      <c r="D56" s="345">
        <v>20100</v>
      </c>
      <c r="E56" s="383">
        <v>20100</v>
      </c>
      <c r="F56" s="383">
        <v>20100</v>
      </c>
      <c r="G56" s="383">
        <v>20100</v>
      </c>
      <c r="H56" s="292">
        <f>F56*$H$8/1000</f>
        <v>605.5326</v>
      </c>
    </row>
    <row r="57" spans="1:8" ht="12.75">
      <c r="A57" s="5">
        <v>312</v>
      </c>
      <c r="B57" s="7" t="s">
        <v>106</v>
      </c>
      <c r="C57" s="288">
        <v>3452</v>
      </c>
      <c r="D57" s="333">
        <v>3670</v>
      </c>
      <c r="E57" s="360">
        <v>3670</v>
      </c>
      <c r="F57" s="420">
        <v>3745</v>
      </c>
      <c r="G57" s="360">
        <v>3744</v>
      </c>
      <c r="H57" s="292">
        <f aca="true" t="shared" si="8" ref="H57:H72">F57*$H$8/1000</f>
        <v>112.82187</v>
      </c>
    </row>
    <row r="58" spans="1:8" ht="12.75">
      <c r="A58" s="5">
        <v>312</v>
      </c>
      <c r="B58" s="6" t="s">
        <v>22</v>
      </c>
      <c r="C58" s="295">
        <v>2888</v>
      </c>
      <c r="D58" s="334">
        <v>3087</v>
      </c>
      <c r="E58" s="392">
        <v>3087</v>
      </c>
      <c r="F58" s="392">
        <v>3087</v>
      </c>
      <c r="G58" s="392">
        <v>3086</v>
      </c>
      <c r="H58" s="292">
        <f t="shared" si="8"/>
        <v>92.998962</v>
      </c>
    </row>
    <row r="59" spans="1:8" ht="12.75">
      <c r="A59" s="5">
        <v>312</v>
      </c>
      <c r="B59" s="10" t="s">
        <v>107</v>
      </c>
      <c r="C59" s="320">
        <v>292106</v>
      </c>
      <c r="D59" s="335">
        <v>313491</v>
      </c>
      <c r="E59" s="397">
        <f>301625+4966+6916+3114</f>
        <v>316621</v>
      </c>
      <c r="F59" s="397">
        <f>291306+4966+6670+3114+600</f>
        <v>306656</v>
      </c>
      <c r="G59" s="393">
        <f>294420+6670+4966+600</f>
        <v>306656</v>
      </c>
      <c r="H59" s="292">
        <f t="shared" si="8"/>
        <v>9238.318656</v>
      </c>
    </row>
    <row r="60" spans="1:9" ht="12.75">
      <c r="A60" s="5">
        <v>312</v>
      </c>
      <c r="B60" s="5" t="s">
        <v>218</v>
      </c>
      <c r="C60" s="337">
        <v>0</v>
      </c>
      <c r="D60" s="334">
        <v>1764</v>
      </c>
      <c r="E60" s="392">
        <v>1764</v>
      </c>
      <c r="F60" s="398">
        <v>1835</v>
      </c>
      <c r="G60" s="392">
        <v>1835</v>
      </c>
      <c r="H60" s="292">
        <f t="shared" si="8"/>
        <v>55.28121</v>
      </c>
      <c r="I60" s="4">
        <f>SUM(G59:G60)</f>
        <v>308491</v>
      </c>
    </row>
    <row r="61" spans="1:8" ht="12.75">
      <c r="A61" s="5">
        <v>312</v>
      </c>
      <c r="B61" s="7" t="s">
        <v>217</v>
      </c>
      <c r="C61" s="288">
        <v>0</v>
      </c>
      <c r="D61" s="333">
        <v>5620</v>
      </c>
      <c r="E61" s="360">
        <v>5620</v>
      </c>
      <c r="F61" s="346">
        <f>3570+2050+3520</f>
        <v>9140</v>
      </c>
      <c r="G61" s="360">
        <v>9138</v>
      </c>
      <c r="H61" s="292">
        <f t="shared" si="8"/>
        <v>275.35164000000003</v>
      </c>
    </row>
    <row r="62" spans="1:8" ht="12.75">
      <c r="A62" s="5">
        <v>312</v>
      </c>
      <c r="B62" s="5" t="s">
        <v>238</v>
      </c>
      <c r="C62" s="337">
        <v>0</v>
      </c>
      <c r="D62" s="334">
        <v>4815</v>
      </c>
      <c r="E62" s="392">
        <v>4815</v>
      </c>
      <c r="F62" s="392">
        <v>4815</v>
      </c>
      <c r="G62" s="392">
        <v>4815</v>
      </c>
      <c r="H62" s="292">
        <f t="shared" si="8"/>
        <v>145.05669</v>
      </c>
    </row>
    <row r="63" spans="1:8" ht="12.75">
      <c r="A63" s="5">
        <v>312</v>
      </c>
      <c r="B63" s="7" t="s">
        <v>222</v>
      </c>
      <c r="C63" s="288">
        <v>0</v>
      </c>
      <c r="D63" s="333">
        <v>1500</v>
      </c>
      <c r="E63" s="346">
        <v>2164</v>
      </c>
      <c r="F63" s="360">
        <v>2164</v>
      </c>
      <c r="G63" s="360">
        <v>2164</v>
      </c>
      <c r="H63" s="292">
        <f t="shared" si="8"/>
        <v>65.19266400000001</v>
      </c>
    </row>
    <row r="64" spans="1:8" ht="12.75">
      <c r="A64" s="5">
        <v>312</v>
      </c>
      <c r="B64" s="5" t="s">
        <v>237</v>
      </c>
      <c r="C64" s="337">
        <v>0</v>
      </c>
      <c r="D64" s="334">
        <v>0</v>
      </c>
      <c r="E64" s="398">
        <v>3000</v>
      </c>
      <c r="F64" s="392">
        <v>3000</v>
      </c>
      <c r="G64" s="392">
        <v>3000</v>
      </c>
      <c r="H64" s="292">
        <f t="shared" si="8"/>
        <v>90.378</v>
      </c>
    </row>
    <row r="65" spans="1:8" ht="12.75">
      <c r="A65" s="5">
        <v>312</v>
      </c>
      <c r="B65" s="5" t="s">
        <v>252</v>
      </c>
      <c r="C65" s="337">
        <v>0</v>
      </c>
      <c r="D65" s="334">
        <v>0</v>
      </c>
      <c r="E65" s="398">
        <v>0</v>
      </c>
      <c r="F65" s="424">
        <v>55064</v>
      </c>
      <c r="G65" s="392">
        <v>55064</v>
      </c>
      <c r="H65" s="292">
        <f t="shared" si="8"/>
        <v>1658.858064</v>
      </c>
    </row>
    <row r="66" spans="1:8" ht="12.75">
      <c r="A66" s="5">
        <v>312</v>
      </c>
      <c r="B66" s="7" t="s">
        <v>246</v>
      </c>
      <c r="C66" s="288">
        <v>4647</v>
      </c>
      <c r="D66" s="288">
        <v>4647</v>
      </c>
      <c r="E66" s="360">
        <v>4647</v>
      </c>
      <c r="F66" s="346">
        <v>5000</v>
      </c>
      <c r="G66" s="360">
        <v>4887</v>
      </c>
      <c r="H66" s="292">
        <f t="shared" si="8"/>
        <v>150.63</v>
      </c>
    </row>
    <row r="67" spans="1:8" ht="12.75">
      <c r="A67" s="5">
        <v>312</v>
      </c>
      <c r="B67" s="7" t="s">
        <v>23</v>
      </c>
      <c r="C67" s="288">
        <v>1328</v>
      </c>
      <c r="D67" s="288">
        <v>1328</v>
      </c>
      <c r="E67" s="360">
        <v>1328</v>
      </c>
      <c r="F67" s="360">
        <v>1328</v>
      </c>
      <c r="G67" s="360">
        <v>1109</v>
      </c>
      <c r="H67" s="292">
        <f t="shared" si="8"/>
        <v>40.007328</v>
      </c>
    </row>
    <row r="68" spans="1:8" ht="12.75">
      <c r="A68" s="5">
        <v>312</v>
      </c>
      <c r="B68" s="11" t="s">
        <v>109</v>
      </c>
      <c r="C68" s="294">
        <v>1660</v>
      </c>
      <c r="D68" s="333">
        <v>4000</v>
      </c>
      <c r="E68" s="360">
        <v>4000</v>
      </c>
      <c r="F68" s="346">
        <v>3000</v>
      </c>
      <c r="G68" s="360">
        <v>2617</v>
      </c>
      <c r="H68" s="292">
        <f t="shared" si="8"/>
        <v>90.378</v>
      </c>
    </row>
    <row r="69" spans="1:8" ht="12.75">
      <c r="A69" s="5">
        <v>312</v>
      </c>
      <c r="B69" s="11" t="s">
        <v>177</v>
      </c>
      <c r="C69" s="294">
        <v>0</v>
      </c>
      <c r="D69" s="294">
        <v>0</v>
      </c>
      <c r="E69" s="360">
        <v>0</v>
      </c>
      <c r="F69" s="360">
        <v>0</v>
      </c>
      <c r="G69" s="360">
        <v>0</v>
      </c>
      <c r="H69" s="292">
        <f t="shared" si="8"/>
        <v>0</v>
      </c>
    </row>
    <row r="70" spans="1:8" ht="12.75">
      <c r="A70" s="5">
        <v>312</v>
      </c>
      <c r="B70" s="11" t="s">
        <v>165</v>
      </c>
      <c r="C70" s="294">
        <v>8962</v>
      </c>
      <c r="D70" s="294">
        <v>8962</v>
      </c>
      <c r="E70" s="360">
        <v>8962</v>
      </c>
      <c r="F70" s="346">
        <v>9121</v>
      </c>
      <c r="G70" s="360">
        <v>9121</v>
      </c>
      <c r="H70" s="292">
        <f t="shared" si="8"/>
        <v>274.779246</v>
      </c>
    </row>
    <row r="71" spans="1:8" ht="12.75">
      <c r="A71" s="5">
        <v>312</v>
      </c>
      <c r="B71" s="11" t="s">
        <v>166</v>
      </c>
      <c r="C71" s="294">
        <v>13278</v>
      </c>
      <c r="D71" s="333">
        <v>13345</v>
      </c>
      <c r="E71" s="360">
        <v>13345</v>
      </c>
      <c r="F71" s="360">
        <v>13345</v>
      </c>
      <c r="G71" s="360">
        <v>13345</v>
      </c>
      <c r="H71" s="292">
        <f t="shared" si="8"/>
        <v>402.03147</v>
      </c>
    </row>
    <row r="72" spans="1:8" ht="12.75">
      <c r="A72" s="5">
        <v>312</v>
      </c>
      <c r="B72" s="11" t="s">
        <v>235</v>
      </c>
      <c r="C72" s="294">
        <v>0</v>
      </c>
      <c r="D72" s="294">
        <v>0</v>
      </c>
      <c r="E72" s="333">
        <v>1800</v>
      </c>
      <c r="F72" s="294">
        <v>1800</v>
      </c>
      <c r="G72" s="294">
        <v>1800</v>
      </c>
      <c r="H72" s="292">
        <f t="shared" si="8"/>
        <v>54.226800000000004</v>
      </c>
    </row>
    <row r="73" spans="1:8" ht="15.75">
      <c r="A73" s="12" t="s">
        <v>110</v>
      </c>
      <c r="B73" s="13"/>
      <c r="C73" s="322">
        <f aca="true" t="shared" si="9" ref="C73:H73">SUM(C12+C21+C40+C42+C55)</f>
        <v>1166965</v>
      </c>
      <c r="D73" s="322">
        <f t="shared" si="9"/>
        <v>1248575</v>
      </c>
      <c r="E73" s="322">
        <f t="shared" si="9"/>
        <v>1255052</v>
      </c>
      <c r="F73" s="322">
        <f t="shared" si="9"/>
        <v>1292126</v>
      </c>
      <c r="G73" s="322">
        <f t="shared" si="9"/>
        <v>1280568</v>
      </c>
      <c r="H73" s="322">
        <f t="shared" si="9"/>
        <v>38926.58787599999</v>
      </c>
    </row>
    <row r="74" spans="1:8" ht="16.5" thickBot="1">
      <c r="A74" s="82">
        <v>236</v>
      </c>
      <c r="B74" s="83" t="s">
        <v>111</v>
      </c>
      <c r="C74" s="323">
        <v>2622</v>
      </c>
      <c r="D74" s="375">
        <v>2633</v>
      </c>
      <c r="E74" s="375">
        <v>2733</v>
      </c>
      <c r="F74" s="375">
        <v>2989</v>
      </c>
      <c r="G74" s="323">
        <v>2989</v>
      </c>
      <c r="H74" s="288">
        <f>F74*$H$8/1000</f>
        <v>90.046614</v>
      </c>
    </row>
    <row r="75" spans="1:8" ht="16.5" thickBot="1">
      <c r="A75" s="84" t="s">
        <v>24</v>
      </c>
      <c r="B75" s="81"/>
      <c r="C75" s="325">
        <f aca="true" t="shared" si="10" ref="C75:H75">SUM(C73:C74)</f>
        <v>1169587</v>
      </c>
      <c r="D75" s="325">
        <f t="shared" si="10"/>
        <v>1251208</v>
      </c>
      <c r="E75" s="325">
        <f t="shared" si="10"/>
        <v>1257785</v>
      </c>
      <c r="F75" s="325">
        <f t="shared" si="10"/>
        <v>1295115</v>
      </c>
      <c r="G75" s="325">
        <f t="shared" si="10"/>
        <v>1283557</v>
      </c>
      <c r="H75" s="325">
        <f t="shared" si="10"/>
        <v>39016.63448999999</v>
      </c>
    </row>
    <row r="76" spans="1:8" ht="16.5" thickBot="1">
      <c r="A76" s="14"/>
      <c r="B76" s="22"/>
      <c r="C76" s="22"/>
      <c r="D76" s="22"/>
      <c r="E76" s="22"/>
      <c r="F76" s="22"/>
      <c r="G76" s="22"/>
      <c r="H76" s="148"/>
    </row>
    <row r="77" spans="1:8" ht="18.75" thickBot="1">
      <c r="A77" s="657" t="s">
        <v>25</v>
      </c>
      <c r="B77" s="658"/>
      <c r="C77" s="658"/>
      <c r="D77" s="658"/>
      <c r="E77" s="658"/>
      <c r="F77" s="658"/>
      <c r="G77" s="658"/>
      <c r="H77" s="659"/>
    </row>
    <row r="78" spans="1:8" ht="12.75" customHeight="1">
      <c r="A78" s="608" t="s">
        <v>2</v>
      </c>
      <c r="B78" s="609"/>
      <c r="C78" s="598" t="s">
        <v>205</v>
      </c>
      <c r="D78" s="643" t="s">
        <v>233</v>
      </c>
      <c r="E78" s="643" t="s">
        <v>234</v>
      </c>
      <c r="F78" s="643" t="s">
        <v>245</v>
      </c>
      <c r="G78" s="643" t="s">
        <v>248</v>
      </c>
      <c r="H78" s="646" t="s">
        <v>249</v>
      </c>
    </row>
    <row r="79" spans="1:8" ht="13.5" thickBot="1">
      <c r="A79" s="628"/>
      <c r="B79" s="629"/>
      <c r="C79" s="612"/>
      <c r="D79" s="644"/>
      <c r="E79" s="644"/>
      <c r="F79" s="644"/>
      <c r="G79" s="644"/>
      <c r="H79" s="647"/>
    </row>
    <row r="80" spans="1:8" ht="13.5" thickBot="1">
      <c r="A80" s="48" t="s">
        <v>26</v>
      </c>
      <c r="B80" s="49"/>
      <c r="C80" s="289">
        <f aca="true" t="shared" si="11" ref="C80:H80">SUM(C81:C84)</f>
        <v>171081</v>
      </c>
      <c r="D80" s="289">
        <f t="shared" si="11"/>
        <v>177819</v>
      </c>
      <c r="E80" s="289">
        <f t="shared" si="11"/>
        <v>177819</v>
      </c>
      <c r="F80" s="289">
        <f t="shared" si="11"/>
        <v>180414</v>
      </c>
      <c r="G80" s="289">
        <f t="shared" si="11"/>
        <v>166680</v>
      </c>
      <c r="H80" s="290">
        <f t="shared" si="11"/>
        <v>5435.152164</v>
      </c>
    </row>
    <row r="81" spans="1:8" ht="12.75">
      <c r="A81" s="72" t="s">
        <v>27</v>
      </c>
      <c r="B81" s="47" t="s">
        <v>112</v>
      </c>
      <c r="C81" s="291">
        <v>144393</v>
      </c>
      <c r="D81" s="358">
        <v>145793</v>
      </c>
      <c r="E81" s="291">
        <v>145793</v>
      </c>
      <c r="F81" s="291">
        <v>145793</v>
      </c>
      <c r="G81" s="291">
        <v>136760</v>
      </c>
      <c r="H81" s="263">
        <f>F81*$H$8/1000</f>
        <v>4392.159918</v>
      </c>
    </row>
    <row r="82" spans="1:8" ht="12.75">
      <c r="A82" s="73" t="s">
        <v>28</v>
      </c>
      <c r="B82" s="11" t="s">
        <v>29</v>
      </c>
      <c r="C82" s="294">
        <v>23236</v>
      </c>
      <c r="D82" s="333">
        <v>22736</v>
      </c>
      <c r="E82" s="294">
        <v>22736</v>
      </c>
      <c r="F82" s="333">
        <v>21736</v>
      </c>
      <c r="G82" s="294">
        <v>17038</v>
      </c>
      <c r="H82" s="263">
        <f>F82*$H$8/1000</f>
        <v>654.8187360000001</v>
      </c>
    </row>
    <row r="83" spans="1:8" ht="12.75">
      <c r="A83" s="165" t="s">
        <v>30</v>
      </c>
      <c r="B83" s="11" t="s">
        <v>251</v>
      </c>
      <c r="C83" s="294">
        <v>3452</v>
      </c>
      <c r="D83" s="333">
        <v>3670</v>
      </c>
      <c r="E83" s="294">
        <v>3670</v>
      </c>
      <c r="F83" s="422">
        <v>3745</v>
      </c>
      <c r="G83" s="294">
        <v>3744</v>
      </c>
      <c r="H83" s="263">
        <f>F83*$H$8/1000</f>
        <v>112.82187</v>
      </c>
    </row>
    <row r="84" spans="1:8" ht="13.5" thickBot="1">
      <c r="A84" s="165" t="s">
        <v>219</v>
      </c>
      <c r="B84" s="11" t="s">
        <v>250</v>
      </c>
      <c r="C84" s="294">
        <v>0</v>
      </c>
      <c r="D84" s="333">
        <v>5620</v>
      </c>
      <c r="E84" s="294">
        <v>5620</v>
      </c>
      <c r="F84" s="333">
        <v>9140</v>
      </c>
      <c r="G84" s="294">
        <v>9138</v>
      </c>
      <c r="H84" s="263">
        <f>F84*$H$8/1000</f>
        <v>275.35164000000003</v>
      </c>
    </row>
    <row r="85" spans="1:8" ht="13.5" thickBot="1">
      <c r="A85" s="622" t="s">
        <v>31</v>
      </c>
      <c r="B85" s="623"/>
      <c r="C85" s="289">
        <f aca="true" t="shared" si="12" ref="C85:H85">C86</f>
        <v>133</v>
      </c>
      <c r="D85" s="289">
        <f t="shared" si="12"/>
        <v>140</v>
      </c>
      <c r="E85" s="289">
        <f t="shared" si="12"/>
        <v>140</v>
      </c>
      <c r="F85" s="289">
        <f t="shared" si="12"/>
        <v>140</v>
      </c>
      <c r="G85" s="289">
        <f t="shared" si="12"/>
        <v>139</v>
      </c>
      <c r="H85" s="290">
        <f t="shared" si="12"/>
        <v>4.21764</v>
      </c>
    </row>
    <row r="86" spans="1:8" ht="13.5" thickBot="1">
      <c r="A86" s="86" t="s">
        <v>32</v>
      </c>
      <c r="B86" s="22" t="s">
        <v>114</v>
      </c>
      <c r="C86" s="314">
        <v>133</v>
      </c>
      <c r="D86" s="338">
        <v>140</v>
      </c>
      <c r="E86" s="314">
        <v>140</v>
      </c>
      <c r="F86" s="314">
        <v>140</v>
      </c>
      <c r="G86" s="382">
        <v>139</v>
      </c>
      <c r="H86" s="263">
        <f>F86*$H$8/1000</f>
        <v>4.21764</v>
      </c>
    </row>
    <row r="87" spans="1:8" ht="13.5" thickBot="1">
      <c r="A87" s="622" t="s">
        <v>33</v>
      </c>
      <c r="B87" s="623"/>
      <c r="C87" s="311">
        <f aca="true" t="shared" si="13" ref="C87:H87">C88</f>
        <v>4149</v>
      </c>
      <c r="D87" s="311">
        <f t="shared" si="13"/>
        <v>5169</v>
      </c>
      <c r="E87" s="311">
        <f t="shared" si="13"/>
        <v>5169</v>
      </c>
      <c r="F87" s="311">
        <f t="shared" si="13"/>
        <v>5169</v>
      </c>
      <c r="G87" s="311">
        <f t="shared" si="13"/>
        <v>4121</v>
      </c>
      <c r="H87" s="290">
        <f t="shared" si="13"/>
        <v>155.721294</v>
      </c>
    </row>
    <row r="88" spans="1:8" ht="13.5" thickBot="1">
      <c r="A88" s="463" t="s">
        <v>34</v>
      </c>
      <c r="B88" s="464" t="s">
        <v>118</v>
      </c>
      <c r="C88" s="465">
        <v>4149</v>
      </c>
      <c r="D88" s="466">
        <v>5169</v>
      </c>
      <c r="E88" s="465">
        <v>5169</v>
      </c>
      <c r="F88" s="465">
        <v>5169</v>
      </c>
      <c r="G88" s="467">
        <v>4121</v>
      </c>
      <c r="H88" s="275">
        <f>F88*$H$8/1000</f>
        <v>155.721294</v>
      </c>
    </row>
    <row r="89" spans="1:8" ht="13.5" thickBot="1">
      <c r="A89" s="48" t="s">
        <v>35</v>
      </c>
      <c r="B89" s="57"/>
      <c r="C89" s="289">
        <f aca="true" t="shared" si="14" ref="C89:H89">SUM(C90:C93)</f>
        <v>163314</v>
      </c>
      <c r="D89" s="289">
        <f t="shared" si="14"/>
        <v>200083</v>
      </c>
      <c r="E89" s="289">
        <f t="shared" si="14"/>
        <v>195329</v>
      </c>
      <c r="F89" s="289">
        <f t="shared" si="14"/>
        <v>189569</v>
      </c>
      <c r="G89" s="289">
        <f t="shared" si="14"/>
        <v>174909</v>
      </c>
      <c r="H89" s="290">
        <f t="shared" si="14"/>
        <v>5710.955694</v>
      </c>
    </row>
    <row r="90" spans="1:8" ht="12.75">
      <c r="A90" s="225" t="s">
        <v>36</v>
      </c>
      <c r="B90" s="43" t="s">
        <v>115</v>
      </c>
      <c r="C90" s="293">
        <v>1328</v>
      </c>
      <c r="D90" s="339">
        <v>2300</v>
      </c>
      <c r="E90" s="293">
        <v>2300</v>
      </c>
      <c r="F90" s="339">
        <v>2540</v>
      </c>
      <c r="G90" s="293">
        <v>2540</v>
      </c>
      <c r="H90" s="263">
        <f>F90*$H$8/1000</f>
        <v>76.52004000000001</v>
      </c>
    </row>
    <row r="91" spans="1:8" ht="12.75">
      <c r="A91" s="165" t="s">
        <v>37</v>
      </c>
      <c r="B91" s="11" t="s">
        <v>113</v>
      </c>
      <c r="C91" s="294">
        <v>3983</v>
      </c>
      <c r="D91" s="333">
        <v>5482</v>
      </c>
      <c r="E91" s="294">
        <v>5482</v>
      </c>
      <c r="F91" s="294">
        <v>5482</v>
      </c>
      <c r="G91" s="294">
        <v>4957</v>
      </c>
      <c r="H91" s="263">
        <f>F91*$H$8/1000</f>
        <v>165.150732</v>
      </c>
    </row>
    <row r="92" spans="1:8" ht="12.75">
      <c r="A92" s="165" t="s">
        <v>38</v>
      </c>
      <c r="B92" s="11" t="s">
        <v>119</v>
      </c>
      <c r="C92" s="294">
        <v>28547</v>
      </c>
      <c r="D92" s="337">
        <v>28547</v>
      </c>
      <c r="E92" s="337">
        <v>28547</v>
      </c>
      <c r="F92" s="334">
        <v>22547</v>
      </c>
      <c r="G92" s="337">
        <v>20388</v>
      </c>
      <c r="H92" s="263">
        <f>F92*$H$8/1000</f>
        <v>679.2509220000001</v>
      </c>
    </row>
    <row r="93" spans="1:8" ht="13.5" thickBot="1">
      <c r="A93" s="220" t="s">
        <v>39</v>
      </c>
      <c r="B93" s="51" t="s">
        <v>120</v>
      </c>
      <c r="C93" s="307">
        <v>129456</v>
      </c>
      <c r="D93" s="342">
        <v>163754</v>
      </c>
      <c r="E93" s="342">
        <v>159000</v>
      </c>
      <c r="F93" s="307">
        <v>159000</v>
      </c>
      <c r="G93" s="470">
        <v>147024</v>
      </c>
      <c r="H93" s="263">
        <f>F93*$H$8/1000</f>
        <v>4790.034</v>
      </c>
    </row>
    <row r="94" spans="1:8" ht="13.5" thickBot="1">
      <c r="A94" s="48" t="s">
        <v>40</v>
      </c>
      <c r="B94" s="49"/>
      <c r="C94" s="289">
        <f aca="true" t="shared" si="15" ref="C94:H94">SUM(C95:C96)</f>
        <v>27252</v>
      </c>
      <c r="D94" s="289">
        <f t="shared" si="15"/>
        <v>27462</v>
      </c>
      <c r="E94" s="289">
        <f t="shared" si="15"/>
        <v>26962</v>
      </c>
      <c r="F94" s="289">
        <f t="shared" si="15"/>
        <v>25746</v>
      </c>
      <c r="G94" s="289">
        <f t="shared" si="15"/>
        <v>22497</v>
      </c>
      <c r="H94" s="343">
        <f t="shared" si="15"/>
        <v>775.623996</v>
      </c>
    </row>
    <row r="95" spans="1:8" ht="12.75">
      <c r="A95" s="76" t="s">
        <v>41</v>
      </c>
      <c r="B95" s="47" t="s">
        <v>42</v>
      </c>
      <c r="C95" s="291">
        <v>22406</v>
      </c>
      <c r="D95" s="358">
        <v>22616</v>
      </c>
      <c r="E95" s="291">
        <v>22616</v>
      </c>
      <c r="F95" s="358">
        <v>21400</v>
      </c>
      <c r="G95" s="291">
        <v>18314</v>
      </c>
      <c r="H95" s="263">
        <f>F95*$H$8/1000</f>
        <v>644.6964</v>
      </c>
    </row>
    <row r="96" spans="1:8" ht="13.5" thickBot="1">
      <c r="A96" s="220" t="s">
        <v>43</v>
      </c>
      <c r="B96" s="51" t="s">
        <v>116</v>
      </c>
      <c r="C96" s="307">
        <v>4846</v>
      </c>
      <c r="D96" s="307">
        <v>4846</v>
      </c>
      <c r="E96" s="342">
        <v>4346</v>
      </c>
      <c r="F96" s="307">
        <v>4346</v>
      </c>
      <c r="G96" s="307">
        <v>4183</v>
      </c>
      <c r="H96" s="263">
        <f>F96*$H$8/1000</f>
        <v>130.927596</v>
      </c>
    </row>
    <row r="97" spans="1:8" ht="13.5" thickBot="1">
      <c r="A97" s="48" t="s">
        <v>44</v>
      </c>
      <c r="B97" s="57"/>
      <c r="C97" s="289">
        <f aca="true" t="shared" si="16" ref="C97:H97">C98</f>
        <v>16431</v>
      </c>
      <c r="D97" s="289">
        <f t="shared" si="16"/>
        <v>16431</v>
      </c>
      <c r="E97" s="289">
        <f t="shared" si="16"/>
        <v>16431</v>
      </c>
      <c r="F97" s="289">
        <f t="shared" si="16"/>
        <v>14431</v>
      </c>
      <c r="G97" s="289">
        <f t="shared" si="16"/>
        <v>12877</v>
      </c>
      <c r="H97" s="343">
        <f t="shared" si="16"/>
        <v>434.748306</v>
      </c>
    </row>
    <row r="98" spans="1:8" ht="13.5" thickBot="1">
      <c r="A98" s="468" t="s">
        <v>45</v>
      </c>
      <c r="B98" s="51" t="s">
        <v>46</v>
      </c>
      <c r="C98" s="307">
        <v>16431</v>
      </c>
      <c r="D98" s="307">
        <v>16431</v>
      </c>
      <c r="E98" s="307">
        <v>16431</v>
      </c>
      <c r="F98" s="342">
        <v>14431</v>
      </c>
      <c r="G98" s="470">
        <v>12877</v>
      </c>
      <c r="H98" s="263">
        <f>F98*$H$8/1000</f>
        <v>434.748306</v>
      </c>
    </row>
    <row r="99" spans="1:8" ht="13.5" thickBot="1">
      <c r="A99" s="63" t="s">
        <v>47</v>
      </c>
      <c r="B99" s="49"/>
      <c r="C99" s="289">
        <f aca="true" t="shared" si="17" ref="C99:H99">SUM(C100:C114)</f>
        <v>83118</v>
      </c>
      <c r="D99" s="289">
        <f t="shared" si="17"/>
        <v>98309</v>
      </c>
      <c r="E99" s="289">
        <f t="shared" si="17"/>
        <v>91426</v>
      </c>
      <c r="F99" s="289">
        <f t="shared" si="17"/>
        <v>86250</v>
      </c>
      <c r="G99" s="289">
        <f>SUM(G100:G114)</f>
        <v>79626</v>
      </c>
      <c r="H99" s="290">
        <f t="shared" si="17"/>
        <v>2598.3675</v>
      </c>
    </row>
    <row r="100" spans="1:8" ht="12.75">
      <c r="A100" s="222" t="s">
        <v>48</v>
      </c>
      <c r="B100" s="65" t="s">
        <v>122</v>
      </c>
      <c r="C100" s="309">
        <v>8497</v>
      </c>
      <c r="D100" s="309">
        <v>8497</v>
      </c>
      <c r="E100" s="414">
        <v>4497</v>
      </c>
      <c r="F100" s="426">
        <v>2830</v>
      </c>
      <c r="G100" s="309">
        <v>2619</v>
      </c>
      <c r="H100" s="462">
        <f>F100*$H$8/1000</f>
        <v>85.25658</v>
      </c>
    </row>
    <row r="101" spans="1:10" ht="13.5" thickBot="1">
      <c r="A101" s="139" t="s">
        <v>48</v>
      </c>
      <c r="B101" s="61" t="s">
        <v>121</v>
      </c>
      <c r="C101" s="296">
        <v>5643</v>
      </c>
      <c r="D101" s="296">
        <v>5643</v>
      </c>
      <c r="E101" s="369">
        <v>6643</v>
      </c>
      <c r="F101" s="425">
        <v>6830</v>
      </c>
      <c r="G101" s="296">
        <v>6827</v>
      </c>
      <c r="H101" s="271">
        <f aca="true" t="shared" si="18" ref="H101:H114">F101*$H$8/1000</f>
        <v>205.76058</v>
      </c>
      <c r="I101" s="4">
        <f>SUM(F100:F101)</f>
        <v>9660</v>
      </c>
      <c r="J101" s="4"/>
    </row>
    <row r="102" spans="1:8" ht="12.75">
      <c r="A102" s="222" t="s">
        <v>49</v>
      </c>
      <c r="B102" s="459" t="s">
        <v>123</v>
      </c>
      <c r="C102" s="460">
        <v>22505</v>
      </c>
      <c r="D102" s="460">
        <v>22505</v>
      </c>
      <c r="E102" s="461">
        <v>18505</v>
      </c>
      <c r="F102" s="460">
        <v>18505</v>
      </c>
      <c r="G102" s="460">
        <v>17878</v>
      </c>
      <c r="H102" s="275">
        <f t="shared" si="18"/>
        <v>557.48163</v>
      </c>
    </row>
    <row r="103" spans="1:8" ht="12.75">
      <c r="A103" s="165" t="s">
        <v>51</v>
      </c>
      <c r="B103" s="58" t="s">
        <v>124</v>
      </c>
      <c r="C103" s="306">
        <v>664</v>
      </c>
      <c r="D103" s="368">
        <v>726</v>
      </c>
      <c r="E103" s="306">
        <v>726</v>
      </c>
      <c r="F103" s="368">
        <v>1030</v>
      </c>
      <c r="G103" s="306">
        <v>995</v>
      </c>
      <c r="H103" s="263">
        <f t="shared" si="18"/>
        <v>31.029780000000002</v>
      </c>
    </row>
    <row r="104" spans="1:8" ht="13.5" thickBot="1">
      <c r="A104" s="139" t="s">
        <v>52</v>
      </c>
      <c r="B104" s="61" t="s">
        <v>125</v>
      </c>
      <c r="C104" s="296">
        <v>664</v>
      </c>
      <c r="D104" s="369">
        <v>2300</v>
      </c>
      <c r="E104" s="296">
        <v>2300</v>
      </c>
      <c r="F104" s="296">
        <v>2300</v>
      </c>
      <c r="G104" s="296">
        <v>1623</v>
      </c>
      <c r="H104" s="271">
        <f t="shared" si="18"/>
        <v>69.2898</v>
      </c>
    </row>
    <row r="105" spans="1:8" ht="12.75">
      <c r="A105" s="222" t="s">
        <v>53</v>
      </c>
      <c r="B105" s="65" t="s">
        <v>215</v>
      </c>
      <c r="C105" s="309">
        <v>2988</v>
      </c>
      <c r="D105" s="414">
        <f>1000+1000+456+332</f>
        <v>2788</v>
      </c>
      <c r="E105" s="309">
        <f>1000+1000+456+332</f>
        <v>2788</v>
      </c>
      <c r="F105" s="309">
        <f>1000+1000+456+332</f>
        <v>2788</v>
      </c>
      <c r="G105" s="309">
        <v>1856</v>
      </c>
      <c r="H105" s="275">
        <f t="shared" si="18"/>
        <v>83.991288</v>
      </c>
    </row>
    <row r="106" spans="1:8" ht="12.75">
      <c r="A106" s="165" t="s">
        <v>53</v>
      </c>
      <c r="B106" s="11" t="s">
        <v>158</v>
      </c>
      <c r="C106" s="294">
        <v>3319</v>
      </c>
      <c r="D106" s="333">
        <v>2900</v>
      </c>
      <c r="E106" s="333">
        <v>1300</v>
      </c>
      <c r="F106" s="294">
        <v>1300</v>
      </c>
      <c r="G106" s="294">
        <v>1263</v>
      </c>
      <c r="H106" s="263">
        <f t="shared" si="18"/>
        <v>39.1638</v>
      </c>
    </row>
    <row r="107" spans="1:8" ht="12.75">
      <c r="A107" s="165" t="s">
        <v>53</v>
      </c>
      <c r="B107" s="11" t="s">
        <v>50</v>
      </c>
      <c r="C107" s="294">
        <v>6639</v>
      </c>
      <c r="D107" s="333">
        <v>13000</v>
      </c>
      <c r="E107" s="333">
        <v>11000</v>
      </c>
      <c r="F107" s="294">
        <v>11000</v>
      </c>
      <c r="G107" s="294">
        <v>10716</v>
      </c>
      <c r="H107" s="263">
        <f t="shared" si="18"/>
        <v>331.386</v>
      </c>
    </row>
    <row r="108" spans="1:8" ht="12.75">
      <c r="A108" s="220" t="s">
        <v>53</v>
      </c>
      <c r="B108" s="51" t="s">
        <v>187</v>
      </c>
      <c r="C108" s="307">
        <v>1660</v>
      </c>
      <c r="D108" s="307">
        <v>1660</v>
      </c>
      <c r="E108" s="342">
        <v>1000</v>
      </c>
      <c r="F108" s="307">
        <v>1000</v>
      </c>
      <c r="G108" s="307">
        <v>720</v>
      </c>
      <c r="H108" s="263">
        <f t="shared" si="18"/>
        <v>30.126</v>
      </c>
    </row>
    <row r="109" spans="1:8" ht="12.75">
      <c r="A109" s="220" t="s">
        <v>53</v>
      </c>
      <c r="B109" s="51" t="s">
        <v>243</v>
      </c>
      <c r="C109" s="307">
        <v>0</v>
      </c>
      <c r="D109" s="342">
        <v>1500</v>
      </c>
      <c r="E109" s="342">
        <f>1500+664</f>
        <v>2164</v>
      </c>
      <c r="F109" s="307">
        <f>1500+664</f>
        <v>2164</v>
      </c>
      <c r="G109" s="307">
        <v>2164</v>
      </c>
      <c r="H109" s="263">
        <f t="shared" si="18"/>
        <v>65.19266400000001</v>
      </c>
    </row>
    <row r="110" spans="1:8" ht="12.75">
      <c r="A110" s="220" t="s">
        <v>53</v>
      </c>
      <c r="B110" s="51" t="s">
        <v>236</v>
      </c>
      <c r="C110" s="307">
        <v>0</v>
      </c>
      <c r="D110" s="342">
        <v>0</v>
      </c>
      <c r="E110" s="342">
        <v>1800</v>
      </c>
      <c r="F110" s="307">
        <v>1800</v>
      </c>
      <c r="G110" s="307">
        <v>1800</v>
      </c>
      <c r="H110" s="263">
        <f t="shared" si="18"/>
        <v>54.226800000000004</v>
      </c>
    </row>
    <row r="111" spans="1:10" ht="13.5" thickBot="1">
      <c r="A111" s="220" t="s">
        <v>53</v>
      </c>
      <c r="B111" s="51" t="s">
        <v>126</v>
      </c>
      <c r="C111" s="307">
        <v>6639</v>
      </c>
      <c r="D111" s="342">
        <v>12890</v>
      </c>
      <c r="E111" s="342">
        <v>11803</v>
      </c>
      <c r="F111" s="307">
        <v>11803</v>
      </c>
      <c r="G111" s="307">
        <v>11803</v>
      </c>
      <c r="H111" s="428">
        <f t="shared" si="18"/>
        <v>355.577178</v>
      </c>
      <c r="I111" s="4">
        <f>SUM(F105:F111)</f>
        <v>31855</v>
      </c>
      <c r="J111" s="4">
        <f>SUM(G105:G111)</f>
        <v>30322</v>
      </c>
    </row>
    <row r="112" spans="1:8" ht="12.75">
      <c r="A112" s="222" t="s">
        <v>54</v>
      </c>
      <c r="B112" s="65" t="s">
        <v>162</v>
      </c>
      <c r="C112" s="309">
        <v>1660</v>
      </c>
      <c r="D112" s="309">
        <v>1660</v>
      </c>
      <c r="E112" s="309">
        <v>1660</v>
      </c>
      <c r="F112" s="309">
        <v>1660</v>
      </c>
      <c r="G112" s="309">
        <v>1488</v>
      </c>
      <c r="H112" s="275">
        <f t="shared" si="18"/>
        <v>50.00916</v>
      </c>
    </row>
    <row r="113" spans="1:8" ht="12.75">
      <c r="A113" s="76" t="s">
        <v>55</v>
      </c>
      <c r="B113" s="47" t="s">
        <v>127</v>
      </c>
      <c r="C113" s="291">
        <v>15933</v>
      </c>
      <c r="D113" s="291">
        <v>15933</v>
      </c>
      <c r="E113" s="358">
        <v>18933</v>
      </c>
      <c r="F113" s="291">
        <v>18933</v>
      </c>
      <c r="G113" s="291">
        <v>16729</v>
      </c>
      <c r="H113" s="263">
        <f t="shared" si="18"/>
        <v>570.3755580000001</v>
      </c>
    </row>
    <row r="114" spans="1:8" ht="13.5" thickBot="1">
      <c r="A114" s="220" t="s">
        <v>56</v>
      </c>
      <c r="B114" s="51" t="s">
        <v>128</v>
      </c>
      <c r="C114" s="307">
        <v>6307</v>
      </c>
      <c r="D114" s="307">
        <v>6307</v>
      </c>
      <c r="E114" s="307">
        <v>6307</v>
      </c>
      <c r="F114" s="342">
        <v>2307</v>
      </c>
      <c r="G114" s="307">
        <v>1145</v>
      </c>
      <c r="H114" s="430">
        <f t="shared" si="18"/>
        <v>69.500682</v>
      </c>
    </row>
    <row r="115" spans="1:8" ht="13.5" thickBot="1">
      <c r="A115" s="622" t="s">
        <v>57</v>
      </c>
      <c r="B115" s="623"/>
      <c r="C115" s="311">
        <f aca="true" t="shared" si="19" ref="C115:H115">SUM(C116:C121)</f>
        <v>260074</v>
      </c>
      <c r="D115" s="311">
        <f t="shared" si="19"/>
        <v>261905</v>
      </c>
      <c r="E115" s="311">
        <f t="shared" si="19"/>
        <v>259739</v>
      </c>
      <c r="F115" s="311">
        <f t="shared" si="19"/>
        <v>249764</v>
      </c>
      <c r="G115" s="311">
        <f t="shared" si="19"/>
        <v>233541</v>
      </c>
      <c r="H115" s="290">
        <f t="shared" si="19"/>
        <v>7524.390264</v>
      </c>
    </row>
    <row r="116" spans="1:8" ht="12.75">
      <c r="A116" s="97" t="s">
        <v>58</v>
      </c>
      <c r="B116" s="43" t="s">
        <v>152</v>
      </c>
      <c r="C116" s="293">
        <v>88296</v>
      </c>
      <c r="D116" s="293">
        <f>88296+1764</f>
        <v>90060</v>
      </c>
      <c r="E116" s="293">
        <f>88296+1764</f>
        <v>90060</v>
      </c>
      <c r="F116" s="339">
        <v>88000</v>
      </c>
      <c r="G116" s="293">
        <v>84469</v>
      </c>
      <c r="H116" s="263">
        <f aca="true" t="shared" si="20" ref="H116:H121">F116*$H$8/1000</f>
        <v>2651.088</v>
      </c>
    </row>
    <row r="117" spans="1:8" ht="12.75">
      <c r="A117" s="142" t="s">
        <v>59</v>
      </c>
      <c r="B117" s="9" t="s">
        <v>129</v>
      </c>
      <c r="C117" s="312">
        <v>3319</v>
      </c>
      <c r="D117" s="312">
        <v>3319</v>
      </c>
      <c r="E117" s="336">
        <v>1319</v>
      </c>
      <c r="F117" s="336">
        <f>1319-900</f>
        <v>419</v>
      </c>
      <c r="G117" s="312">
        <v>305</v>
      </c>
      <c r="H117" s="263">
        <f t="shared" si="20"/>
        <v>12.622794</v>
      </c>
    </row>
    <row r="118" spans="1:8" ht="12.75">
      <c r="A118" s="142" t="s">
        <v>60</v>
      </c>
      <c r="B118" s="9" t="s">
        <v>61</v>
      </c>
      <c r="C118" s="312">
        <v>94105</v>
      </c>
      <c r="D118" s="312">
        <v>94105</v>
      </c>
      <c r="E118" s="312">
        <v>94105</v>
      </c>
      <c r="F118" s="336">
        <v>91000</v>
      </c>
      <c r="G118" s="312">
        <v>85695</v>
      </c>
      <c r="H118" s="263">
        <f t="shared" si="20"/>
        <v>2741.466</v>
      </c>
    </row>
    <row r="119" spans="1:8" ht="12.75">
      <c r="A119" s="142" t="s">
        <v>75</v>
      </c>
      <c r="B119" s="9" t="s">
        <v>151</v>
      </c>
      <c r="C119" s="312">
        <v>166</v>
      </c>
      <c r="D119" s="312">
        <v>166</v>
      </c>
      <c r="E119" s="336">
        <v>0</v>
      </c>
      <c r="F119" s="312">
        <v>0</v>
      </c>
      <c r="G119" s="312">
        <v>0</v>
      </c>
      <c r="H119" s="263">
        <f t="shared" si="20"/>
        <v>0</v>
      </c>
    </row>
    <row r="120" spans="1:8" ht="12.75">
      <c r="A120" s="142" t="s">
        <v>77</v>
      </c>
      <c r="B120" s="9" t="s">
        <v>254</v>
      </c>
      <c r="C120" s="312">
        <v>60910</v>
      </c>
      <c r="D120" s="312">
        <v>60910</v>
      </c>
      <c r="E120" s="312">
        <v>60910</v>
      </c>
      <c r="F120" s="336">
        <v>57000</v>
      </c>
      <c r="G120" s="312">
        <v>49727</v>
      </c>
      <c r="H120" s="263">
        <f t="shared" si="20"/>
        <v>1717.182</v>
      </c>
    </row>
    <row r="121" spans="1:8" ht="13.5" thickBot="1">
      <c r="A121" s="139" t="s">
        <v>62</v>
      </c>
      <c r="B121" s="61" t="s">
        <v>130</v>
      </c>
      <c r="C121" s="457">
        <v>13278</v>
      </c>
      <c r="D121" s="458">
        <v>13345</v>
      </c>
      <c r="E121" s="457">
        <v>13345</v>
      </c>
      <c r="F121" s="457">
        <v>13345</v>
      </c>
      <c r="G121" s="457">
        <v>13345</v>
      </c>
      <c r="H121" s="271">
        <f t="shared" si="20"/>
        <v>402.03147</v>
      </c>
    </row>
    <row r="122" spans="1:8" ht="13.5" thickBot="1">
      <c r="A122" s="48" t="s">
        <v>63</v>
      </c>
      <c r="B122" s="49"/>
      <c r="C122" s="289">
        <f aca="true" t="shared" si="21" ref="C122:H122">SUM(C123:C131)</f>
        <v>99117</v>
      </c>
      <c r="D122" s="289">
        <f t="shared" si="21"/>
        <v>101525</v>
      </c>
      <c r="E122" s="289">
        <f t="shared" si="21"/>
        <v>103814</v>
      </c>
      <c r="F122" s="289">
        <f t="shared" si="21"/>
        <v>101753</v>
      </c>
      <c r="G122" s="289">
        <f t="shared" si="21"/>
        <v>86619</v>
      </c>
      <c r="H122" s="290">
        <f t="shared" si="21"/>
        <v>3065.4108779999997</v>
      </c>
    </row>
    <row r="123" spans="1:8" ht="12.75">
      <c r="A123" s="76" t="s">
        <v>64</v>
      </c>
      <c r="B123" s="47" t="s">
        <v>131</v>
      </c>
      <c r="C123" s="291">
        <v>74022</v>
      </c>
      <c r="D123" s="291">
        <v>74022</v>
      </c>
      <c r="E123" s="291">
        <v>74022</v>
      </c>
      <c r="F123" s="291">
        <v>74022</v>
      </c>
      <c r="G123" s="291">
        <v>62316</v>
      </c>
      <c r="H123" s="263">
        <f>F123*$H$8/1000</f>
        <v>2229.9867719999997</v>
      </c>
    </row>
    <row r="124" spans="1:9" ht="12.75">
      <c r="A124" s="165" t="s">
        <v>65</v>
      </c>
      <c r="B124" s="11" t="s">
        <v>132</v>
      </c>
      <c r="C124" s="294">
        <v>12149</v>
      </c>
      <c r="D124" s="294">
        <v>12149</v>
      </c>
      <c r="E124" s="294">
        <v>12149</v>
      </c>
      <c r="F124" s="294">
        <v>12149</v>
      </c>
      <c r="G124" s="294">
        <f>11886-1401</f>
        <v>10485</v>
      </c>
      <c r="H124" s="263">
        <f aca="true" t="shared" si="22" ref="H124:H131">F124*$H$8/1000</f>
        <v>366.00077400000004</v>
      </c>
      <c r="I124" s="4"/>
    </row>
    <row r="125" spans="1:9" ht="13.5" thickBot="1">
      <c r="A125" s="139" t="s">
        <v>65</v>
      </c>
      <c r="B125" s="61" t="s">
        <v>133</v>
      </c>
      <c r="C125" s="296">
        <v>1660</v>
      </c>
      <c r="D125" s="296">
        <v>1660</v>
      </c>
      <c r="E125" s="296">
        <v>1660</v>
      </c>
      <c r="F125" s="369">
        <v>1405</v>
      </c>
      <c r="G125" s="296">
        <v>1401</v>
      </c>
      <c r="H125" s="271">
        <f t="shared" si="22"/>
        <v>42.32703</v>
      </c>
      <c r="I125" s="4">
        <f>SUM(F124:F125)</f>
        <v>13554</v>
      </c>
    </row>
    <row r="126" spans="1:8" ht="12.75">
      <c r="A126" s="76" t="s">
        <v>66</v>
      </c>
      <c r="B126" s="47" t="s">
        <v>134</v>
      </c>
      <c r="C126" s="291">
        <v>332</v>
      </c>
      <c r="D126" s="358">
        <v>400</v>
      </c>
      <c r="E126" s="358">
        <v>485</v>
      </c>
      <c r="F126" s="291">
        <v>485</v>
      </c>
      <c r="G126" s="291">
        <v>478</v>
      </c>
      <c r="H126" s="430">
        <f t="shared" si="22"/>
        <v>14.61111</v>
      </c>
    </row>
    <row r="127" spans="1:8" ht="12.75">
      <c r="A127" s="165" t="s">
        <v>67</v>
      </c>
      <c r="B127" s="11" t="s">
        <v>68</v>
      </c>
      <c r="C127" s="294">
        <v>3319</v>
      </c>
      <c r="D127" s="333">
        <v>5659</v>
      </c>
      <c r="E127" s="294">
        <v>5659</v>
      </c>
      <c r="F127" s="333">
        <v>3500</v>
      </c>
      <c r="G127" s="294">
        <v>2792</v>
      </c>
      <c r="H127" s="263">
        <f t="shared" si="22"/>
        <v>105.441</v>
      </c>
    </row>
    <row r="128" spans="1:8" ht="12.75">
      <c r="A128" s="165" t="s">
        <v>69</v>
      </c>
      <c r="B128" s="11" t="s">
        <v>135</v>
      </c>
      <c r="C128" s="294">
        <v>1328</v>
      </c>
      <c r="D128" s="294">
        <v>1328</v>
      </c>
      <c r="E128" s="294">
        <v>1328</v>
      </c>
      <c r="F128" s="294">
        <v>1328</v>
      </c>
      <c r="G128" s="294">
        <v>1109</v>
      </c>
      <c r="H128" s="263">
        <f t="shared" si="22"/>
        <v>40.007328</v>
      </c>
    </row>
    <row r="129" spans="1:8" ht="12.75">
      <c r="A129" s="165" t="s">
        <v>69</v>
      </c>
      <c r="B129" s="11" t="s">
        <v>253</v>
      </c>
      <c r="C129" s="294">
        <v>4647</v>
      </c>
      <c r="D129" s="294">
        <v>4647</v>
      </c>
      <c r="E129" s="294">
        <v>4647</v>
      </c>
      <c r="F129" s="333">
        <v>5000</v>
      </c>
      <c r="G129" s="294">
        <v>4887</v>
      </c>
      <c r="H129" s="263">
        <f t="shared" si="22"/>
        <v>150.63</v>
      </c>
    </row>
    <row r="130" spans="1:8" ht="12.75">
      <c r="A130" s="165" t="s">
        <v>70</v>
      </c>
      <c r="B130" s="11" t="s">
        <v>71</v>
      </c>
      <c r="C130" s="294">
        <v>664</v>
      </c>
      <c r="D130" s="294">
        <v>664</v>
      </c>
      <c r="E130" s="294">
        <v>664</v>
      </c>
      <c r="F130" s="294">
        <v>664</v>
      </c>
      <c r="G130" s="294">
        <v>47</v>
      </c>
      <c r="H130" s="263">
        <f t="shared" si="22"/>
        <v>20.003664</v>
      </c>
    </row>
    <row r="131" spans="1:8" ht="13.5" thickBot="1">
      <c r="A131" s="220" t="s">
        <v>72</v>
      </c>
      <c r="B131" s="51" t="s">
        <v>73</v>
      </c>
      <c r="C131" s="307">
        <v>996</v>
      </c>
      <c r="D131" s="307">
        <v>996</v>
      </c>
      <c r="E131" s="342">
        <v>3200</v>
      </c>
      <c r="F131" s="307">
        <v>3200</v>
      </c>
      <c r="G131" s="307">
        <v>3104</v>
      </c>
      <c r="H131" s="263">
        <f t="shared" si="22"/>
        <v>96.4032</v>
      </c>
    </row>
    <row r="132" spans="1:8" ht="16.5" thickBot="1">
      <c r="A132" s="85" t="s">
        <v>137</v>
      </c>
      <c r="B132" s="57"/>
      <c r="C132" s="378">
        <f aca="true" t="shared" si="23" ref="C132:H132">SUM(C80+C85+C87+C89+C94+C97+C99+C115+C122)</f>
        <v>824669</v>
      </c>
      <c r="D132" s="378">
        <f t="shared" si="23"/>
        <v>888843</v>
      </c>
      <c r="E132" s="378">
        <f t="shared" si="23"/>
        <v>876829</v>
      </c>
      <c r="F132" s="378">
        <f t="shared" si="23"/>
        <v>853236</v>
      </c>
      <c r="G132" s="378">
        <f t="shared" si="23"/>
        <v>781009</v>
      </c>
      <c r="H132" s="378">
        <f t="shared" si="23"/>
        <v>25704.587735999998</v>
      </c>
    </row>
    <row r="133" spans="1:8" ht="12.75">
      <c r="A133" s="225" t="s">
        <v>59</v>
      </c>
      <c r="B133" s="376" t="s">
        <v>74</v>
      </c>
      <c r="C133" s="301">
        <f>292106+2622-67</f>
        <v>294661</v>
      </c>
      <c r="D133" s="377">
        <f>313491+2622-67</f>
        <v>316046</v>
      </c>
      <c r="E133" s="377">
        <f>316621+2733-78</f>
        <v>319276</v>
      </c>
      <c r="F133" s="377">
        <f>F59+F74-78</f>
        <v>309567</v>
      </c>
      <c r="G133" s="377">
        <f>G59+G74-78</f>
        <v>309567</v>
      </c>
      <c r="H133" s="430">
        <f>F133*$H$8/1000</f>
        <v>9326.015442</v>
      </c>
    </row>
    <row r="134" spans="1:8" ht="12.75">
      <c r="A134" s="159" t="s">
        <v>75</v>
      </c>
      <c r="B134" s="10" t="s">
        <v>76</v>
      </c>
      <c r="C134" s="301">
        <v>16597</v>
      </c>
      <c r="D134" s="301">
        <v>16597</v>
      </c>
      <c r="E134" s="301">
        <v>16597</v>
      </c>
      <c r="F134" s="301">
        <v>16597</v>
      </c>
      <c r="G134" s="301">
        <v>16597</v>
      </c>
      <c r="H134" s="263">
        <f>F134*$H$8/1000</f>
        <v>500.001222</v>
      </c>
    </row>
    <row r="135" spans="1:8" ht="13.5" thickBot="1">
      <c r="A135" s="624" t="s">
        <v>163</v>
      </c>
      <c r="B135" s="625"/>
      <c r="C135" s="303">
        <f aca="true" t="shared" si="24" ref="C135:H135">SUM(C133:C134)</f>
        <v>311258</v>
      </c>
      <c r="D135" s="303">
        <f t="shared" si="24"/>
        <v>332643</v>
      </c>
      <c r="E135" s="303">
        <f t="shared" si="24"/>
        <v>335873</v>
      </c>
      <c r="F135" s="303">
        <f t="shared" si="24"/>
        <v>326164</v>
      </c>
      <c r="G135" s="303">
        <f t="shared" si="24"/>
        <v>326164</v>
      </c>
      <c r="H135" s="303">
        <f t="shared" si="24"/>
        <v>9826.016664</v>
      </c>
    </row>
    <row r="136" spans="1:8" ht="16.5" thickBot="1">
      <c r="A136" s="85" t="s">
        <v>78</v>
      </c>
      <c r="B136" s="57"/>
      <c r="C136" s="304">
        <f aca="true" t="shared" si="25" ref="C136:H136">C132+C135</f>
        <v>1135927</v>
      </c>
      <c r="D136" s="304">
        <f t="shared" si="25"/>
        <v>1221486</v>
      </c>
      <c r="E136" s="304">
        <f t="shared" si="25"/>
        <v>1212702</v>
      </c>
      <c r="F136" s="304">
        <f t="shared" si="25"/>
        <v>1179400</v>
      </c>
      <c r="G136" s="304">
        <f t="shared" si="25"/>
        <v>1107173</v>
      </c>
      <c r="H136" s="304">
        <f t="shared" si="25"/>
        <v>35530.6044</v>
      </c>
    </row>
    <row r="137" ht="12.75">
      <c r="H137" s="124"/>
    </row>
    <row r="138" spans="1:8" ht="13.5" thickBot="1">
      <c r="A138" s="15"/>
      <c r="B138" s="24"/>
      <c r="C138" s="24"/>
      <c r="D138" s="24"/>
      <c r="E138" s="24"/>
      <c r="F138" s="24"/>
      <c r="G138" s="24"/>
      <c r="H138" s="25"/>
    </row>
    <row r="139" spans="1:8" ht="18.75" thickBot="1">
      <c r="A139" s="654" t="s">
        <v>79</v>
      </c>
      <c r="B139" s="655"/>
      <c r="C139" s="655"/>
      <c r="D139" s="655"/>
      <c r="E139" s="655"/>
      <c r="F139" s="655"/>
      <c r="G139" s="655"/>
      <c r="H139" s="656"/>
    </row>
    <row r="140" spans="1:8" ht="12.75" customHeight="1">
      <c r="A140" s="608" t="s">
        <v>2</v>
      </c>
      <c r="B140" s="609"/>
      <c r="C140" s="598" t="s">
        <v>205</v>
      </c>
      <c r="D140" s="643" t="s">
        <v>233</v>
      </c>
      <c r="E140" s="643" t="s">
        <v>234</v>
      </c>
      <c r="F140" s="643" t="s">
        <v>245</v>
      </c>
      <c r="G140" s="643" t="s">
        <v>248</v>
      </c>
      <c r="H140" s="646" t="s">
        <v>249</v>
      </c>
    </row>
    <row r="141" spans="1:8" ht="13.5" thickBot="1">
      <c r="A141" s="590"/>
      <c r="B141" s="621"/>
      <c r="C141" s="599"/>
      <c r="D141" s="644"/>
      <c r="E141" s="644"/>
      <c r="F141" s="644"/>
      <c r="G141" s="644"/>
      <c r="H141" s="647"/>
    </row>
    <row r="142" spans="1:8" ht="15.75" thickBot="1">
      <c r="A142" s="613" t="s">
        <v>142</v>
      </c>
      <c r="B142" s="614"/>
      <c r="C142" s="272">
        <f aca="true" t="shared" si="26" ref="C142:H142">SUM(C143:C144)</f>
        <v>0</v>
      </c>
      <c r="D142" s="272">
        <f t="shared" si="26"/>
        <v>20001</v>
      </c>
      <c r="E142" s="272">
        <f t="shared" si="26"/>
        <v>23077</v>
      </c>
      <c r="F142" s="272">
        <f t="shared" si="26"/>
        <v>25656</v>
      </c>
      <c r="G142" s="272">
        <f t="shared" si="26"/>
        <v>25656</v>
      </c>
      <c r="H142" s="272">
        <f t="shared" si="26"/>
        <v>772.9126560000001</v>
      </c>
    </row>
    <row r="143" spans="1:8" ht="12.75">
      <c r="A143" s="96">
        <v>230</v>
      </c>
      <c r="B143" s="65" t="s">
        <v>99</v>
      </c>
      <c r="C143" s="274">
        <v>0</v>
      </c>
      <c r="D143" s="348">
        <v>20001</v>
      </c>
      <c r="E143" s="348">
        <f>21302+1775</f>
        <v>23077</v>
      </c>
      <c r="F143" s="348">
        <f>21302+1775+2579</f>
        <v>25656</v>
      </c>
      <c r="G143" s="274">
        <v>25656</v>
      </c>
      <c r="H143" s="275">
        <f>F143*$H$8/1000</f>
        <v>772.9126560000001</v>
      </c>
    </row>
    <row r="144" spans="1:8" ht="13.5" thickBot="1">
      <c r="A144" s="95">
        <v>321</v>
      </c>
      <c r="B144" s="61" t="s">
        <v>178</v>
      </c>
      <c r="C144" s="270">
        <v>0</v>
      </c>
      <c r="D144" s="270">
        <v>0</v>
      </c>
      <c r="E144" s="270">
        <v>0</v>
      </c>
      <c r="F144" s="270">
        <v>0</v>
      </c>
      <c r="G144" s="270">
        <v>0</v>
      </c>
      <c r="H144" s="285">
        <f>F144*$H$8/1000</f>
        <v>0</v>
      </c>
    </row>
    <row r="145" spans="1:8" ht="18.75" thickBot="1">
      <c r="A145" s="75"/>
      <c r="B145" s="3"/>
      <c r="C145" s="276"/>
      <c r="D145" s="276"/>
      <c r="E145" s="276"/>
      <c r="F145" s="276"/>
      <c r="G145" s="276"/>
      <c r="H145" s="444"/>
    </row>
    <row r="146" spans="1:8" ht="16.5" thickBot="1">
      <c r="A146" s="613" t="s">
        <v>143</v>
      </c>
      <c r="B146" s="614"/>
      <c r="C146" s="278">
        <f aca="true" t="shared" si="27" ref="C146:H146">SUM(C147:C168)</f>
        <v>411605</v>
      </c>
      <c r="D146" s="278">
        <f t="shared" si="27"/>
        <v>479078</v>
      </c>
      <c r="E146" s="278">
        <f t="shared" si="27"/>
        <v>305459</v>
      </c>
      <c r="F146" s="278">
        <f t="shared" si="27"/>
        <v>313305</v>
      </c>
      <c r="G146" s="278">
        <f t="shared" si="27"/>
        <v>289129</v>
      </c>
      <c r="H146" s="278">
        <f t="shared" si="27"/>
        <v>9438.62643</v>
      </c>
    </row>
    <row r="147" spans="1:8" ht="12.75">
      <c r="A147" s="165" t="s">
        <v>37</v>
      </c>
      <c r="B147" s="7" t="s">
        <v>183</v>
      </c>
      <c r="C147" s="279">
        <v>6639</v>
      </c>
      <c r="D147" s="279">
        <v>6639</v>
      </c>
      <c r="E147" s="368">
        <v>8202</v>
      </c>
      <c r="F147" s="368">
        <v>4284</v>
      </c>
      <c r="G147" s="279">
        <v>4284</v>
      </c>
      <c r="H147" s="263">
        <f>F147*$H$8/1000</f>
        <v>129.059784</v>
      </c>
    </row>
    <row r="148" spans="1:8" ht="12.75">
      <c r="A148" s="89" t="s">
        <v>37</v>
      </c>
      <c r="B148" s="140" t="s">
        <v>208</v>
      </c>
      <c r="C148" s="280">
        <v>1660</v>
      </c>
      <c r="D148" s="361">
        <v>2600</v>
      </c>
      <c r="E148" s="361">
        <f>2600+2500+49900</f>
        <v>55000</v>
      </c>
      <c r="F148" s="399">
        <f>2600+2500+49900</f>
        <v>55000</v>
      </c>
      <c r="G148" s="399">
        <v>52392</v>
      </c>
      <c r="H148" s="263">
        <f aca="true" t="shared" si="28" ref="H148:H167">F148*$H$8/1000</f>
        <v>1656.93</v>
      </c>
    </row>
    <row r="149" spans="1:8" ht="12.75">
      <c r="A149" s="142" t="s">
        <v>37</v>
      </c>
      <c r="B149" s="143" t="s">
        <v>161</v>
      </c>
      <c r="C149" s="282">
        <v>3319</v>
      </c>
      <c r="D149" s="312">
        <v>3319</v>
      </c>
      <c r="E149" s="336">
        <f>3300+2500+26200</f>
        <v>32000</v>
      </c>
      <c r="F149" s="312">
        <f>3300+2500+26200</f>
        <v>32000</v>
      </c>
      <c r="G149" s="312">
        <v>23726</v>
      </c>
      <c r="H149" s="263">
        <f t="shared" si="28"/>
        <v>964.032</v>
      </c>
    </row>
    <row r="150" spans="1:8" ht="12.75">
      <c r="A150" s="73" t="s">
        <v>37</v>
      </c>
      <c r="B150" s="143" t="s">
        <v>209</v>
      </c>
      <c r="C150" s="279">
        <v>1658</v>
      </c>
      <c r="D150" s="362">
        <v>9205</v>
      </c>
      <c r="E150" s="368">
        <f>8100+2500+26300</f>
        <v>36900</v>
      </c>
      <c r="F150" s="306">
        <f>8100+2500+26300</f>
        <v>36900</v>
      </c>
      <c r="G150" s="306">
        <v>34344</v>
      </c>
      <c r="H150" s="263">
        <f t="shared" si="28"/>
        <v>1111.6494000000002</v>
      </c>
    </row>
    <row r="151" spans="1:8" ht="12.75">
      <c r="A151" s="86" t="s">
        <v>37</v>
      </c>
      <c r="B151" s="7" t="s">
        <v>220</v>
      </c>
      <c r="C151" s="279">
        <v>0</v>
      </c>
      <c r="D151" s="362">
        <v>2806</v>
      </c>
      <c r="E151" s="306">
        <v>2806</v>
      </c>
      <c r="F151" s="306">
        <v>2806</v>
      </c>
      <c r="G151" s="306">
        <v>2583</v>
      </c>
      <c r="H151" s="263">
        <f t="shared" si="28"/>
        <v>84.53355599999999</v>
      </c>
    </row>
    <row r="152" spans="1:8" ht="12.75">
      <c r="A152" s="165" t="s">
        <v>37</v>
      </c>
      <c r="B152" s="7" t="s">
        <v>213</v>
      </c>
      <c r="C152" s="279">
        <v>1660</v>
      </c>
      <c r="D152" s="279">
        <v>1660</v>
      </c>
      <c r="E152" s="368">
        <v>0</v>
      </c>
      <c r="F152" s="306">
        <v>0</v>
      </c>
      <c r="G152" s="306">
        <v>0</v>
      </c>
      <c r="H152" s="263">
        <f t="shared" si="28"/>
        <v>0</v>
      </c>
    </row>
    <row r="153" spans="1:8" ht="12.75">
      <c r="A153" s="165" t="s">
        <v>37</v>
      </c>
      <c r="B153" s="143" t="s">
        <v>228</v>
      </c>
      <c r="C153" s="279">
        <v>0</v>
      </c>
      <c r="D153" s="362">
        <v>1000</v>
      </c>
      <c r="E153" s="368">
        <v>1066</v>
      </c>
      <c r="F153" s="306">
        <v>1066</v>
      </c>
      <c r="G153" s="306">
        <v>1066</v>
      </c>
      <c r="H153" s="263">
        <f t="shared" si="28"/>
        <v>32.114316</v>
      </c>
    </row>
    <row r="154" spans="1:8" ht="12.75">
      <c r="A154" s="165" t="s">
        <v>37</v>
      </c>
      <c r="B154" s="143" t="s">
        <v>214</v>
      </c>
      <c r="C154" s="279">
        <v>1000</v>
      </c>
      <c r="D154" s="279">
        <v>1000</v>
      </c>
      <c r="E154" s="368">
        <f>5000+3000</f>
        <v>8000</v>
      </c>
      <c r="F154" s="306">
        <f>5000+3000</f>
        <v>8000</v>
      </c>
      <c r="G154" s="306">
        <v>4998</v>
      </c>
      <c r="H154" s="263">
        <f t="shared" si="28"/>
        <v>241.008</v>
      </c>
    </row>
    <row r="155" spans="1:8" ht="12.75">
      <c r="A155" s="86" t="s">
        <v>37</v>
      </c>
      <c r="B155" s="37" t="s">
        <v>225</v>
      </c>
      <c r="C155" s="287">
        <v>0</v>
      </c>
      <c r="D155" s="363">
        <v>1340</v>
      </c>
      <c r="E155" s="400">
        <v>1340</v>
      </c>
      <c r="F155" s="400">
        <v>1340</v>
      </c>
      <c r="G155" s="400">
        <v>0</v>
      </c>
      <c r="H155" s="263">
        <f t="shared" si="28"/>
        <v>40.368840000000006</v>
      </c>
    </row>
    <row r="156" spans="1:8" ht="12.75">
      <c r="A156" s="165" t="s">
        <v>37</v>
      </c>
      <c r="B156" s="7" t="s">
        <v>226</v>
      </c>
      <c r="C156" s="279">
        <v>0</v>
      </c>
      <c r="D156" s="362">
        <v>32900</v>
      </c>
      <c r="E156" s="368">
        <f>32900+2500+3000</f>
        <v>38400</v>
      </c>
      <c r="F156" s="306">
        <f>32900+2500+3000</f>
        <v>38400</v>
      </c>
      <c r="G156" s="306">
        <v>32863</v>
      </c>
      <c r="H156" s="263">
        <f t="shared" si="28"/>
        <v>1156.8384</v>
      </c>
    </row>
    <row r="157" spans="1:8" ht="12.75">
      <c r="A157" s="165" t="s">
        <v>239</v>
      </c>
      <c r="B157" s="143" t="s">
        <v>227</v>
      </c>
      <c r="C157" s="279">
        <v>0</v>
      </c>
      <c r="D157" s="362">
        <v>1000</v>
      </c>
      <c r="E157" s="306">
        <v>1000</v>
      </c>
      <c r="F157" s="306">
        <v>1000</v>
      </c>
      <c r="G157" s="306">
        <v>800</v>
      </c>
      <c r="H157" s="263">
        <f t="shared" si="28"/>
        <v>30.126</v>
      </c>
    </row>
    <row r="158" spans="1:9" ht="13.5" thickBot="1">
      <c r="A158" s="256" t="s">
        <v>37</v>
      </c>
      <c r="B158" s="257" t="s">
        <v>240</v>
      </c>
      <c r="C158" s="284">
        <v>0</v>
      </c>
      <c r="D158" s="384">
        <v>0</v>
      </c>
      <c r="E158" s="406">
        <v>2000</v>
      </c>
      <c r="F158" s="384">
        <v>2000</v>
      </c>
      <c r="G158" s="384">
        <v>1963</v>
      </c>
      <c r="H158" s="271">
        <f t="shared" si="28"/>
        <v>60.252</v>
      </c>
      <c r="I158" s="4">
        <f>SUM(G147:G158)</f>
        <v>159019</v>
      </c>
    </row>
    <row r="159" spans="1:8" ht="13.5" thickBot="1">
      <c r="A159" s="365" t="s">
        <v>39</v>
      </c>
      <c r="B159" s="366" t="s">
        <v>184</v>
      </c>
      <c r="C159" s="367">
        <v>3319</v>
      </c>
      <c r="D159" s="367">
        <v>3319</v>
      </c>
      <c r="E159" s="404">
        <v>0</v>
      </c>
      <c r="F159" s="401">
        <v>0</v>
      </c>
      <c r="G159" s="401">
        <v>0</v>
      </c>
      <c r="H159" s="285">
        <f t="shared" si="28"/>
        <v>0</v>
      </c>
    </row>
    <row r="160" spans="1:8" ht="12.75">
      <c r="A160" s="72" t="s">
        <v>41</v>
      </c>
      <c r="B160" s="37" t="s">
        <v>180</v>
      </c>
      <c r="C160" s="287">
        <v>8300</v>
      </c>
      <c r="D160" s="287">
        <v>8300</v>
      </c>
      <c r="E160" s="405">
        <v>0</v>
      </c>
      <c r="F160" s="400">
        <v>0</v>
      </c>
      <c r="G160" s="400">
        <v>0</v>
      </c>
      <c r="H160" s="430">
        <f t="shared" si="28"/>
        <v>0</v>
      </c>
    </row>
    <row r="161" spans="1:8" ht="12.75">
      <c r="A161" s="142" t="s">
        <v>210</v>
      </c>
      <c r="B161" s="143" t="s">
        <v>80</v>
      </c>
      <c r="C161" s="279">
        <v>33194</v>
      </c>
      <c r="D161" s="362">
        <v>40194</v>
      </c>
      <c r="E161" s="362">
        <v>44704</v>
      </c>
      <c r="F161" s="306">
        <v>44704</v>
      </c>
      <c r="G161" s="306">
        <v>44704</v>
      </c>
      <c r="H161" s="263">
        <f t="shared" si="28"/>
        <v>1346.7527040000002</v>
      </c>
    </row>
    <row r="162" spans="1:8" ht="13.5" thickBot="1">
      <c r="A162" s="139" t="s">
        <v>210</v>
      </c>
      <c r="B162" s="39" t="s">
        <v>211</v>
      </c>
      <c r="C162" s="297">
        <v>205802</v>
      </c>
      <c r="D162" s="297">
        <v>205802</v>
      </c>
      <c r="E162" s="369">
        <v>0</v>
      </c>
      <c r="F162" s="296">
        <v>0</v>
      </c>
      <c r="G162" s="296">
        <v>0</v>
      </c>
      <c r="H162" s="271">
        <f t="shared" si="28"/>
        <v>0</v>
      </c>
    </row>
    <row r="163" spans="1:8" ht="13.5" thickBot="1">
      <c r="A163" s="449" t="s">
        <v>212</v>
      </c>
      <c r="B163" s="450" t="s">
        <v>179</v>
      </c>
      <c r="C163" s="451">
        <v>43152</v>
      </c>
      <c r="D163" s="451">
        <v>43152</v>
      </c>
      <c r="E163" s="452">
        <v>0</v>
      </c>
      <c r="F163" s="453">
        <v>0</v>
      </c>
      <c r="G163" s="453">
        <v>0</v>
      </c>
      <c r="H163" s="456">
        <f t="shared" si="28"/>
        <v>0</v>
      </c>
    </row>
    <row r="164" spans="1:8" ht="13.5" thickBot="1">
      <c r="A164" s="365" t="s">
        <v>51</v>
      </c>
      <c r="B164" s="41" t="s">
        <v>157</v>
      </c>
      <c r="C164" s="410">
        <v>33194</v>
      </c>
      <c r="D164" s="454">
        <v>44134</v>
      </c>
      <c r="E164" s="347">
        <v>37000</v>
      </c>
      <c r="F164" s="455">
        <v>37000</v>
      </c>
      <c r="G164" s="412">
        <v>36638</v>
      </c>
      <c r="H164" s="413">
        <f t="shared" si="28"/>
        <v>1114.662</v>
      </c>
    </row>
    <row r="165" spans="1:8" ht="12.75">
      <c r="A165" s="72" t="s">
        <v>58</v>
      </c>
      <c r="B165" s="37" t="s">
        <v>229</v>
      </c>
      <c r="C165" s="287">
        <v>0</v>
      </c>
      <c r="D165" s="363">
        <v>2000</v>
      </c>
      <c r="E165" s="363">
        <v>2600</v>
      </c>
      <c r="F165" s="400">
        <v>2600</v>
      </c>
      <c r="G165" s="400">
        <v>2565</v>
      </c>
      <c r="H165" s="430">
        <f t="shared" si="28"/>
        <v>78.3276</v>
      </c>
    </row>
    <row r="166" spans="1:8" ht="12.75">
      <c r="A166" s="73" t="s">
        <v>59</v>
      </c>
      <c r="B166" s="7" t="s">
        <v>182</v>
      </c>
      <c r="C166" s="279">
        <v>65388</v>
      </c>
      <c r="D166" s="279">
        <v>65388</v>
      </c>
      <c r="E166" s="368">
        <v>0</v>
      </c>
      <c r="F166" s="306">
        <v>0</v>
      </c>
      <c r="G166" s="306">
        <v>0</v>
      </c>
      <c r="H166" s="263">
        <f t="shared" si="28"/>
        <v>0</v>
      </c>
    </row>
    <row r="167" spans="1:9" ht="12.75">
      <c r="A167" s="73" t="s">
        <v>60</v>
      </c>
      <c r="B167" s="7" t="s">
        <v>241</v>
      </c>
      <c r="C167" s="279">
        <v>0</v>
      </c>
      <c r="D167" s="279">
        <v>0</v>
      </c>
      <c r="E167" s="368">
        <v>34441</v>
      </c>
      <c r="F167" s="368">
        <v>46205</v>
      </c>
      <c r="G167" s="306">
        <v>46203</v>
      </c>
      <c r="H167" s="263">
        <f t="shared" si="28"/>
        <v>1391.9718300000002</v>
      </c>
      <c r="I167" s="4">
        <f>SUM(F147:F168)-F147-F164-F167-F148+3223</f>
        <v>174039</v>
      </c>
    </row>
    <row r="168" spans="1:10" ht="13.5" thickBot="1">
      <c r="A168" s="74" t="s">
        <v>77</v>
      </c>
      <c r="B168" s="44" t="s">
        <v>186</v>
      </c>
      <c r="C168" s="284">
        <v>3320</v>
      </c>
      <c r="D168" s="284">
        <v>3320</v>
      </c>
      <c r="E168" s="406">
        <v>0</v>
      </c>
      <c r="F168" s="384">
        <v>0</v>
      </c>
      <c r="G168" s="284">
        <v>0</v>
      </c>
      <c r="H168" s="271">
        <f>F168*$H$8/1000</f>
        <v>0</v>
      </c>
      <c r="I168" s="4"/>
      <c r="J168" s="4"/>
    </row>
    <row r="169" spans="9:10" ht="12.75">
      <c r="I169" s="4"/>
      <c r="J169" s="4"/>
    </row>
    <row r="170" spans="1:8" ht="12.75">
      <c r="A170" s="28"/>
      <c r="B170" s="29"/>
      <c r="C170" s="29"/>
      <c r="D170" s="29"/>
      <c r="E170" s="29"/>
      <c r="F170" s="29"/>
      <c r="G170" s="29"/>
      <c r="H170" s="145"/>
    </row>
    <row r="171" spans="1:8" ht="13.5" thickBot="1">
      <c r="A171" s="29"/>
      <c r="B171" s="24"/>
      <c r="C171" s="24"/>
      <c r="D171" s="24"/>
      <c r="E171" s="24"/>
      <c r="F171" s="24"/>
      <c r="G171" s="24"/>
      <c r="H171" s="30"/>
    </row>
    <row r="172" spans="1:8" ht="18.75" thickBot="1">
      <c r="A172" s="648" t="s">
        <v>81</v>
      </c>
      <c r="B172" s="649"/>
      <c r="C172" s="649"/>
      <c r="D172" s="649"/>
      <c r="E172" s="649"/>
      <c r="F172" s="649"/>
      <c r="G172" s="649"/>
      <c r="H172" s="650"/>
    </row>
    <row r="173" spans="1:8" ht="12.75" customHeight="1">
      <c r="A173" s="608" t="s">
        <v>2</v>
      </c>
      <c r="B173" s="609"/>
      <c r="C173" s="598" t="s">
        <v>205</v>
      </c>
      <c r="D173" s="643" t="s">
        <v>233</v>
      </c>
      <c r="E173" s="643" t="s">
        <v>234</v>
      </c>
      <c r="F173" s="643" t="s">
        <v>245</v>
      </c>
      <c r="G173" s="643" t="s">
        <v>248</v>
      </c>
      <c r="H173" s="646" t="s">
        <v>249</v>
      </c>
    </row>
    <row r="174" spans="1:8" ht="13.5" thickBot="1">
      <c r="A174" s="590"/>
      <c r="B174" s="621"/>
      <c r="C174" s="599"/>
      <c r="D174" s="645"/>
      <c r="E174" s="645"/>
      <c r="F174" s="645"/>
      <c r="G174" s="645"/>
      <c r="H174" s="653"/>
    </row>
    <row r="175" spans="1:8" ht="16.5" thickBot="1">
      <c r="A175" s="638" t="s">
        <v>144</v>
      </c>
      <c r="B175" s="639"/>
      <c r="C175" s="440">
        <f aca="true" t="shared" si="29" ref="C175:H175">SUM(C176:C178)</f>
        <v>378476</v>
      </c>
      <c r="D175" s="440">
        <f t="shared" si="29"/>
        <v>432551</v>
      </c>
      <c r="E175" s="440">
        <f t="shared" si="29"/>
        <v>240495</v>
      </c>
      <c r="F175" s="440">
        <f t="shared" si="29"/>
        <v>175179</v>
      </c>
      <c r="G175" s="440">
        <f t="shared" si="29"/>
        <v>153845</v>
      </c>
      <c r="H175" s="432">
        <f t="shared" si="29"/>
        <v>5277.442554</v>
      </c>
    </row>
    <row r="176" spans="1:8" ht="12.75">
      <c r="A176" s="445">
        <v>411</v>
      </c>
      <c r="B176" s="446" t="s">
        <v>223</v>
      </c>
      <c r="C176" s="447">
        <v>0</v>
      </c>
      <c r="D176" s="448">
        <v>840</v>
      </c>
      <c r="E176" s="447">
        <v>840</v>
      </c>
      <c r="F176" s="448">
        <v>1140</v>
      </c>
      <c r="G176" s="447">
        <v>1010</v>
      </c>
      <c r="H176" s="430">
        <f>F176*$H$8/1000</f>
        <v>34.34364</v>
      </c>
    </row>
    <row r="177" spans="1:8" ht="12.75">
      <c r="A177" s="69">
        <v>454</v>
      </c>
      <c r="B177" s="6" t="s">
        <v>185</v>
      </c>
      <c r="C177" s="269">
        <v>172674</v>
      </c>
      <c r="D177" s="374">
        <f>219425+6484</f>
        <v>225909</v>
      </c>
      <c r="E177" s="374">
        <f>219425+7044</f>
        <v>226469</v>
      </c>
      <c r="F177" s="418">
        <f>226469-52430</f>
        <v>174039</v>
      </c>
      <c r="G177" s="402">
        <v>152835</v>
      </c>
      <c r="H177" s="263">
        <f>F177*$H$8/1000</f>
        <v>5243.098914</v>
      </c>
    </row>
    <row r="178" spans="1:8" ht="13.5" thickBot="1">
      <c r="A178" s="433">
        <v>513</v>
      </c>
      <c r="B178" s="434" t="s">
        <v>201</v>
      </c>
      <c r="C178" s="427">
        <v>205802</v>
      </c>
      <c r="D178" s="427">
        <v>205802</v>
      </c>
      <c r="E178" s="435">
        <f>14444+664+6561+4510-1500-7754-4500-39+800</f>
        <v>13186</v>
      </c>
      <c r="F178" s="435">
        <v>0</v>
      </c>
      <c r="G178" s="427">
        <v>0</v>
      </c>
      <c r="H178" s="428">
        <f>F178*$H$8/1000</f>
        <v>0</v>
      </c>
    </row>
    <row r="179" spans="1:8" ht="16.5" thickBot="1">
      <c r="A179" s="638" t="s">
        <v>145</v>
      </c>
      <c r="B179" s="639"/>
      <c r="C179" s="440">
        <f aca="true" t="shared" si="30" ref="C179:H179">SUM(C180:C181)</f>
        <v>531</v>
      </c>
      <c r="D179" s="440">
        <f t="shared" si="30"/>
        <v>3196</v>
      </c>
      <c r="E179" s="440">
        <f t="shared" si="30"/>
        <v>3196</v>
      </c>
      <c r="F179" s="441">
        <f t="shared" si="30"/>
        <v>3245</v>
      </c>
      <c r="G179" s="431">
        <f t="shared" si="30"/>
        <v>3241</v>
      </c>
      <c r="H179" s="432">
        <f t="shared" si="30"/>
        <v>97.75887</v>
      </c>
    </row>
    <row r="180" spans="1:8" ht="12.75">
      <c r="A180" s="436">
        <v>812</v>
      </c>
      <c r="B180" s="437" t="s">
        <v>230</v>
      </c>
      <c r="C180" s="438">
        <v>0</v>
      </c>
      <c r="D180" s="439">
        <v>2665</v>
      </c>
      <c r="E180" s="438">
        <v>2665</v>
      </c>
      <c r="F180" s="438">
        <v>2665</v>
      </c>
      <c r="G180" s="429">
        <v>2665</v>
      </c>
      <c r="H180" s="430">
        <f>F180*$H$8/1000</f>
        <v>80.28579</v>
      </c>
    </row>
    <row r="181" spans="1:8" ht="13.5" thickBot="1">
      <c r="A181" s="70">
        <v>821</v>
      </c>
      <c r="B181" s="61" t="s">
        <v>138</v>
      </c>
      <c r="C181" s="270">
        <v>531</v>
      </c>
      <c r="D181" s="270">
        <v>531</v>
      </c>
      <c r="E181" s="270">
        <v>531</v>
      </c>
      <c r="F181" s="469">
        <v>580</v>
      </c>
      <c r="G181" s="384">
        <v>576</v>
      </c>
      <c r="H181" s="271">
        <f>F181*$H$8/1000</f>
        <v>17.473080000000003</v>
      </c>
    </row>
    <row r="182" spans="1:8" ht="15.75">
      <c r="A182" s="14"/>
      <c r="B182" s="15"/>
      <c r="C182" s="15"/>
      <c r="D182" s="15"/>
      <c r="E182" s="15"/>
      <c r="F182" s="15"/>
      <c r="G182" s="15"/>
      <c r="H182" s="16"/>
    </row>
    <row r="183" spans="1:8" ht="15.75">
      <c r="A183" s="14"/>
      <c r="B183" s="15"/>
      <c r="C183" s="15"/>
      <c r="D183" s="15"/>
      <c r="E183" s="15"/>
      <c r="F183" s="15"/>
      <c r="G183" s="15"/>
      <c r="H183" s="16"/>
    </row>
    <row r="184" spans="1:8" ht="15.75">
      <c r="A184" s="14"/>
      <c r="B184" s="15"/>
      <c r="C184" s="15"/>
      <c r="D184" s="15"/>
      <c r="E184" s="15"/>
      <c r="F184" s="15"/>
      <c r="G184" s="15"/>
      <c r="H184" s="16"/>
    </row>
    <row r="185" spans="1:8" ht="15.75">
      <c r="A185" s="14"/>
      <c r="B185" s="15"/>
      <c r="C185" s="15"/>
      <c r="D185" s="15"/>
      <c r="E185" s="15"/>
      <c r="F185" s="15"/>
      <c r="G185" s="15"/>
      <c r="H185" s="16"/>
    </row>
    <row r="186" spans="1:8" ht="15.75">
      <c r="A186" s="14"/>
      <c r="B186" s="15"/>
      <c r="C186" s="15"/>
      <c r="D186" s="15"/>
      <c r="E186" s="15"/>
      <c r="F186" s="15"/>
      <c r="G186" s="15"/>
      <c r="H186" s="16"/>
    </row>
    <row r="187" spans="2:8" ht="13.5" thickBot="1">
      <c r="B187" s="24"/>
      <c r="C187" s="24"/>
      <c r="D187" s="24"/>
      <c r="E187" s="24"/>
      <c r="F187" s="24"/>
      <c r="G187" s="24"/>
      <c r="H187" s="31"/>
    </row>
    <row r="188" spans="1:8" ht="18.75" thickBot="1">
      <c r="A188" s="640" t="s">
        <v>146</v>
      </c>
      <c r="B188" s="641"/>
      <c r="C188" s="641"/>
      <c r="D188" s="641"/>
      <c r="E188" s="641"/>
      <c r="F188" s="641"/>
      <c r="G188" s="641"/>
      <c r="H188" s="642"/>
    </row>
    <row r="189" spans="1:8" ht="12.75" customHeight="1">
      <c r="A189" s="608" t="s">
        <v>2</v>
      </c>
      <c r="B189" s="609"/>
      <c r="C189" s="651" t="s">
        <v>205</v>
      </c>
      <c r="D189" s="643" t="s">
        <v>233</v>
      </c>
      <c r="E189" s="643" t="s">
        <v>234</v>
      </c>
      <c r="F189" s="643" t="s">
        <v>245</v>
      </c>
      <c r="G189" s="643" t="s">
        <v>248</v>
      </c>
      <c r="H189" s="646" t="s">
        <v>249</v>
      </c>
    </row>
    <row r="190" spans="1:8" ht="13.5" thickBot="1">
      <c r="A190" s="610"/>
      <c r="B190" s="611"/>
      <c r="C190" s="652"/>
      <c r="D190" s="644"/>
      <c r="E190" s="644"/>
      <c r="F190" s="644"/>
      <c r="G190" s="644"/>
      <c r="H190" s="647"/>
    </row>
    <row r="191" spans="1:8" ht="15">
      <c r="A191" s="169" t="s">
        <v>82</v>
      </c>
      <c r="B191" s="37"/>
      <c r="C191" s="260">
        <f aca="true" t="shared" si="31" ref="C191:H191">C75</f>
        <v>1169587</v>
      </c>
      <c r="D191" s="260">
        <f t="shared" si="31"/>
        <v>1251208</v>
      </c>
      <c r="E191" s="260">
        <f t="shared" si="31"/>
        <v>1257785</v>
      </c>
      <c r="F191" s="260">
        <f t="shared" si="31"/>
        <v>1295115</v>
      </c>
      <c r="G191" s="260">
        <f t="shared" si="31"/>
        <v>1283557</v>
      </c>
      <c r="H191" s="260">
        <f t="shared" si="31"/>
        <v>39016.63448999999</v>
      </c>
    </row>
    <row r="192" spans="1:8" ht="15">
      <c r="A192" s="77" t="s">
        <v>83</v>
      </c>
      <c r="B192" s="7"/>
      <c r="C192" s="261">
        <f aca="true" t="shared" si="32" ref="C192:H192">C136</f>
        <v>1135927</v>
      </c>
      <c r="D192" s="261">
        <f t="shared" si="32"/>
        <v>1221486</v>
      </c>
      <c r="E192" s="261">
        <f t="shared" si="32"/>
        <v>1212702</v>
      </c>
      <c r="F192" s="261">
        <f t="shared" si="32"/>
        <v>1179400</v>
      </c>
      <c r="G192" s="261">
        <f t="shared" si="32"/>
        <v>1107173</v>
      </c>
      <c r="H192" s="261">
        <f t="shared" si="32"/>
        <v>35530.6044</v>
      </c>
    </row>
    <row r="193" spans="1:8" ht="15.75">
      <c r="A193" s="68"/>
      <c r="B193" s="32" t="s">
        <v>84</v>
      </c>
      <c r="C193" s="262">
        <f aca="true" t="shared" si="33" ref="C193:H193">C191-C192</f>
        <v>33660</v>
      </c>
      <c r="D193" s="262">
        <f t="shared" si="33"/>
        <v>29722</v>
      </c>
      <c r="E193" s="262">
        <f t="shared" si="33"/>
        <v>45083</v>
      </c>
      <c r="F193" s="262">
        <f t="shared" si="33"/>
        <v>115715</v>
      </c>
      <c r="G193" s="262">
        <f t="shared" si="33"/>
        <v>176384</v>
      </c>
      <c r="H193" s="262">
        <f t="shared" si="33"/>
        <v>3486.030089999993</v>
      </c>
    </row>
    <row r="194" spans="1:8" ht="15">
      <c r="A194" s="77" t="s">
        <v>85</v>
      </c>
      <c r="B194" s="7"/>
      <c r="C194" s="261">
        <f aca="true" t="shared" si="34" ref="C194:H194">C142</f>
        <v>0</v>
      </c>
      <c r="D194" s="261">
        <f t="shared" si="34"/>
        <v>20001</v>
      </c>
      <c r="E194" s="261">
        <f t="shared" si="34"/>
        <v>23077</v>
      </c>
      <c r="F194" s="261">
        <f t="shared" si="34"/>
        <v>25656</v>
      </c>
      <c r="G194" s="261">
        <f t="shared" si="34"/>
        <v>25656</v>
      </c>
      <c r="H194" s="261">
        <f t="shared" si="34"/>
        <v>772.9126560000001</v>
      </c>
    </row>
    <row r="195" spans="1:8" ht="15">
      <c r="A195" s="77" t="s">
        <v>86</v>
      </c>
      <c r="B195" s="7"/>
      <c r="C195" s="263">
        <f aca="true" t="shared" si="35" ref="C195:H195">C146</f>
        <v>411605</v>
      </c>
      <c r="D195" s="263">
        <f t="shared" si="35"/>
        <v>479078</v>
      </c>
      <c r="E195" s="263">
        <f t="shared" si="35"/>
        <v>305459</v>
      </c>
      <c r="F195" s="263">
        <f t="shared" si="35"/>
        <v>313305</v>
      </c>
      <c r="G195" s="263">
        <f t="shared" si="35"/>
        <v>289129</v>
      </c>
      <c r="H195" s="263">
        <f t="shared" si="35"/>
        <v>9438.62643</v>
      </c>
    </row>
    <row r="196" spans="1:8" ht="15.75">
      <c r="A196" s="68"/>
      <c r="B196" s="34" t="s">
        <v>87</v>
      </c>
      <c r="C196" s="262">
        <f aca="true" t="shared" si="36" ref="C196:H196">C194-C195</f>
        <v>-411605</v>
      </c>
      <c r="D196" s="262">
        <f t="shared" si="36"/>
        <v>-459077</v>
      </c>
      <c r="E196" s="262">
        <f t="shared" si="36"/>
        <v>-282382</v>
      </c>
      <c r="F196" s="262">
        <f t="shared" si="36"/>
        <v>-287649</v>
      </c>
      <c r="G196" s="262">
        <f t="shared" si="36"/>
        <v>-263473</v>
      </c>
      <c r="H196" s="262">
        <f t="shared" si="36"/>
        <v>-8665.713774</v>
      </c>
    </row>
    <row r="197" spans="1:8" ht="15">
      <c r="A197" s="592" t="s">
        <v>140</v>
      </c>
      <c r="B197" s="593"/>
      <c r="C197" s="264">
        <f aca="true" t="shared" si="37" ref="C197:H197">C175</f>
        <v>378476</v>
      </c>
      <c r="D197" s="264">
        <f t="shared" si="37"/>
        <v>432551</v>
      </c>
      <c r="E197" s="264">
        <f t="shared" si="37"/>
        <v>240495</v>
      </c>
      <c r="F197" s="264">
        <f t="shared" si="37"/>
        <v>175179</v>
      </c>
      <c r="G197" s="264">
        <f t="shared" si="37"/>
        <v>153845</v>
      </c>
      <c r="H197" s="264">
        <f t="shared" si="37"/>
        <v>5277.442554</v>
      </c>
    </row>
    <row r="198" spans="1:8" ht="15">
      <c r="A198" s="592" t="s">
        <v>139</v>
      </c>
      <c r="B198" s="593"/>
      <c r="C198" s="264">
        <f aca="true" t="shared" si="38" ref="C198:H198">C179</f>
        <v>531</v>
      </c>
      <c r="D198" s="264">
        <f t="shared" si="38"/>
        <v>3196</v>
      </c>
      <c r="E198" s="264">
        <f t="shared" si="38"/>
        <v>3196</v>
      </c>
      <c r="F198" s="264">
        <f t="shared" si="38"/>
        <v>3245</v>
      </c>
      <c r="G198" s="264">
        <f t="shared" si="38"/>
        <v>3241</v>
      </c>
      <c r="H198" s="264">
        <f t="shared" si="38"/>
        <v>97.75887</v>
      </c>
    </row>
    <row r="199" spans="1:8" ht="16.5" thickBot="1">
      <c r="A199" s="78"/>
      <c r="B199" s="442" t="s">
        <v>141</v>
      </c>
      <c r="C199" s="265">
        <f aca="true" t="shared" si="39" ref="C199:H199">C197-C198</f>
        <v>377945</v>
      </c>
      <c r="D199" s="265">
        <f t="shared" si="39"/>
        <v>429355</v>
      </c>
      <c r="E199" s="265">
        <f t="shared" si="39"/>
        <v>237299</v>
      </c>
      <c r="F199" s="265">
        <f t="shared" si="39"/>
        <v>171934</v>
      </c>
      <c r="G199" s="265">
        <f t="shared" si="39"/>
        <v>150604</v>
      </c>
      <c r="H199" s="265">
        <f t="shared" si="39"/>
        <v>5179.6836840000005</v>
      </c>
    </row>
    <row r="200" spans="1:8" ht="16.5" thickBot="1">
      <c r="A200" s="594" t="s">
        <v>88</v>
      </c>
      <c r="B200" s="595"/>
      <c r="C200" s="266">
        <f aca="true" t="shared" si="40" ref="C200:H200">C193+C196+C199</f>
        <v>0</v>
      </c>
      <c r="D200" s="266">
        <f t="shared" si="40"/>
        <v>0</v>
      </c>
      <c r="E200" s="266">
        <f t="shared" si="40"/>
        <v>0</v>
      </c>
      <c r="F200" s="266">
        <f t="shared" si="40"/>
        <v>0</v>
      </c>
      <c r="G200" s="266">
        <f t="shared" si="40"/>
        <v>63515</v>
      </c>
      <c r="H200" s="266">
        <f t="shared" si="40"/>
        <v>0</v>
      </c>
    </row>
    <row r="201" ht="12.75">
      <c r="H201" s="99"/>
    </row>
    <row r="202" spans="2:8" ht="12.75">
      <c r="B202" s="35" t="s">
        <v>231</v>
      </c>
      <c r="C202" s="99">
        <f aca="true" t="shared" si="41" ref="C202:H203">C191+C194+C197</f>
        <v>1548063</v>
      </c>
      <c r="D202" s="99">
        <f>D191+D194+D197</f>
        <v>1703760</v>
      </c>
      <c r="E202" s="99">
        <f t="shared" si="41"/>
        <v>1521357</v>
      </c>
      <c r="F202" s="99">
        <f>F191+F194+F197</f>
        <v>1495950</v>
      </c>
      <c r="G202" s="99">
        <f>G191+G194+G197</f>
        <v>1463058</v>
      </c>
      <c r="H202" s="99">
        <f t="shared" si="41"/>
        <v>45066.98969999999</v>
      </c>
    </row>
    <row r="203" spans="2:8" ht="12.75">
      <c r="B203" s="35" t="s">
        <v>232</v>
      </c>
      <c r="C203" s="99">
        <f t="shared" si="41"/>
        <v>1548063</v>
      </c>
      <c r="D203" s="99">
        <f>D192+D195+D198</f>
        <v>1703760</v>
      </c>
      <c r="E203" s="99">
        <f t="shared" si="41"/>
        <v>1521357</v>
      </c>
      <c r="F203" s="99">
        <f>F192+F195+F198</f>
        <v>1495950</v>
      </c>
      <c r="G203" s="99">
        <f>G192+G195+G198</f>
        <v>1399543</v>
      </c>
      <c r="H203" s="99">
        <f t="shared" si="41"/>
        <v>45066.9897</v>
      </c>
    </row>
    <row r="204" spans="2:8" ht="12.75">
      <c r="B204" s="35"/>
      <c r="C204" s="99"/>
      <c r="D204" s="99"/>
      <c r="E204" s="99"/>
      <c r="F204" s="99"/>
      <c r="G204" s="99"/>
      <c r="H204" s="99"/>
    </row>
    <row r="205" spans="2:8" ht="12.75">
      <c r="B205" s="35" t="s">
        <v>155</v>
      </c>
      <c r="C205" s="99">
        <f aca="true" t="shared" si="42" ref="C205:H205">C202-C74</f>
        <v>1545441</v>
      </c>
      <c r="D205" s="99">
        <f t="shared" si="42"/>
        <v>1701127</v>
      </c>
      <c r="E205" s="99">
        <f t="shared" si="42"/>
        <v>1518624</v>
      </c>
      <c r="F205" s="99">
        <f t="shared" si="42"/>
        <v>1492961</v>
      </c>
      <c r="G205" s="99">
        <f t="shared" si="42"/>
        <v>1460069</v>
      </c>
      <c r="H205" s="99">
        <f t="shared" si="42"/>
        <v>44976.94308599999</v>
      </c>
    </row>
    <row r="206" spans="2:10" ht="12.75">
      <c r="B206" s="35" t="s">
        <v>160</v>
      </c>
      <c r="C206" s="99">
        <f aca="true" t="shared" si="43" ref="C206:H206">C203-C135</f>
        <v>1236805</v>
      </c>
      <c r="D206" s="99">
        <f t="shared" si="43"/>
        <v>1371117</v>
      </c>
      <c r="E206" s="99">
        <f t="shared" si="43"/>
        <v>1185484</v>
      </c>
      <c r="F206" s="99">
        <f t="shared" si="43"/>
        <v>1169786</v>
      </c>
      <c r="G206" s="99">
        <f t="shared" si="43"/>
        <v>1073379</v>
      </c>
      <c r="H206" s="99">
        <f t="shared" si="43"/>
        <v>35240.973035999996</v>
      </c>
      <c r="J206" s="99"/>
    </row>
  </sheetData>
  <sheetProtection/>
  <mergeCells count="61">
    <mergeCell ref="A5:H5"/>
    <mergeCell ref="A9:H9"/>
    <mergeCell ref="A1:H1"/>
    <mergeCell ref="A2:H2"/>
    <mergeCell ref="A3:H3"/>
    <mergeCell ref="A4:H4"/>
    <mergeCell ref="A40:B40"/>
    <mergeCell ref="A42:B42"/>
    <mergeCell ref="A10:B11"/>
    <mergeCell ref="C10:C11"/>
    <mergeCell ref="H10:H11"/>
    <mergeCell ref="A6:H6"/>
    <mergeCell ref="A12:B12"/>
    <mergeCell ref="A21:B21"/>
    <mergeCell ref="D10:D11"/>
    <mergeCell ref="E10:E11"/>
    <mergeCell ref="F10:F11"/>
    <mergeCell ref="G10:G11"/>
    <mergeCell ref="A139:H139"/>
    <mergeCell ref="A140:B141"/>
    <mergeCell ref="A77:H77"/>
    <mergeCell ref="A78:B79"/>
    <mergeCell ref="C78:C79"/>
    <mergeCell ref="D78:D79"/>
    <mergeCell ref="E78:E79"/>
    <mergeCell ref="F78:F79"/>
    <mergeCell ref="G78:G79"/>
    <mergeCell ref="H78:H79"/>
    <mergeCell ref="A85:B85"/>
    <mergeCell ref="A87:B87"/>
    <mergeCell ref="A115:B115"/>
    <mergeCell ref="A135:B135"/>
    <mergeCell ref="H140:H141"/>
    <mergeCell ref="F173:F174"/>
    <mergeCell ref="G173:G174"/>
    <mergeCell ref="H173:H174"/>
    <mergeCell ref="A146:B146"/>
    <mergeCell ref="G140:G141"/>
    <mergeCell ref="F189:F190"/>
    <mergeCell ref="G189:G190"/>
    <mergeCell ref="C189:C190"/>
    <mergeCell ref="C140:C141"/>
    <mergeCell ref="D140:D141"/>
    <mergeCell ref="E140:E141"/>
    <mergeCell ref="C173:C174"/>
    <mergeCell ref="D173:D174"/>
    <mergeCell ref="E173:E174"/>
    <mergeCell ref="A172:H172"/>
    <mergeCell ref="A173:B174"/>
    <mergeCell ref="F140:F141"/>
    <mergeCell ref="A142:B142"/>
    <mergeCell ref="A197:B197"/>
    <mergeCell ref="A198:B198"/>
    <mergeCell ref="A200:B200"/>
    <mergeCell ref="A175:B175"/>
    <mergeCell ref="A179:B179"/>
    <mergeCell ref="A188:H188"/>
    <mergeCell ref="A189:B190"/>
    <mergeCell ref="D189:D190"/>
    <mergeCell ref="E189:E190"/>
    <mergeCell ref="H189:H19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00390625" style="0" customWidth="1"/>
    <col min="2" max="2" width="46.75390625" style="0" customWidth="1"/>
    <col min="3" max="6" width="11.75390625" style="0" customWidth="1"/>
    <col min="7" max="7" width="11.00390625" style="0" customWidth="1"/>
    <col min="8" max="12" width="10.75390625" style="0" customWidth="1"/>
  </cols>
  <sheetData>
    <row r="1" spans="1:10" ht="20.25">
      <c r="A1" s="634" t="s">
        <v>172</v>
      </c>
      <c r="B1" s="634"/>
      <c r="C1" s="634"/>
      <c r="D1" s="634"/>
      <c r="E1" s="634"/>
      <c r="F1" s="634"/>
      <c r="G1" s="634"/>
      <c r="H1" s="1"/>
      <c r="I1" s="1"/>
      <c r="J1" s="1"/>
    </row>
    <row r="2" spans="1:12" ht="15.75">
      <c r="A2" s="635"/>
      <c r="B2" s="635"/>
      <c r="C2" s="635"/>
      <c r="D2" s="635"/>
      <c r="E2" s="635"/>
      <c r="F2" s="635"/>
      <c r="G2" s="635"/>
      <c r="H2" s="2"/>
      <c r="I2" s="2"/>
      <c r="J2" s="2"/>
      <c r="K2" s="2"/>
      <c r="L2" s="2"/>
    </row>
    <row r="3" spans="1:12" ht="15.75">
      <c r="A3" s="637" t="s">
        <v>204</v>
      </c>
      <c r="B3" s="637"/>
      <c r="C3" s="637"/>
      <c r="D3" s="637"/>
      <c r="E3" s="637"/>
      <c r="F3" s="637"/>
      <c r="G3" s="637"/>
      <c r="H3" s="135"/>
      <c r="I3" s="135"/>
      <c r="J3" s="2"/>
      <c r="K3" s="2"/>
      <c r="L3" s="2"/>
    </row>
    <row r="4" spans="1:12" ht="14.25" customHeight="1">
      <c r="A4" s="637" t="s">
        <v>221</v>
      </c>
      <c r="B4" s="637"/>
      <c r="C4" s="637"/>
      <c r="D4" s="637"/>
      <c r="E4" s="637"/>
      <c r="F4" s="637"/>
      <c r="G4" s="637"/>
      <c r="H4" s="135"/>
      <c r="I4" s="135"/>
      <c r="J4" s="2"/>
      <c r="K4" s="2"/>
      <c r="L4" s="2"/>
    </row>
    <row r="5" spans="1:12" ht="14.25" customHeight="1">
      <c r="A5" s="637" t="s">
        <v>244</v>
      </c>
      <c r="B5" s="637"/>
      <c r="C5" s="637"/>
      <c r="D5" s="637"/>
      <c r="E5" s="637"/>
      <c r="F5" s="637"/>
      <c r="G5" s="637"/>
      <c r="H5" s="135"/>
      <c r="I5" s="135"/>
      <c r="J5" s="2"/>
      <c r="K5" s="2"/>
      <c r="L5" s="2"/>
    </row>
    <row r="6" spans="1:12" ht="15.75">
      <c r="A6" s="380" t="s">
        <v>175</v>
      </c>
      <c r="B6" s="135"/>
      <c r="C6" s="135"/>
      <c r="D6" s="135"/>
      <c r="E6" s="135"/>
      <c r="F6" s="135"/>
      <c r="G6" s="135"/>
      <c r="H6" s="135"/>
      <c r="I6" s="135"/>
      <c r="J6" s="135"/>
      <c r="K6" s="2"/>
      <c r="L6" s="2"/>
    </row>
    <row r="7" spans="7:12" ht="15.75">
      <c r="G7" s="381">
        <v>30.126</v>
      </c>
      <c r="H7" s="19"/>
      <c r="I7" s="19"/>
      <c r="J7" s="19"/>
      <c r="K7" s="2"/>
      <c r="L7" s="2"/>
    </row>
    <row r="8" spans="1:10" ht="18.75" thickBot="1">
      <c r="A8" s="632" t="s">
        <v>1</v>
      </c>
      <c r="B8" s="633"/>
      <c r="C8" s="633"/>
      <c r="D8" s="633"/>
      <c r="E8" s="633"/>
      <c r="F8" s="633"/>
      <c r="G8" s="633"/>
      <c r="H8" s="93"/>
      <c r="I8" s="93"/>
      <c r="J8" s="93"/>
    </row>
    <row r="9" spans="1:12" ht="23.25" customHeight="1">
      <c r="A9" s="608" t="s">
        <v>2</v>
      </c>
      <c r="B9" s="609"/>
      <c r="C9" s="598" t="s">
        <v>205</v>
      </c>
      <c r="D9" s="643" t="s">
        <v>233</v>
      </c>
      <c r="E9" s="643" t="s">
        <v>234</v>
      </c>
      <c r="F9" s="643" t="s">
        <v>242</v>
      </c>
      <c r="G9" s="646" t="s">
        <v>207</v>
      </c>
      <c r="K9" s="3"/>
      <c r="L9" s="3"/>
    </row>
    <row r="10" spans="1:7" ht="12.75" customHeight="1" thickBot="1">
      <c r="A10" s="628"/>
      <c r="B10" s="629"/>
      <c r="C10" s="612"/>
      <c r="D10" s="644"/>
      <c r="E10" s="644"/>
      <c r="F10" s="644"/>
      <c r="G10" s="647"/>
    </row>
    <row r="11" spans="1:7" ht="13.5" thickBot="1">
      <c r="A11" s="630" t="s">
        <v>3</v>
      </c>
      <c r="B11" s="631"/>
      <c r="C11" s="326">
        <f>SUM(C12:C19)</f>
        <v>720640</v>
      </c>
      <c r="D11" s="326">
        <f>SUM(D12:D19)</f>
        <v>720649</v>
      </c>
      <c r="E11" s="326">
        <f>SUM(E12:E19)</f>
        <v>720649</v>
      </c>
      <c r="F11" s="326">
        <f>SUM(F12:F19)</f>
        <v>551998</v>
      </c>
      <c r="G11" s="326">
        <f>SUM(G12:G19)</f>
        <v>21710.271774000004</v>
      </c>
    </row>
    <row r="12" spans="1:7" ht="13.5" thickBot="1">
      <c r="A12" s="46">
        <v>111</v>
      </c>
      <c r="B12" s="46" t="s">
        <v>4</v>
      </c>
      <c r="C12" s="332">
        <v>680475</v>
      </c>
      <c r="D12" s="332">
        <v>680475</v>
      </c>
      <c r="E12" s="332">
        <v>680475</v>
      </c>
      <c r="F12" s="387">
        <v>519042</v>
      </c>
      <c r="G12" s="312">
        <f>E12*$G$7/1000</f>
        <v>20499.98985</v>
      </c>
    </row>
    <row r="13" spans="1:7" ht="12.75">
      <c r="A13" s="36">
        <v>121</v>
      </c>
      <c r="B13" s="37" t="s">
        <v>92</v>
      </c>
      <c r="C13" s="292">
        <v>13211</v>
      </c>
      <c r="D13" s="292">
        <v>13211</v>
      </c>
      <c r="E13" s="292">
        <v>13211</v>
      </c>
      <c r="F13" s="292">
        <v>9197</v>
      </c>
      <c r="G13" s="312">
        <f aca="true" t="shared" si="0" ref="G13:G19">E13*$G$7/1000</f>
        <v>397.994586</v>
      </c>
    </row>
    <row r="14" spans="1:7" ht="12.75">
      <c r="A14" s="6">
        <v>121</v>
      </c>
      <c r="B14" s="7" t="s">
        <v>93</v>
      </c>
      <c r="C14" s="288">
        <v>12879</v>
      </c>
      <c r="D14" s="288">
        <v>12879</v>
      </c>
      <c r="E14" s="288">
        <v>12879</v>
      </c>
      <c r="F14" s="288">
        <v>10764</v>
      </c>
      <c r="G14" s="312">
        <f t="shared" si="0"/>
        <v>387.992754</v>
      </c>
    </row>
    <row r="15" spans="1:8" ht="13.5" thickBot="1">
      <c r="A15" s="38">
        <v>121</v>
      </c>
      <c r="B15" s="39" t="s">
        <v>5</v>
      </c>
      <c r="C15" s="297">
        <v>66</v>
      </c>
      <c r="D15" s="344">
        <v>75</v>
      </c>
      <c r="E15" s="385">
        <v>75</v>
      </c>
      <c r="F15" s="385">
        <v>71</v>
      </c>
      <c r="G15" s="386">
        <f t="shared" si="0"/>
        <v>2.25945</v>
      </c>
      <c r="H15" s="92"/>
    </row>
    <row r="16" spans="1:7" ht="12.75">
      <c r="A16" s="36">
        <v>133</v>
      </c>
      <c r="B16" s="37" t="s">
        <v>6</v>
      </c>
      <c r="C16" s="292">
        <v>498</v>
      </c>
      <c r="D16" s="292">
        <v>498</v>
      </c>
      <c r="E16" s="292">
        <v>498</v>
      </c>
      <c r="F16" s="292">
        <v>480</v>
      </c>
      <c r="G16" s="293">
        <f t="shared" si="0"/>
        <v>15.002748000000002</v>
      </c>
    </row>
    <row r="17" spans="1:7" ht="12.75">
      <c r="A17" s="6">
        <v>133</v>
      </c>
      <c r="B17" s="7" t="s">
        <v>7</v>
      </c>
      <c r="C17" s="288">
        <v>232</v>
      </c>
      <c r="D17" s="288">
        <v>232</v>
      </c>
      <c r="E17" s="288">
        <v>232</v>
      </c>
      <c r="F17" s="288">
        <v>199</v>
      </c>
      <c r="G17" s="312">
        <f t="shared" si="0"/>
        <v>6.989232</v>
      </c>
    </row>
    <row r="18" spans="1:7" ht="12.75">
      <c r="A18" s="6">
        <v>133</v>
      </c>
      <c r="B18" s="7" t="s">
        <v>8</v>
      </c>
      <c r="C18" s="288">
        <v>1660</v>
      </c>
      <c r="D18" s="288">
        <v>1660</v>
      </c>
      <c r="E18" s="288">
        <v>1660</v>
      </c>
      <c r="F18" s="288">
        <v>1544</v>
      </c>
      <c r="G18" s="312">
        <f t="shared" si="0"/>
        <v>50.00916</v>
      </c>
    </row>
    <row r="19" spans="1:8" ht="13.5" thickBot="1">
      <c r="A19" s="38">
        <v>133</v>
      </c>
      <c r="B19" s="39" t="s">
        <v>9</v>
      </c>
      <c r="C19" s="297">
        <v>11619</v>
      </c>
      <c r="D19" s="297">
        <v>11619</v>
      </c>
      <c r="E19" s="297">
        <v>11619</v>
      </c>
      <c r="F19" s="308">
        <v>10701</v>
      </c>
      <c r="G19" s="312">
        <f t="shared" si="0"/>
        <v>350.033994</v>
      </c>
      <c r="H19" s="92"/>
    </row>
    <row r="20" spans="1:7" ht="13.5" thickBot="1">
      <c r="A20" s="630" t="s">
        <v>10</v>
      </c>
      <c r="B20" s="631"/>
      <c r="C20" s="326">
        <f>SUM(C21:C38)</f>
        <v>82108</v>
      </c>
      <c r="D20" s="326">
        <f>SUM(D21:D38)</f>
        <v>94502</v>
      </c>
      <c r="E20" s="326">
        <f>SUM(E21:E38)</f>
        <v>94283</v>
      </c>
      <c r="F20" s="326">
        <f>SUM(F21:F38)</f>
        <v>62206</v>
      </c>
      <c r="G20" s="326">
        <f>SUM(G21:G38)</f>
        <v>2840.3696579999996</v>
      </c>
    </row>
    <row r="21" spans="1:7" ht="12.75">
      <c r="A21" s="91">
        <v>212</v>
      </c>
      <c r="B21" s="66" t="s">
        <v>11</v>
      </c>
      <c r="C21" s="310">
        <v>816</v>
      </c>
      <c r="D21" s="359">
        <v>816</v>
      </c>
      <c r="E21" s="359">
        <v>816</v>
      </c>
      <c r="F21" s="383">
        <v>643</v>
      </c>
      <c r="G21" s="288">
        <f>E21*$G$7/1000</f>
        <v>24.582816</v>
      </c>
    </row>
    <row r="22" spans="1:7" ht="12.75">
      <c r="A22" s="36">
        <v>212</v>
      </c>
      <c r="B22" s="37" t="s">
        <v>148</v>
      </c>
      <c r="C22" s="292">
        <v>1660</v>
      </c>
      <c r="D22" s="345">
        <v>4300</v>
      </c>
      <c r="E22" s="383">
        <v>4300</v>
      </c>
      <c r="F22" s="383">
        <v>2224</v>
      </c>
      <c r="G22" s="288">
        <f aca="true" t="shared" si="1" ref="G22:G38">E22*$G$7/1000</f>
        <v>129.5418</v>
      </c>
    </row>
    <row r="23" spans="1:7" ht="12.75">
      <c r="A23" s="6">
        <v>212</v>
      </c>
      <c r="B23" s="7" t="s">
        <v>12</v>
      </c>
      <c r="C23" s="288">
        <v>3787</v>
      </c>
      <c r="D23" s="360">
        <v>3787</v>
      </c>
      <c r="E23" s="360">
        <v>3787</v>
      </c>
      <c r="F23" s="360">
        <v>2545</v>
      </c>
      <c r="G23" s="288">
        <f t="shared" si="1"/>
        <v>114.087162</v>
      </c>
    </row>
    <row r="24" spans="1:8" ht="12.75">
      <c r="A24" s="6">
        <v>212</v>
      </c>
      <c r="B24" s="7" t="s">
        <v>13</v>
      </c>
      <c r="C24" s="288">
        <v>10354</v>
      </c>
      <c r="D24" s="360">
        <v>10354</v>
      </c>
      <c r="E24" s="360">
        <v>10354</v>
      </c>
      <c r="F24" s="360">
        <v>7779</v>
      </c>
      <c r="G24" s="288">
        <f t="shared" si="1"/>
        <v>311.924604</v>
      </c>
      <c r="H24" s="92"/>
    </row>
    <row r="25" spans="1:9" ht="13.5" thickBot="1">
      <c r="A25" s="45">
        <v>212</v>
      </c>
      <c r="B25" s="44" t="s">
        <v>171</v>
      </c>
      <c r="C25" s="328">
        <v>33</v>
      </c>
      <c r="D25" s="328">
        <v>33</v>
      </c>
      <c r="E25" s="328">
        <v>33</v>
      </c>
      <c r="F25" s="297">
        <v>3</v>
      </c>
      <c r="G25" s="297">
        <f t="shared" si="1"/>
        <v>0.994158</v>
      </c>
      <c r="H25" s="357">
        <f>SUM(E21:E25)</f>
        <v>19290</v>
      </c>
      <c r="I25" s="357">
        <f>SUM(F21:F25)</f>
        <v>13194</v>
      </c>
    </row>
    <row r="26" spans="1:7" ht="13.5" thickBot="1">
      <c r="A26" s="40">
        <v>221</v>
      </c>
      <c r="B26" s="41" t="s">
        <v>14</v>
      </c>
      <c r="C26" s="331">
        <v>9958</v>
      </c>
      <c r="D26" s="331">
        <v>9958</v>
      </c>
      <c r="E26" s="331">
        <v>9958</v>
      </c>
      <c r="F26" s="331">
        <v>2312</v>
      </c>
      <c r="G26" s="292">
        <f t="shared" si="1"/>
        <v>299.994708</v>
      </c>
    </row>
    <row r="27" spans="1:7" ht="13.5" thickBot="1">
      <c r="A27" s="40">
        <v>222</v>
      </c>
      <c r="B27" s="41" t="s">
        <v>149</v>
      </c>
      <c r="C27" s="331">
        <v>33</v>
      </c>
      <c r="D27" s="347">
        <v>100</v>
      </c>
      <c r="E27" s="388">
        <v>100</v>
      </c>
      <c r="F27" s="389">
        <v>70</v>
      </c>
      <c r="G27" s="297">
        <f t="shared" si="1"/>
        <v>3.0126</v>
      </c>
    </row>
    <row r="28" spans="1:7" ht="12.75">
      <c r="A28" s="36">
        <v>223</v>
      </c>
      <c r="B28" s="37" t="s">
        <v>189</v>
      </c>
      <c r="C28" s="292">
        <v>996</v>
      </c>
      <c r="D28" s="292">
        <v>996</v>
      </c>
      <c r="E28" s="292">
        <v>996</v>
      </c>
      <c r="F28" s="292">
        <f>331+89+52</f>
        <v>472</v>
      </c>
      <c r="G28" s="292">
        <f t="shared" si="1"/>
        <v>30.005496000000004</v>
      </c>
    </row>
    <row r="29" spans="1:7" ht="12.75">
      <c r="A29" s="6">
        <v>223</v>
      </c>
      <c r="B29" s="7" t="s">
        <v>16</v>
      </c>
      <c r="C29" s="288">
        <v>664</v>
      </c>
      <c r="D29" s="288">
        <v>664</v>
      </c>
      <c r="E29" s="288">
        <v>664</v>
      </c>
      <c r="F29" s="288">
        <v>557</v>
      </c>
      <c r="G29" s="288">
        <f t="shared" si="1"/>
        <v>20.003664</v>
      </c>
    </row>
    <row r="30" spans="1:7" ht="12.75">
      <c r="A30" s="6">
        <v>223</v>
      </c>
      <c r="B30" s="7" t="s">
        <v>94</v>
      </c>
      <c r="C30" s="288">
        <v>1029</v>
      </c>
      <c r="D30" s="333">
        <v>1500</v>
      </c>
      <c r="E30" s="294">
        <v>1500</v>
      </c>
      <c r="F30" s="294">
        <v>600</v>
      </c>
      <c r="G30" s="288">
        <f t="shared" si="1"/>
        <v>45.189</v>
      </c>
    </row>
    <row r="31" spans="1:7" ht="12.75">
      <c r="A31" s="6">
        <v>223</v>
      </c>
      <c r="B31" s="7" t="s">
        <v>17</v>
      </c>
      <c r="C31" s="288">
        <v>8298</v>
      </c>
      <c r="D31" s="288">
        <v>8298</v>
      </c>
      <c r="E31" s="288">
        <v>8298</v>
      </c>
      <c r="F31" s="288">
        <v>5059</v>
      </c>
      <c r="G31" s="288">
        <f t="shared" si="1"/>
        <v>249.98554800000002</v>
      </c>
    </row>
    <row r="32" spans="1:7" ht="12.75">
      <c r="A32" s="6">
        <v>223</v>
      </c>
      <c r="B32" s="7" t="s">
        <v>168</v>
      </c>
      <c r="C32" s="288">
        <v>8298</v>
      </c>
      <c r="D32" s="346">
        <v>14990</v>
      </c>
      <c r="E32" s="346">
        <v>12903</v>
      </c>
      <c r="F32" s="360">
        <v>12432</v>
      </c>
      <c r="G32" s="288">
        <f t="shared" si="1"/>
        <v>388.715778</v>
      </c>
    </row>
    <row r="33" spans="1:7" ht="12.75">
      <c r="A33" s="6">
        <v>223</v>
      </c>
      <c r="B33" s="7" t="s">
        <v>95</v>
      </c>
      <c r="C33" s="288">
        <v>1660</v>
      </c>
      <c r="D33" s="288">
        <v>1660</v>
      </c>
      <c r="E33" s="288">
        <v>1660</v>
      </c>
      <c r="F33" s="288">
        <v>1103</v>
      </c>
      <c r="G33" s="288">
        <f t="shared" si="1"/>
        <v>50.00916</v>
      </c>
    </row>
    <row r="34" spans="1:7" ht="12.75">
      <c r="A34" s="6">
        <v>223</v>
      </c>
      <c r="B34" s="7" t="s">
        <v>188</v>
      </c>
      <c r="C34" s="288">
        <v>15601</v>
      </c>
      <c r="D34" s="346">
        <v>18125</v>
      </c>
      <c r="E34" s="333">
        <f>18125+1868</f>
        <v>19993</v>
      </c>
      <c r="F34" s="360">
        <v>15419</v>
      </c>
      <c r="G34" s="288">
        <f t="shared" si="1"/>
        <v>602.309118</v>
      </c>
    </row>
    <row r="35" spans="1:7" ht="12.75">
      <c r="A35" s="6">
        <v>223</v>
      </c>
      <c r="B35" s="7" t="s">
        <v>96</v>
      </c>
      <c r="C35" s="288">
        <v>5311</v>
      </c>
      <c r="D35" s="288">
        <v>5311</v>
      </c>
      <c r="E35" s="288">
        <v>5311</v>
      </c>
      <c r="F35" s="288">
        <v>3011</v>
      </c>
      <c r="G35" s="288">
        <f t="shared" si="1"/>
        <v>159.999186</v>
      </c>
    </row>
    <row r="36" spans="1:7" ht="12.75">
      <c r="A36" s="6">
        <v>223</v>
      </c>
      <c r="B36" s="7" t="s">
        <v>97</v>
      </c>
      <c r="C36" s="288">
        <v>1660</v>
      </c>
      <c r="D36" s="288">
        <v>1660</v>
      </c>
      <c r="E36" s="288">
        <v>1660</v>
      </c>
      <c r="F36" s="288">
        <v>699</v>
      </c>
      <c r="G36" s="288">
        <f t="shared" si="1"/>
        <v>50.00916</v>
      </c>
    </row>
    <row r="37" spans="1:7" ht="12.75">
      <c r="A37" s="6">
        <v>223</v>
      </c>
      <c r="B37" s="7" t="s">
        <v>98</v>
      </c>
      <c r="C37" s="288">
        <v>11618</v>
      </c>
      <c r="D37" s="288">
        <v>11618</v>
      </c>
      <c r="E37" s="288">
        <v>11618</v>
      </c>
      <c r="F37" s="288">
        <v>7248</v>
      </c>
      <c r="G37" s="288">
        <f t="shared" si="1"/>
        <v>350.003868</v>
      </c>
    </row>
    <row r="38" spans="1:9" ht="13.5" thickBot="1">
      <c r="A38" s="38">
        <v>223</v>
      </c>
      <c r="B38" s="39" t="s">
        <v>18</v>
      </c>
      <c r="C38" s="297">
        <v>332</v>
      </c>
      <c r="D38" s="297">
        <v>332</v>
      </c>
      <c r="E38" s="297">
        <v>332</v>
      </c>
      <c r="F38" s="308">
        <v>30</v>
      </c>
      <c r="G38" s="288">
        <f t="shared" si="1"/>
        <v>10.001832</v>
      </c>
      <c r="H38" s="357">
        <f>SUM(E28:E38)</f>
        <v>64935</v>
      </c>
      <c r="I38" s="357">
        <f>SUM(F28:F38)</f>
        <v>46630</v>
      </c>
    </row>
    <row r="39" spans="1:7" ht="13.5" thickBot="1">
      <c r="A39" s="630" t="s">
        <v>19</v>
      </c>
      <c r="B39" s="631"/>
      <c r="C39" s="326">
        <f>C40</f>
        <v>6639</v>
      </c>
      <c r="D39" s="326">
        <f>D40</f>
        <v>6639</v>
      </c>
      <c r="E39" s="326">
        <f>E40</f>
        <v>6639</v>
      </c>
      <c r="F39" s="326">
        <f>F40</f>
        <v>3080</v>
      </c>
      <c r="G39" s="326">
        <f>G40</f>
        <v>200.00651399999998</v>
      </c>
    </row>
    <row r="40" spans="1:7" ht="13.5" thickBot="1">
      <c r="A40" s="44">
        <v>240</v>
      </c>
      <c r="B40" s="44" t="s">
        <v>20</v>
      </c>
      <c r="C40" s="328">
        <v>6639</v>
      </c>
      <c r="D40" s="328">
        <v>6639</v>
      </c>
      <c r="E40" s="328">
        <v>6639</v>
      </c>
      <c r="F40" s="328">
        <v>3080</v>
      </c>
      <c r="G40" s="328">
        <f>E40*$G$7/1000</f>
        <v>200.00651399999998</v>
      </c>
    </row>
    <row r="41" spans="1:7" ht="13.5" thickBot="1">
      <c r="A41" s="630" t="s">
        <v>15</v>
      </c>
      <c r="B41" s="631"/>
      <c r="C41" s="326">
        <f>SUM(C42:C53)</f>
        <v>29257</v>
      </c>
      <c r="D41" s="326">
        <f>SUM(D42:D53)</f>
        <v>40456</v>
      </c>
      <c r="E41" s="326">
        <f>SUM(E42:E53)</f>
        <v>38558</v>
      </c>
      <c r="F41" s="326">
        <f>SUM(F42:F53)</f>
        <v>31775</v>
      </c>
      <c r="G41" s="326">
        <f>SUM(G42:G53)</f>
        <v>1161.598308</v>
      </c>
    </row>
    <row r="42" spans="1:8" ht="12.75">
      <c r="A42" s="42">
        <v>292</v>
      </c>
      <c r="B42" s="43" t="s">
        <v>164</v>
      </c>
      <c r="C42" s="293">
        <v>663</v>
      </c>
      <c r="D42" s="293">
        <v>663</v>
      </c>
      <c r="E42" s="293">
        <v>663</v>
      </c>
      <c r="F42" s="293">
        <v>0</v>
      </c>
      <c r="G42" s="288">
        <f aca="true" t="shared" si="2" ref="G42:G72">E42*$G$7/1000</f>
        <v>19.973538</v>
      </c>
      <c r="H42" s="19"/>
    </row>
    <row r="43" spans="1:7" ht="12.75">
      <c r="A43" s="42">
        <v>292</v>
      </c>
      <c r="B43" s="43" t="s">
        <v>103</v>
      </c>
      <c r="C43" s="293">
        <v>199</v>
      </c>
      <c r="D43" s="339">
        <v>220</v>
      </c>
      <c r="E43" s="339">
        <v>400</v>
      </c>
      <c r="F43" s="293">
        <v>369</v>
      </c>
      <c r="G43" s="288">
        <f t="shared" si="2"/>
        <v>12.0504</v>
      </c>
    </row>
    <row r="44" spans="1:7" ht="12.75">
      <c r="A44" s="8">
        <v>292</v>
      </c>
      <c r="B44" s="9" t="s">
        <v>169</v>
      </c>
      <c r="C44" s="312">
        <v>1162</v>
      </c>
      <c r="D44" s="336">
        <v>5210</v>
      </c>
      <c r="E44" s="336">
        <v>5950</v>
      </c>
      <c r="F44" s="312">
        <f>5210+737</f>
        <v>5947</v>
      </c>
      <c r="G44" s="288">
        <f t="shared" si="2"/>
        <v>179.24970000000002</v>
      </c>
    </row>
    <row r="45" spans="1:7" ht="12.75">
      <c r="A45" s="8">
        <v>292</v>
      </c>
      <c r="B45" s="7" t="s">
        <v>100</v>
      </c>
      <c r="C45" s="329">
        <v>133</v>
      </c>
      <c r="D45" s="349">
        <v>140</v>
      </c>
      <c r="E45" s="390">
        <v>140</v>
      </c>
      <c r="F45" s="390">
        <v>70</v>
      </c>
      <c r="G45" s="288">
        <f t="shared" si="2"/>
        <v>4.21764</v>
      </c>
    </row>
    <row r="46" spans="1:7" ht="12.75">
      <c r="A46" s="8">
        <v>292</v>
      </c>
      <c r="B46" s="9" t="s">
        <v>176</v>
      </c>
      <c r="C46" s="312">
        <v>6307</v>
      </c>
      <c r="D46" s="312">
        <v>6307</v>
      </c>
      <c r="E46" s="312">
        <v>6307</v>
      </c>
      <c r="F46" s="312">
        <f>1765+2807</f>
        <v>4572</v>
      </c>
      <c r="G46" s="288">
        <f t="shared" si="2"/>
        <v>190.004682</v>
      </c>
    </row>
    <row r="47" spans="1:7" ht="12.75">
      <c r="A47" s="8">
        <v>292</v>
      </c>
      <c r="B47" s="9" t="s">
        <v>150</v>
      </c>
      <c r="C47" s="312">
        <v>498</v>
      </c>
      <c r="D47" s="312">
        <v>498</v>
      </c>
      <c r="E47" s="312">
        <v>498</v>
      </c>
      <c r="F47" s="312">
        <v>199</v>
      </c>
      <c r="G47" s="288">
        <f t="shared" si="2"/>
        <v>15.002748000000002</v>
      </c>
    </row>
    <row r="48" spans="1:7" ht="12.75">
      <c r="A48" s="8">
        <v>292</v>
      </c>
      <c r="B48" s="9" t="s">
        <v>153</v>
      </c>
      <c r="C48" s="312">
        <v>166</v>
      </c>
      <c r="D48" s="336">
        <f>166+300+200</f>
        <v>666</v>
      </c>
      <c r="E48" s="312">
        <f>166+300+200</f>
        <v>666</v>
      </c>
      <c r="F48" s="312">
        <v>666</v>
      </c>
      <c r="G48" s="288">
        <f t="shared" si="2"/>
        <v>20.063916000000003</v>
      </c>
    </row>
    <row r="49" spans="1:7" ht="12.75">
      <c r="A49" s="8">
        <v>292</v>
      </c>
      <c r="B49" s="7" t="s">
        <v>104</v>
      </c>
      <c r="C49" s="329">
        <v>19000</v>
      </c>
      <c r="D49" s="349">
        <v>23620</v>
      </c>
      <c r="E49" s="396">
        <f>23620-3420+14</f>
        <v>20214</v>
      </c>
      <c r="F49" s="390">
        <v>17440</v>
      </c>
      <c r="G49" s="288">
        <f t="shared" si="2"/>
        <v>608.9669640000001</v>
      </c>
    </row>
    <row r="50" spans="1:7" ht="12.75">
      <c r="A50" s="8">
        <v>292</v>
      </c>
      <c r="B50" s="7" t="s">
        <v>101</v>
      </c>
      <c r="C50" s="329">
        <v>664</v>
      </c>
      <c r="D50" s="349">
        <v>2000</v>
      </c>
      <c r="E50" s="390">
        <v>2000</v>
      </c>
      <c r="F50" s="390">
        <v>1708</v>
      </c>
      <c r="G50" s="288">
        <f t="shared" si="2"/>
        <v>60.252</v>
      </c>
    </row>
    <row r="51" spans="1:7" ht="12.75">
      <c r="A51" s="8">
        <v>292</v>
      </c>
      <c r="B51" s="7" t="s">
        <v>216</v>
      </c>
      <c r="C51" s="329">
        <v>332</v>
      </c>
      <c r="D51" s="329">
        <v>332</v>
      </c>
      <c r="E51" s="396">
        <v>0</v>
      </c>
      <c r="F51" s="390">
        <v>0</v>
      </c>
      <c r="G51" s="288">
        <f t="shared" si="2"/>
        <v>0</v>
      </c>
    </row>
    <row r="52" spans="1:7" ht="12.75">
      <c r="A52" s="8">
        <v>292</v>
      </c>
      <c r="B52" s="7" t="s">
        <v>102</v>
      </c>
      <c r="C52" s="329">
        <v>100</v>
      </c>
      <c r="D52" s="329">
        <v>100</v>
      </c>
      <c r="E52" s="396">
        <v>120</v>
      </c>
      <c r="F52" s="390">
        <v>113</v>
      </c>
      <c r="G52" s="288">
        <f t="shared" si="2"/>
        <v>3.6151200000000006</v>
      </c>
    </row>
    <row r="53" spans="1:7" ht="13.5" thickBot="1">
      <c r="A53" s="94">
        <v>292</v>
      </c>
      <c r="B53" s="44" t="s">
        <v>154</v>
      </c>
      <c r="C53" s="330">
        <v>33</v>
      </c>
      <c r="D53" s="350">
        <v>700</v>
      </c>
      <c r="E53" s="407">
        <v>1600</v>
      </c>
      <c r="F53" s="391">
        <v>691</v>
      </c>
      <c r="G53" s="288">
        <f t="shared" si="2"/>
        <v>48.2016</v>
      </c>
    </row>
    <row r="54" spans="1:7" ht="15" customHeight="1" thickBot="1">
      <c r="A54" s="80" t="s">
        <v>21</v>
      </c>
      <c r="B54" s="81"/>
      <c r="C54" s="318">
        <f>SUM(C55:C70)</f>
        <v>328321</v>
      </c>
      <c r="D54" s="318">
        <f>SUM(D55:D70)</f>
        <v>386329</v>
      </c>
      <c r="E54" s="318">
        <f>SUM(E55:E70)</f>
        <v>394923</v>
      </c>
      <c r="F54" s="318">
        <f>SUM(F55:F70)</f>
        <v>305236</v>
      </c>
      <c r="G54" s="319">
        <f>SUM(G55:G70)</f>
        <v>11897.450298000002</v>
      </c>
    </row>
    <row r="55" spans="1:7" ht="12.75" customHeight="1">
      <c r="A55" s="59">
        <v>311</v>
      </c>
      <c r="B55" s="37" t="s">
        <v>105</v>
      </c>
      <c r="C55" s="292">
        <v>0</v>
      </c>
      <c r="D55" s="345">
        <v>20100</v>
      </c>
      <c r="E55" s="383">
        <v>20100</v>
      </c>
      <c r="F55" s="383">
        <v>20100</v>
      </c>
      <c r="G55" s="292">
        <f t="shared" si="2"/>
        <v>605.5326</v>
      </c>
    </row>
    <row r="56" spans="1:7" ht="12.75" customHeight="1">
      <c r="A56" s="5">
        <v>312</v>
      </c>
      <c r="B56" s="7" t="s">
        <v>106</v>
      </c>
      <c r="C56" s="288">
        <v>3452</v>
      </c>
      <c r="D56" s="333">
        <v>3670</v>
      </c>
      <c r="E56" s="360">
        <v>3670</v>
      </c>
      <c r="F56" s="360">
        <v>2513</v>
      </c>
      <c r="G56" s="288">
        <f t="shared" si="2"/>
        <v>110.56242</v>
      </c>
    </row>
    <row r="57" spans="1:7" ht="12.75" customHeight="1">
      <c r="A57" s="5">
        <v>312</v>
      </c>
      <c r="B57" s="6" t="s">
        <v>22</v>
      </c>
      <c r="C57" s="295">
        <v>2888</v>
      </c>
      <c r="D57" s="334">
        <v>3087</v>
      </c>
      <c r="E57" s="392">
        <v>3087</v>
      </c>
      <c r="F57" s="392">
        <v>2455</v>
      </c>
      <c r="G57" s="288">
        <f t="shared" si="2"/>
        <v>92.998962</v>
      </c>
    </row>
    <row r="58" spans="1:7" ht="12.75" customHeight="1">
      <c r="A58" s="5">
        <v>312</v>
      </c>
      <c r="B58" s="10" t="s">
        <v>107</v>
      </c>
      <c r="C58" s="320">
        <v>292106</v>
      </c>
      <c r="D58" s="335">
        <v>313491</v>
      </c>
      <c r="E58" s="397">
        <f>301625+4966+6916+3114</f>
        <v>316621</v>
      </c>
      <c r="F58" s="393">
        <f>229330+4150+3717</f>
        <v>237197</v>
      </c>
      <c r="G58" s="288">
        <f t="shared" si="2"/>
        <v>9538.524246</v>
      </c>
    </row>
    <row r="59" spans="1:7" ht="12.75" customHeight="1">
      <c r="A59" s="5">
        <v>312</v>
      </c>
      <c r="B59" s="5" t="s">
        <v>218</v>
      </c>
      <c r="C59" s="337">
        <v>0</v>
      </c>
      <c r="D59" s="334">
        <v>1764</v>
      </c>
      <c r="E59" s="394">
        <v>1764</v>
      </c>
      <c r="F59" s="394">
        <v>1176</v>
      </c>
      <c r="G59" s="288">
        <f t="shared" si="2"/>
        <v>53.142264000000004</v>
      </c>
    </row>
    <row r="60" spans="1:7" ht="12.75" customHeight="1">
      <c r="A60" s="5">
        <v>312</v>
      </c>
      <c r="B60" s="7" t="s">
        <v>217</v>
      </c>
      <c r="C60" s="288">
        <v>0</v>
      </c>
      <c r="D60" s="333">
        <v>5620</v>
      </c>
      <c r="E60" s="395">
        <v>5620</v>
      </c>
      <c r="F60" s="395">
        <v>5617</v>
      </c>
      <c r="G60" s="288">
        <f t="shared" si="2"/>
        <v>169.30812</v>
      </c>
    </row>
    <row r="61" spans="1:8" ht="12.75" customHeight="1">
      <c r="A61" s="5">
        <v>312</v>
      </c>
      <c r="B61" s="5" t="s">
        <v>238</v>
      </c>
      <c r="C61" s="337">
        <v>0</v>
      </c>
      <c r="D61" s="334">
        <v>4815</v>
      </c>
      <c r="E61" s="398">
        <v>4815</v>
      </c>
      <c r="F61" s="394">
        <v>4815</v>
      </c>
      <c r="G61" s="288">
        <f t="shared" si="2"/>
        <v>145.05669</v>
      </c>
      <c r="H61" s="4"/>
    </row>
    <row r="62" spans="1:8" ht="12.75" customHeight="1">
      <c r="A62" s="5">
        <v>312</v>
      </c>
      <c r="B62" s="7" t="s">
        <v>222</v>
      </c>
      <c r="C62" s="288">
        <v>0</v>
      </c>
      <c r="D62" s="333">
        <v>1500</v>
      </c>
      <c r="E62" s="346">
        <v>2164</v>
      </c>
      <c r="F62" s="395">
        <v>2164</v>
      </c>
      <c r="G62" s="288">
        <f t="shared" si="2"/>
        <v>65.19266400000001</v>
      </c>
      <c r="H62" s="4"/>
    </row>
    <row r="63" spans="1:8" ht="12.75" customHeight="1">
      <c r="A63" s="5">
        <v>312</v>
      </c>
      <c r="B63" s="5" t="s">
        <v>237</v>
      </c>
      <c r="C63" s="337">
        <v>0</v>
      </c>
      <c r="D63" s="334">
        <v>0</v>
      </c>
      <c r="E63" s="398">
        <v>3000</v>
      </c>
      <c r="F63" s="394">
        <v>3000</v>
      </c>
      <c r="G63" s="288">
        <f>E63*$G$7/1000</f>
        <v>90.378</v>
      </c>
      <c r="H63" s="4"/>
    </row>
    <row r="64" spans="1:7" ht="12.75" customHeight="1">
      <c r="A64" s="5">
        <v>312</v>
      </c>
      <c r="B64" s="7" t="s">
        <v>108</v>
      </c>
      <c r="C64" s="288">
        <v>4647</v>
      </c>
      <c r="D64" s="288">
        <v>4647</v>
      </c>
      <c r="E64" s="395">
        <v>4647</v>
      </c>
      <c r="F64" s="395">
        <v>4246</v>
      </c>
      <c r="G64" s="288">
        <f t="shared" si="2"/>
        <v>139.995522</v>
      </c>
    </row>
    <row r="65" spans="1:7" ht="12.75" customHeight="1">
      <c r="A65" s="5">
        <v>312</v>
      </c>
      <c r="B65" s="7" t="s">
        <v>23</v>
      </c>
      <c r="C65" s="288">
        <v>1328</v>
      </c>
      <c r="D65" s="288">
        <v>1328</v>
      </c>
      <c r="E65" s="395">
        <v>1328</v>
      </c>
      <c r="F65" s="395">
        <v>897</v>
      </c>
      <c r="G65" s="288">
        <f t="shared" si="2"/>
        <v>40.007328</v>
      </c>
    </row>
    <row r="66" spans="1:9" ht="12.75" customHeight="1">
      <c r="A66" s="5">
        <v>312</v>
      </c>
      <c r="B66" s="11" t="s">
        <v>109</v>
      </c>
      <c r="C66" s="294">
        <v>1660</v>
      </c>
      <c r="D66" s="333">
        <v>4000</v>
      </c>
      <c r="E66" s="395">
        <v>4000</v>
      </c>
      <c r="F66" s="395">
        <v>2345</v>
      </c>
      <c r="G66" s="288">
        <f t="shared" si="2"/>
        <v>120.504</v>
      </c>
      <c r="I66" s="3"/>
    </row>
    <row r="67" spans="1:9" ht="13.5" customHeight="1">
      <c r="A67" s="5">
        <v>312</v>
      </c>
      <c r="B67" s="11" t="s">
        <v>177</v>
      </c>
      <c r="C67" s="294">
        <v>0</v>
      </c>
      <c r="D67" s="294">
        <v>0</v>
      </c>
      <c r="E67" s="395">
        <v>0</v>
      </c>
      <c r="F67" s="395">
        <v>0</v>
      </c>
      <c r="G67" s="288">
        <f t="shared" si="2"/>
        <v>0</v>
      </c>
      <c r="I67" s="3"/>
    </row>
    <row r="68" spans="1:9" ht="12.75" customHeight="1">
      <c r="A68" s="5">
        <v>312</v>
      </c>
      <c r="B68" s="11" t="s">
        <v>165</v>
      </c>
      <c r="C68" s="294">
        <v>8962</v>
      </c>
      <c r="D68" s="294">
        <v>8962</v>
      </c>
      <c r="E68" s="395">
        <v>8962</v>
      </c>
      <c r="F68" s="395">
        <v>6902</v>
      </c>
      <c r="G68" s="288">
        <f t="shared" si="2"/>
        <v>269.989212</v>
      </c>
      <c r="I68" s="3"/>
    </row>
    <row r="69" spans="1:7" ht="12.75">
      <c r="A69" s="5">
        <v>312</v>
      </c>
      <c r="B69" s="11" t="s">
        <v>166</v>
      </c>
      <c r="C69" s="294">
        <v>13278</v>
      </c>
      <c r="D69" s="333">
        <v>13345</v>
      </c>
      <c r="E69" s="395">
        <v>13345</v>
      </c>
      <c r="F69" s="395">
        <v>10009</v>
      </c>
      <c r="G69" s="288">
        <f t="shared" si="2"/>
        <v>402.03147</v>
      </c>
    </row>
    <row r="70" spans="1:7" ht="12.75">
      <c r="A70" s="5">
        <v>312</v>
      </c>
      <c r="B70" s="11" t="s">
        <v>235</v>
      </c>
      <c r="C70" s="294">
        <v>0</v>
      </c>
      <c r="D70" s="294">
        <v>0</v>
      </c>
      <c r="E70" s="333">
        <v>1800</v>
      </c>
      <c r="F70" s="294">
        <v>1800</v>
      </c>
      <c r="G70" s="288">
        <f t="shared" si="2"/>
        <v>54.226800000000004</v>
      </c>
    </row>
    <row r="71" spans="1:7" ht="15.75">
      <c r="A71" s="12" t="s">
        <v>110</v>
      </c>
      <c r="B71" s="13"/>
      <c r="C71" s="322">
        <f>SUM(C11+C20+C39+C41+C54)</f>
        <v>1166965</v>
      </c>
      <c r="D71" s="322">
        <f>SUM(D11+D20+D39+D41+D54)</f>
        <v>1248575</v>
      </c>
      <c r="E71" s="322">
        <f>SUM(E11+E20+E39+E41+E54)</f>
        <v>1255052</v>
      </c>
      <c r="F71" s="322">
        <f>SUM(F11+F20+F39+F41+F54)</f>
        <v>954295</v>
      </c>
      <c r="G71" s="322">
        <f>SUM(G11+G20+G39+G41+G54)</f>
        <v>37809.69655200001</v>
      </c>
    </row>
    <row r="72" spans="1:11" ht="20.25" customHeight="1" thickBot="1">
      <c r="A72" s="82">
        <v>236</v>
      </c>
      <c r="B72" s="83" t="s">
        <v>111</v>
      </c>
      <c r="C72" s="323">
        <v>2622</v>
      </c>
      <c r="D72" s="375">
        <v>2633</v>
      </c>
      <c r="E72" s="375">
        <v>2733</v>
      </c>
      <c r="F72" s="323">
        <v>2125</v>
      </c>
      <c r="G72" s="288">
        <f t="shared" si="2"/>
        <v>82.33435800000001</v>
      </c>
      <c r="K72" s="149"/>
    </row>
    <row r="73" spans="1:10" ht="18.75" thickBot="1">
      <c r="A73" s="84" t="s">
        <v>24</v>
      </c>
      <c r="B73" s="81"/>
      <c r="C73" s="325">
        <f>SUM(C71:C72)</f>
        <v>1169587</v>
      </c>
      <c r="D73" s="325">
        <f>SUM(D71:D72)</f>
        <v>1251208</v>
      </c>
      <c r="E73" s="325">
        <f>SUM(E71:E72)</f>
        <v>1257785</v>
      </c>
      <c r="F73" s="325">
        <f>SUM(F71:F72)</f>
        <v>956420</v>
      </c>
      <c r="G73" s="325">
        <f>SUM(G71:G72)</f>
        <v>37892.03091000001</v>
      </c>
      <c r="J73" s="3"/>
    </row>
    <row r="74" spans="1:9" ht="23.25" customHeight="1">
      <c r="A74" s="14"/>
      <c r="B74" s="22"/>
      <c r="C74" s="22"/>
      <c r="D74" s="22"/>
      <c r="E74" s="22"/>
      <c r="F74" s="22"/>
      <c r="G74" s="148"/>
      <c r="H74" s="18"/>
      <c r="I74" s="18"/>
    </row>
    <row r="75" spans="1:9" ht="18">
      <c r="A75" s="15"/>
      <c r="B75" s="17"/>
      <c r="C75" s="17"/>
      <c r="D75" s="17"/>
      <c r="E75" s="17"/>
      <c r="F75" s="17"/>
      <c r="G75" s="18"/>
      <c r="H75" s="3"/>
      <c r="I75" s="3"/>
    </row>
    <row r="76" spans="1:7" ht="18.75" thickBot="1">
      <c r="A76" s="626" t="s">
        <v>25</v>
      </c>
      <c r="B76" s="627"/>
      <c r="C76" s="627"/>
      <c r="D76" s="627"/>
      <c r="E76" s="627"/>
      <c r="F76" s="627"/>
      <c r="G76" s="627"/>
    </row>
    <row r="77" spans="1:7" ht="12.75" customHeight="1">
      <c r="A77" s="608" t="s">
        <v>2</v>
      </c>
      <c r="B77" s="609"/>
      <c r="C77" s="598" t="s">
        <v>205</v>
      </c>
      <c r="D77" s="643" t="s">
        <v>233</v>
      </c>
      <c r="E77" s="643" t="s">
        <v>234</v>
      </c>
      <c r="F77" s="643" t="s">
        <v>242</v>
      </c>
      <c r="G77" s="598" t="s">
        <v>207</v>
      </c>
    </row>
    <row r="78" spans="1:7" ht="13.5" thickBot="1">
      <c r="A78" s="628"/>
      <c r="B78" s="629"/>
      <c r="C78" s="612"/>
      <c r="D78" s="644"/>
      <c r="E78" s="644"/>
      <c r="F78" s="644"/>
      <c r="G78" s="612"/>
    </row>
    <row r="79" spans="1:7" ht="13.5" thickBot="1">
      <c r="A79" s="48" t="s">
        <v>26</v>
      </c>
      <c r="B79" s="49"/>
      <c r="C79" s="289">
        <f>SUM(C80:C83)</f>
        <v>171081</v>
      </c>
      <c r="D79" s="289">
        <f>SUM(D80:D83)</f>
        <v>177819</v>
      </c>
      <c r="E79" s="289">
        <f>SUM(E80:E83)</f>
        <v>177819</v>
      </c>
      <c r="F79" s="289">
        <f>SUM(F80:F83)</f>
        <v>124427</v>
      </c>
      <c r="G79" s="290">
        <f>SUM(G80:G83)</f>
        <v>5356.975194000001</v>
      </c>
    </row>
    <row r="80" spans="1:7" ht="12.75">
      <c r="A80" s="27" t="s">
        <v>27</v>
      </c>
      <c r="B80" s="47" t="s">
        <v>112</v>
      </c>
      <c r="C80" s="291">
        <v>144393</v>
      </c>
      <c r="D80" s="358">
        <v>145793</v>
      </c>
      <c r="E80" s="291">
        <v>145793</v>
      </c>
      <c r="F80" s="291">
        <v>103618</v>
      </c>
      <c r="G80" s="288">
        <f aca="true" t="shared" si="3" ref="G80:G133">E80*$G$7/1000</f>
        <v>4392.159918</v>
      </c>
    </row>
    <row r="81" spans="1:7" ht="12.75">
      <c r="A81" s="20" t="s">
        <v>28</v>
      </c>
      <c r="B81" s="11" t="s">
        <v>29</v>
      </c>
      <c r="C81" s="294">
        <v>23236</v>
      </c>
      <c r="D81" s="333">
        <v>22736</v>
      </c>
      <c r="E81" s="294">
        <v>22736</v>
      </c>
      <c r="F81" s="294">
        <v>12521</v>
      </c>
      <c r="G81" s="288">
        <f t="shared" si="3"/>
        <v>684.944736</v>
      </c>
    </row>
    <row r="82" spans="1:7" ht="12.75">
      <c r="A82" s="21" t="s">
        <v>30</v>
      </c>
      <c r="B82" s="11" t="s">
        <v>117</v>
      </c>
      <c r="C82" s="294">
        <v>3452</v>
      </c>
      <c r="D82" s="333">
        <v>3670</v>
      </c>
      <c r="E82" s="294">
        <v>3670</v>
      </c>
      <c r="F82" s="294">
        <v>2671</v>
      </c>
      <c r="G82" s="288">
        <f t="shared" si="3"/>
        <v>110.56242</v>
      </c>
    </row>
    <row r="83" spans="1:7" ht="13.5" thickBot="1">
      <c r="A83" s="21" t="s">
        <v>219</v>
      </c>
      <c r="B83" s="11" t="s">
        <v>224</v>
      </c>
      <c r="C83" s="294">
        <v>0</v>
      </c>
      <c r="D83" s="333">
        <v>5620</v>
      </c>
      <c r="E83" s="294">
        <v>5620</v>
      </c>
      <c r="F83" s="294">
        <v>5617</v>
      </c>
      <c r="G83" s="288">
        <f t="shared" si="3"/>
        <v>169.30812</v>
      </c>
    </row>
    <row r="84" spans="1:7" ht="13.5" thickBot="1">
      <c r="A84" s="622" t="s">
        <v>31</v>
      </c>
      <c r="B84" s="623"/>
      <c r="C84" s="289">
        <f>C85</f>
        <v>133</v>
      </c>
      <c r="D84" s="289">
        <f>D85</f>
        <v>140</v>
      </c>
      <c r="E84" s="289">
        <f>E85</f>
        <v>140</v>
      </c>
      <c r="F84" s="289">
        <f>F85</f>
        <v>70</v>
      </c>
      <c r="G84" s="290">
        <f>G85</f>
        <v>4.21764</v>
      </c>
    </row>
    <row r="85" spans="1:7" ht="13.5" thickBot="1">
      <c r="A85" s="53" t="s">
        <v>32</v>
      </c>
      <c r="B85" s="22" t="s">
        <v>114</v>
      </c>
      <c r="C85" s="314">
        <v>133</v>
      </c>
      <c r="D85" s="338">
        <v>140</v>
      </c>
      <c r="E85" s="314">
        <v>140</v>
      </c>
      <c r="F85" s="382">
        <v>70</v>
      </c>
      <c r="G85" s="288">
        <f t="shared" si="3"/>
        <v>4.21764</v>
      </c>
    </row>
    <row r="86" spans="1:7" ht="13.5" thickBot="1">
      <c r="A86" s="622" t="s">
        <v>33</v>
      </c>
      <c r="B86" s="623"/>
      <c r="C86" s="311">
        <f>C87</f>
        <v>4149</v>
      </c>
      <c r="D86" s="311">
        <f>D87</f>
        <v>5169</v>
      </c>
      <c r="E86" s="311">
        <f>E87</f>
        <v>5169</v>
      </c>
      <c r="F86" s="311">
        <f>F87</f>
        <v>1973</v>
      </c>
      <c r="G86" s="290">
        <f>G87</f>
        <v>155.721294</v>
      </c>
    </row>
    <row r="87" spans="1:7" ht="13.5" thickBot="1">
      <c r="A87" s="55" t="s">
        <v>34</v>
      </c>
      <c r="B87" s="56" t="s">
        <v>118</v>
      </c>
      <c r="C87" s="316">
        <v>4149</v>
      </c>
      <c r="D87" s="341">
        <v>5169</v>
      </c>
      <c r="E87" s="316">
        <v>5169</v>
      </c>
      <c r="F87" s="317">
        <v>1973</v>
      </c>
      <c r="G87" s="288">
        <f t="shared" si="3"/>
        <v>155.721294</v>
      </c>
    </row>
    <row r="88" spans="1:7" ht="13.5" thickBot="1">
      <c r="A88" s="48" t="s">
        <v>35</v>
      </c>
      <c r="B88" s="57"/>
      <c r="C88" s="289">
        <f>SUM(C89:C92)</f>
        <v>163314</v>
      </c>
      <c r="D88" s="289">
        <f>SUM(D89:D92)</f>
        <v>200083</v>
      </c>
      <c r="E88" s="289">
        <f>SUM(E89:E92)</f>
        <v>195329</v>
      </c>
      <c r="F88" s="289">
        <f>SUM(F89:F92)</f>
        <v>140695</v>
      </c>
      <c r="G88" s="290">
        <f>SUM(G89:G92)</f>
        <v>5884.481454</v>
      </c>
    </row>
    <row r="89" spans="1:7" ht="12.75">
      <c r="A89" s="54" t="s">
        <v>36</v>
      </c>
      <c r="B89" s="43" t="s">
        <v>115</v>
      </c>
      <c r="C89" s="293">
        <v>1328</v>
      </c>
      <c r="D89" s="339">
        <v>2300</v>
      </c>
      <c r="E89" s="293">
        <v>2300</v>
      </c>
      <c r="F89" s="293">
        <v>2176</v>
      </c>
      <c r="G89" s="288">
        <f t="shared" si="3"/>
        <v>69.2898</v>
      </c>
    </row>
    <row r="90" spans="1:7" ht="12.75">
      <c r="A90" s="21" t="s">
        <v>37</v>
      </c>
      <c r="B90" s="11" t="s">
        <v>113</v>
      </c>
      <c r="C90" s="294">
        <v>3983</v>
      </c>
      <c r="D90" s="333">
        <v>5482</v>
      </c>
      <c r="E90" s="294">
        <v>5482</v>
      </c>
      <c r="F90" s="294">
        <v>2504</v>
      </c>
      <c r="G90" s="288">
        <f t="shared" si="3"/>
        <v>165.150732</v>
      </c>
    </row>
    <row r="91" spans="1:7" ht="12.75">
      <c r="A91" s="21" t="s">
        <v>38</v>
      </c>
      <c r="B91" s="11" t="s">
        <v>119</v>
      </c>
      <c r="C91" s="294">
        <v>28547</v>
      </c>
      <c r="D91" s="337">
        <v>28547</v>
      </c>
      <c r="E91" s="337">
        <v>28547</v>
      </c>
      <c r="F91" s="337">
        <v>18684</v>
      </c>
      <c r="G91" s="288">
        <f t="shared" si="3"/>
        <v>860.006922</v>
      </c>
    </row>
    <row r="92" spans="1:7" ht="13.5" thickBot="1">
      <c r="A92" s="50" t="s">
        <v>39</v>
      </c>
      <c r="B92" s="51" t="s">
        <v>120</v>
      </c>
      <c r="C92" s="307">
        <v>129456</v>
      </c>
      <c r="D92" s="342">
        <v>163754</v>
      </c>
      <c r="E92" s="342">
        <v>159000</v>
      </c>
      <c r="F92" s="307">
        <v>117331</v>
      </c>
      <c r="G92" s="288">
        <f t="shared" si="3"/>
        <v>4790.034</v>
      </c>
    </row>
    <row r="93" spans="1:7" ht="13.5" thickBot="1">
      <c r="A93" s="48" t="s">
        <v>40</v>
      </c>
      <c r="B93" s="49"/>
      <c r="C93" s="289">
        <f>SUM(C94:C95)</f>
        <v>27252</v>
      </c>
      <c r="D93" s="289">
        <f>SUM(D94:D95)</f>
        <v>27462</v>
      </c>
      <c r="E93" s="289">
        <f>SUM(E94:E95)</f>
        <v>26962</v>
      </c>
      <c r="F93" s="289">
        <f>SUM(F94:F95)</f>
        <v>17335</v>
      </c>
      <c r="G93" s="343">
        <f>SUM(G94:G95)</f>
        <v>812.257212</v>
      </c>
    </row>
    <row r="94" spans="1:7" ht="12.75">
      <c r="A94" s="52" t="s">
        <v>41</v>
      </c>
      <c r="B94" s="47" t="s">
        <v>42</v>
      </c>
      <c r="C94" s="291">
        <v>22406</v>
      </c>
      <c r="D94" s="358">
        <v>22616</v>
      </c>
      <c r="E94" s="291">
        <v>22616</v>
      </c>
      <c r="F94" s="291">
        <v>13197</v>
      </c>
      <c r="G94" s="288">
        <f t="shared" si="3"/>
        <v>681.329616</v>
      </c>
    </row>
    <row r="95" spans="1:7" ht="13.5" thickBot="1">
      <c r="A95" s="50" t="s">
        <v>43</v>
      </c>
      <c r="B95" s="51" t="s">
        <v>116</v>
      </c>
      <c r="C95" s="307">
        <v>4846</v>
      </c>
      <c r="D95" s="307">
        <v>4846</v>
      </c>
      <c r="E95" s="342">
        <v>4346</v>
      </c>
      <c r="F95" s="307">
        <v>4138</v>
      </c>
      <c r="G95" s="288">
        <f t="shared" si="3"/>
        <v>130.927596</v>
      </c>
    </row>
    <row r="96" spans="1:7" ht="13.5" thickBot="1">
      <c r="A96" s="48" t="s">
        <v>44</v>
      </c>
      <c r="B96" s="57"/>
      <c r="C96" s="289">
        <f>C97</f>
        <v>16431</v>
      </c>
      <c r="D96" s="289">
        <f>D97</f>
        <v>16431</v>
      </c>
      <c r="E96" s="289">
        <f>E97</f>
        <v>16431</v>
      </c>
      <c r="F96" s="289">
        <f>F97</f>
        <v>9971</v>
      </c>
      <c r="G96" s="343">
        <f>G97</f>
        <v>495.000306</v>
      </c>
    </row>
    <row r="97" spans="1:7" ht="13.5" thickBot="1">
      <c r="A97" s="62" t="s">
        <v>45</v>
      </c>
      <c r="B97" s="51" t="s">
        <v>46</v>
      </c>
      <c r="C97" s="307">
        <v>16431</v>
      </c>
      <c r="D97" s="307">
        <v>16431</v>
      </c>
      <c r="E97" s="307">
        <v>16431</v>
      </c>
      <c r="F97" s="307">
        <v>9971</v>
      </c>
      <c r="G97" s="288">
        <f t="shared" si="3"/>
        <v>495.000306</v>
      </c>
    </row>
    <row r="98" spans="1:7" ht="13.5" thickBot="1">
      <c r="A98" s="63" t="s">
        <v>47</v>
      </c>
      <c r="B98" s="49"/>
      <c r="C98" s="289">
        <f>SUM(C99:C113)</f>
        <v>83118</v>
      </c>
      <c r="D98" s="289">
        <f>SUM(D99:D113)</f>
        <v>98309</v>
      </c>
      <c r="E98" s="289">
        <f>SUM(E99:E113)</f>
        <v>91426</v>
      </c>
      <c r="F98" s="289">
        <f>SUM(F99:F113)</f>
        <v>68422</v>
      </c>
      <c r="G98" s="290">
        <f>SUM(G99:G113)</f>
        <v>2754.2996759999996</v>
      </c>
    </row>
    <row r="99" spans="1:7" ht="12.75">
      <c r="A99" s="64" t="s">
        <v>48</v>
      </c>
      <c r="B99" s="65" t="s">
        <v>122</v>
      </c>
      <c r="C99" s="309">
        <v>8497</v>
      </c>
      <c r="D99" s="309">
        <v>8497</v>
      </c>
      <c r="E99" s="414">
        <v>4497</v>
      </c>
      <c r="F99" s="309">
        <v>2742</v>
      </c>
      <c r="G99" s="310">
        <f t="shared" si="3"/>
        <v>135.476622</v>
      </c>
    </row>
    <row r="100" spans="1:8" ht="13.5" thickBot="1">
      <c r="A100" s="60" t="s">
        <v>48</v>
      </c>
      <c r="B100" s="61" t="s">
        <v>121</v>
      </c>
      <c r="C100" s="296">
        <v>5643</v>
      </c>
      <c r="D100" s="296">
        <v>5643</v>
      </c>
      <c r="E100" s="369">
        <v>6643</v>
      </c>
      <c r="F100" s="296">
        <v>5615</v>
      </c>
      <c r="G100" s="297">
        <f t="shared" si="3"/>
        <v>200.12701800000002</v>
      </c>
      <c r="H100" s="4">
        <f>SUM(E99:E100)</f>
        <v>11140</v>
      </c>
    </row>
    <row r="101" spans="1:7" ht="12.75">
      <c r="A101" s="52" t="s">
        <v>49</v>
      </c>
      <c r="B101" s="59" t="s">
        <v>123</v>
      </c>
      <c r="C101" s="305">
        <v>22505</v>
      </c>
      <c r="D101" s="305">
        <v>22505</v>
      </c>
      <c r="E101" s="415">
        <v>18505</v>
      </c>
      <c r="F101" s="305">
        <v>14125</v>
      </c>
      <c r="G101" s="292">
        <f t="shared" si="3"/>
        <v>557.48163</v>
      </c>
    </row>
    <row r="102" spans="1:7" ht="12.75">
      <c r="A102" s="21" t="s">
        <v>51</v>
      </c>
      <c r="B102" s="58" t="s">
        <v>124</v>
      </c>
      <c r="C102" s="306">
        <v>664</v>
      </c>
      <c r="D102" s="368">
        <v>726</v>
      </c>
      <c r="E102" s="306">
        <v>726</v>
      </c>
      <c r="F102" s="306">
        <v>593</v>
      </c>
      <c r="G102" s="288">
        <f t="shared" si="3"/>
        <v>21.871476</v>
      </c>
    </row>
    <row r="103" spans="1:7" ht="13.5" thickBot="1">
      <c r="A103" s="60" t="s">
        <v>52</v>
      </c>
      <c r="B103" s="61" t="s">
        <v>125</v>
      </c>
      <c r="C103" s="296">
        <v>664</v>
      </c>
      <c r="D103" s="369">
        <v>2300</v>
      </c>
      <c r="E103" s="296">
        <v>2300</v>
      </c>
      <c r="F103" s="296">
        <v>1609</v>
      </c>
      <c r="G103" s="297">
        <f t="shared" si="3"/>
        <v>69.2898</v>
      </c>
    </row>
    <row r="104" spans="1:7" ht="12.75">
      <c r="A104" s="21" t="s">
        <v>53</v>
      </c>
      <c r="B104" s="11" t="s">
        <v>215</v>
      </c>
      <c r="C104" s="294">
        <v>2988</v>
      </c>
      <c r="D104" s="333">
        <f>1000+1000+456+332</f>
        <v>2788</v>
      </c>
      <c r="E104" s="294">
        <f>1000+1000+456+332</f>
        <v>2788</v>
      </c>
      <c r="F104" s="291">
        <v>985</v>
      </c>
      <c r="G104" s="292">
        <f t="shared" si="3"/>
        <v>83.991288</v>
      </c>
    </row>
    <row r="105" spans="1:7" ht="12.75">
      <c r="A105" s="21" t="s">
        <v>53</v>
      </c>
      <c r="B105" s="11" t="s">
        <v>158</v>
      </c>
      <c r="C105" s="294">
        <v>3319</v>
      </c>
      <c r="D105" s="333">
        <v>2900</v>
      </c>
      <c r="E105" s="333">
        <v>1300</v>
      </c>
      <c r="F105" s="294">
        <v>1263</v>
      </c>
      <c r="G105" s="288">
        <f t="shared" si="3"/>
        <v>39.1638</v>
      </c>
    </row>
    <row r="106" spans="1:7" ht="12.75">
      <c r="A106" s="21" t="s">
        <v>53</v>
      </c>
      <c r="B106" s="11" t="s">
        <v>50</v>
      </c>
      <c r="C106" s="294">
        <v>6639</v>
      </c>
      <c r="D106" s="333">
        <v>13000</v>
      </c>
      <c r="E106" s="333">
        <v>11000</v>
      </c>
      <c r="F106" s="294">
        <v>10714</v>
      </c>
      <c r="G106" s="288">
        <f t="shared" si="3"/>
        <v>331.386</v>
      </c>
    </row>
    <row r="107" spans="1:7" ht="12.75">
      <c r="A107" s="50" t="s">
        <v>53</v>
      </c>
      <c r="B107" s="51" t="s">
        <v>187</v>
      </c>
      <c r="C107" s="307">
        <v>1660</v>
      </c>
      <c r="D107" s="307">
        <v>1660</v>
      </c>
      <c r="E107" s="342">
        <v>1000</v>
      </c>
      <c r="F107" s="307">
        <v>720</v>
      </c>
      <c r="G107" s="288">
        <f t="shared" si="3"/>
        <v>30.126</v>
      </c>
    </row>
    <row r="108" spans="1:7" ht="12.75">
      <c r="A108" s="50" t="s">
        <v>53</v>
      </c>
      <c r="B108" s="51" t="s">
        <v>243</v>
      </c>
      <c r="C108" s="307">
        <v>0</v>
      </c>
      <c r="D108" s="342">
        <v>1500</v>
      </c>
      <c r="E108" s="342">
        <f>1500+664</f>
        <v>2164</v>
      </c>
      <c r="F108" s="307">
        <f>650+202+149+64+600</f>
        <v>1665</v>
      </c>
      <c r="G108" s="288">
        <f t="shared" si="3"/>
        <v>65.19266400000001</v>
      </c>
    </row>
    <row r="109" spans="1:7" ht="12.75">
      <c r="A109" s="50" t="s">
        <v>53</v>
      </c>
      <c r="B109" s="51" t="s">
        <v>236</v>
      </c>
      <c r="C109" s="307">
        <v>0</v>
      </c>
      <c r="D109" s="342">
        <v>0</v>
      </c>
      <c r="E109" s="342">
        <v>1800</v>
      </c>
      <c r="F109" s="307">
        <f>346+5+169+626</f>
        <v>1146</v>
      </c>
      <c r="G109" s="288">
        <f t="shared" si="3"/>
        <v>54.226800000000004</v>
      </c>
    </row>
    <row r="110" spans="1:8" ht="13.5" thickBot="1">
      <c r="A110" s="60" t="s">
        <v>53</v>
      </c>
      <c r="B110" s="61" t="s">
        <v>126</v>
      </c>
      <c r="C110" s="296">
        <v>6639</v>
      </c>
      <c r="D110" s="369">
        <v>12890</v>
      </c>
      <c r="E110" s="369">
        <v>11803</v>
      </c>
      <c r="F110" s="296">
        <v>10036</v>
      </c>
      <c r="G110" s="297">
        <f t="shared" si="3"/>
        <v>355.577178</v>
      </c>
      <c r="H110" s="4">
        <f>SUM(F104:F110)</f>
        <v>26529</v>
      </c>
    </row>
    <row r="111" spans="1:7" ht="12.75">
      <c r="A111" s="64" t="s">
        <v>54</v>
      </c>
      <c r="B111" s="65" t="s">
        <v>162</v>
      </c>
      <c r="C111" s="309">
        <v>1660</v>
      </c>
      <c r="D111" s="309">
        <v>1660</v>
      </c>
      <c r="E111" s="309">
        <v>1660</v>
      </c>
      <c r="F111" s="291">
        <v>1250</v>
      </c>
      <c r="G111" s="292">
        <f t="shared" si="3"/>
        <v>50.00916</v>
      </c>
    </row>
    <row r="112" spans="1:7" ht="12.75">
      <c r="A112" s="52" t="s">
        <v>55</v>
      </c>
      <c r="B112" s="47" t="s">
        <v>127</v>
      </c>
      <c r="C112" s="291">
        <v>15933</v>
      </c>
      <c r="D112" s="291">
        <v>15933</v>
      </c>
      <c r="E112" s="358">
        <v>18933</v>
      </c>
      <c r="F112" s="291">
        <v>14930</v>
      </c>
      <c r="G112" s="288">
        <f t="shared" si="3"/>
        <v>570.3755580000001</v>
      </c>
    </row>
    <row r="113" spans="1:7" ht="13.5" thickBot="1">
      <c r="A113" s="50" t="s">
        <v>56</v>
      </c>
      <c r="B113" s="51" t="s">
        <v>128</v>
      </c>
      <c r="C113" s="307">
        <v>6307</v>
      </c>
      <c r="D113" s="307">
        <v>6307</v>
      </c>
      <c r="E113" s="307">
        <v>6307</v>
      </c>
      <c r="F113" s="307">
        <v>1029</v>
      </c>
      <c r="G113" s="288">
        <f t="shared" si="3"/>
        <v>190.004682</v>
      </c>
    </row>
    <row r="114" spans="1:7" ht="13.5" thickBot="1">
      <c r="A114" s="622" t="s">
        <v>57</v>
      </c>
      <c r="B114" s="623"/>
      <c r="C114" s="311">
        <f>SUM(C115:C120)</f>
        <v>260074</v>
      </c>
      <c r="D114" s="311">
        <f>SUM(D115:D120)</f>
        <v>261905</v>
      </c>
      <c r="E114" s="311">
        <f>SUM(E115:E120)</f>
        <v>259739</v>
      </c>
      <c r="F114" s="311">
        <f>SUM(F115:F120)</f>
        <v>172487</v>
      </c>
      <c r="G114" s="290">
        <f>SUM(G115:G120)</f>
        <v>7824.897113999999</v>
      </c>
    </row>
    <row r="115" spans="1:7" ht="12.75">
      <c r="A115" s="67" t="s">
        <v>58</v>
      </c>
      <c r="B115" s="43" t="s">
        <v>152</v>
      </c>
      <c r="C115" s="293">
        <v>88296</v>
      </c>
      <c r="D115" s="293">
        <f>88296+1764</f>
        <v>90060</v>
      </c>
      <c r="E115" s="293">
        <f>88296+1764</f>
        <v>90060</v>
      </c>
      <c r="F115" s="293">
        <v>62948</v>
      </c>
      <c r="G115" s="288">
        <f t="shared" si="3"/>
        <v>2713.14756</v>
      </c>
    </row>
    <row r="116" spans="1:7" ht="12.75" customHeight="1">
      <c r="A116" s="23" t="s">
        <v>59</v>
      </c>
      <c r="B116" s="9" t="s">
        <v>129</v>
      </c>
      <c r="C116" s="312">
        <v>3319</v>
      </c>
      <c r="D116" s="312">
        <v>3319</v>
      </c>
      <c r="E116" s="336">
        <v>1319</v>
      </c>
      <c r="F116" s="312">
        <v>124</v>
      </c>
      <c r="G116" s="288">
        <f t="shared" si="3"/>
        <v>39.736194000000005</v>
      </c>
    </row>
    <row r="117" spans="1:7" ht="12.75">
      <c r="A117" s="23" t="s">
        <v>60</v>
      </c>
      <c r="B117" s="9" t="s">
        <v>61</v>
      </c>
      <c r="C117" s="312">
        <v>94105</v>
      </c>
      <c r="D117" s="312">
        <v>94105</v>
      </c>
      <c r="E117" s="312">
        <v>94105</v>
      </c>
      <c r="F117" s="312">
        <v>61414</v>
      </c>
      <c r="G117" s="288">
        <f t="shared" si="3"/>
        <v>2835.00723</v>
      </c>
    </row>
    <row r="118" spans="1:7" ht="12" customHeight="1">
      <c r="A118" s="23" t="s">
        <v>75</v>
      </c>
      <c r="B118" s="9" t="s">
        <v>151</v>
      </c>
      <c r="C118" s="312">
        <v>166</v>
      </c>
      <c r="D118" s="312">
        <v>166</v>
      </c>
      <c r="E118" s="336">
        <v>0</v>
      </c>
      <c r="F118" s="312">
        <v>0</v>
      </c>
      <c r="G118" s="288">
        <f t="shared" si="3"/>
        <v>0</v>
      </c>
    </row>
    <row r="119" spans="1:7" ht="12.75">
      <c r="A119" s="23" t="s">
        <v>77</v>
      </c>
      <c r="B119" s="9" t="s">
        <v>159</v>
      </c>
      <c r="C119" s="312">
        <v>60910</v>
      </c>
      <c r="D119" s="312">
        <v>60910</v>
      </c>
      <c r="E119" s="312">
        <v>60910</v>
      </c>
      <c r="F119" s="312">
        <v>39085</v>
      </c>
      <c r="G119" s="288">
        <f t="shared" si="3"/>
        <v>1834.97466</v>
      </c>
    </row>
    <row r="120" spans="1:7" ht="13.5" customHeight="1" thickBot="1">
      <c r="A120" s="50" t="s">
        <v>62</v>
      </c>
      <c r="B120" s="51" t="s">
        <v>130</v>
      </c>
      <c r="C120" s="313">
        <v>13278</v>
      </c>
      <c r="D120" s="340">
        <v>13345</v>
      </c>
      <c r="E120" s="313">
        <v>13345</v>
      </c>
      <c r="F120" s="313">
        <v>8916</v>
      </c>
      <c r="G120" s="288">
        <f t="shared" si="3"/>
        <v>402.03147</v>
      </c>
    </row>
    <row r="121" spans="1:7" ht="13.5" thickBot="1">
      <c r="A121" s="48" t="s">
        <v>63</v>
      </c>
      <c r="B121" s="49"/>
      <c r="C121" s="289">
        <f>SUM(C122:C130)</f>
        <v>99117</v>
      </c>
      <c r="D121" s="289">
        <f>SUM(D122:D130)</f>
        <v>101525</v>
      </c>
      <c r="E121" s="289">
        <f>SUM(E122:E130)</f>
        <v>103814</v>
      </c>
      <c r="F121" s="289">
        <f>SUM(F122:F130)</f>
        <v>64109</v>
      </c>
      <c r="G121" s="290">
        <f>SUM(G122:G130)</f>
        <v>3127.500564</v>
      </c>
    </row>
    <row r="122" spans="1:7" ht="12.75">
      <c r="A122" s="52" t="s">
        <v>64</v>
      </c>
      <c r="B122" s="47" t="s">
        <v>131</v>
      </c>
      <c r="C122" s="291">
        <v>74022</v>
      </c>
      <c r="D122" s="291">
        <v>74022</v>
      </c>
      <c r="E122" s="291">
        <v>74022</v>
      </c>
      <c r="F122" s="291">
        <v>46796</v>
      </c>
      <c r="G122" s="288">
        <f t="shared" si="3"/>
        <v>2229.9867719999997</v>
      </c>
    </row>
    <row r="123" spans="1:7" ht="12.75">
      <c r="A123" s="21" t="s">
        <v>65</v>
      </c>
      <c r="B123" s="11" t="s">
        <v>132</v>
      </c>
      <c r="C123" s="294">
        <v>12149</v>
      </c>
      <c r="D123" s="294">
        <v>12149</v>
      </c>
      <c r="E123" s="294">
        <v>12149</v>
      </c>
      <c r="F123" s="294">
        <v>7743</v>
      </c>
      <c r="G123" s="288">
        <f t="shared" si="3"/>
        <v>366.00077400000004</v>
      </c>
    </row>
    <row r="124" spans="1:8" ht="12.75" customHeight="1" thickBot="1">
      <c r="A124" s="60" t="s">
        <v>65</v>
      </c>
      <c r="B124" s="61" t="s">
        <v>133</v>
      </c>
      <c r="C124" s="296">
        <v>1660</v>
      </c>
      <c r="D124" s="296">
        <v>1660</v>
      </c>
      <c r="E124" s="296">
        <v>1660</v>
      </c>
      <c r="F124" s="296">
        <v>0</v>
      </c>
      <c r="G124" s="297">
        <f t="shared" si="3"/>
        <v>50.00916</v>
      </c>
      <c r="H124" s="4">
        <f>SUM(E123:E124)</f>
        <v>13809</v>
      </c>
    </row>
    <row r="125" spans="1:7" ht="12.75">
      <c r="A125" s="52" t="s">
        <v>66</v>
      </c>
      <c r="B125" s="47" t="s">
        <v>134</v>
      </c>
      <c r="C125" s="291">
        <v>332</v>
      </c>
      <c r="D125" s="358">
        <v>400</v>
      </c>
      <c r="E125" s="358">
        <v>485</v>
      </c>
      <c r="F125" s="291">
        <v>382</v>
      </c>
      <c r="G125" s="292">
        <f t="shared" si="3"/>
        <v>14.61111</v>
      </c>
    </row>
    <row r="126" spans="1:7" ht="12.75">
      <c r="A126" s="21" t="s">
        <v>67</v>
      </c>
      <c r="B126" s="11" t="s">
        <v>68</v>
      </c>
      <c r="C126" s="294">
        <v>3319</v>
      </c>
      <c r="D126" s="333">
        <v>5659</v>
      </c>
      <c r="E126" s="294">
        <v>5659</v>
      </c>
      <c r="F126" s="294">
        <v>2694</v>
      </c>
      <c r="G126" s="288">
        <f t="shared" si="3"/>
        <v>170.483034</v>
      </c>
    </row>
    <row r="127" spans="1:7" ht="12.75">
      <c r="A127" s="21" t="s">
        <v>69</v>
      </c>
      <c r="B127" s="11" t="s">
        <v>135</v>
      </c>
      <c r="C127" s="294">
        <v>1328</v>
      </c>
      <c r="D127" s="294">
        <v>1328</v>
      </c>
      <c r="E127" s="294">
        <v>1328</v>
      </c>
      <c r="F127" s="294">
        <v>940</v>
      </c>
      <c r="G127" s="288">
        <f t="shared" si="3"/>
        <v>40.007328</v>
      </c>
    </row>
    <row r="128" spans="1:7" ht="12.75">
      <c r="A128" s="21" t="s">
        <v>69</v>
      </c>
      <c r="B128" s="11" t="s">
        <v>136</v>
      </c>
      <c r="C128" s="294">
        <v>4647</v>
      </c>
      <c r="D128" s="294">
        <v>4647</v>
      </c>
      <c r="E128" s="294">
        <v>4647</v>
      </c>
      <c r="F128" s="294">
        <v>2403</v>
      </c>
      <c r="G128" s="288">
        <f t="shared" si="3"/>
        <v>139.995522</v>
      </c>
    </row>
    <row r="129" spans="1:7" ht="12.75">
      <c r="A129" s="21" t="s">
        <v>70</v>
      </c>
      <c r="B129" s="11" t="s">
        <v>71</v>
      </c>
      <c r="C129" s="294">
        <v>664</v>
      </c>
      <c r="D129" s="294">
        <v>664</v>
      </c>
      <c r="E129" s="294">
        <v>664</v>
      </c>
      <c r="F129" s="294">
        <v>47</v>
      </c>
      <c r="G129" s="288">
        <f t="shared" si="3"/>
        <v>20.003664</v>
      </c>
    </row>
    <row r="130" spans="1:7" ht="13.5" thickBot="1">
      <c r="A130" s="50" t="s">
        <v>72</v>
      </c>
      <c r="B130" s="51" t="s">
        <v>73</v>
      </c>
      <c r="C130" s="307">
        <v>996</v>
      </c>
      <c r="D130" s="307">
        <v>996</v>
      </c>
      <c r="E130" s="342">
        <v>3200</v>
      </c>
      <c r="F130" s="307">
        <v>3104</v>
      </c>
      <c r="G130" s="308">
        <f t="shared" si="3"/>
        <v>96.4032</v>
      </c>
    </row>
    <row r="131" spans="1:7" ht="16.5" thickBot="1">
      <c r="A131" s="85" t="s">
        <v>137</v>
      </c>
      <c r="B131" s="57"/>
      <c r="C131" s="378">
        <f>SUM(C79+C84+C86+C88+C93+C96+C98+C114+C121)</f>
        <v>824669</v>
      </c>
      <c r="D131" s="378">
        <f>SUM(D79+D84+D86+D88+D93+D96+D98+D114+D121)</f>
        <v>888843</v>
      </c>
      <c r="E131" s="378">
        <f>SUM(E79+E84+E86+E88+E93+E96+E98+E114+E121)</f>
        <v>876829</v>
      </c>
      <c r="F131" s="378">
        <f>SUM(F79+F84+F86+F88+F93+F96+F98+F114+F121)</f>
        <v>599489</v>
      </c>
      <c r="G131" s="304">
        <f>SUM(G79+G84+G86+G88+G93+G96+G98+G114+G121)</f>
        <v>26415.350454</v>
      </c>
    </row>
    <row r="132" spans="1:7" ht="12.75">
      <c r="A132" s="225" t="s">
        <v>59</v>
      </c>
      <c r="B132" s="376" t="s">
        <v>74</v>
      </c>
      <c r="C132" s="301">
        <f>292106+2622-67</f>
        <v>294661</v>
      </c>
      <c r="D132" s="377">
        <f>313491+2622-67</f>
        <v>316046</v>
      </c>
      <c r="E132" s="377">
        <f>316621+2733-78</f>
        <v>319276</v>
      </c>
      <c r="F132" s="377">
        <f>229330+4150+3717+1175</f>
        <v>238372</v>
      </c>
      <c r="G132" s="292">
        <f t="shared" si="3"/>
        <v>9618.508776</v>
      </c>
    </row>
    <row r="133" spans="1:7" ht="12.75">
      <c r="A133" s="159" t="s">
        <v>75</v>
      </c>
      <c r="B133" s="10" t="s">
        <v>76</v>
      </c>
      <c r="C133" s="301">
        <v>16597</v>
      </c>
      <c r="D133" s="301">
        <v>16597</v>
      </c>
      <c r="E133" s="301">
        <v>16597</v>
      </c>
      <c r="F133" s="301">
        <f>4150*3</f>
        <v>12450</v>
      </c>
      <c r="G133" s="288">
        <f t="shared" si="3"/>
        <v>500.001222</v>
      </c>
    </row>
    <row r="134" spans="1:10" ht="22.5" customHeight="1" thickBot="1">
      <c r="A134" s="624" t="s">
        <v>163</v>
      </c>
      <c r="B134" s="625"/>
      <c r="C134" s="303">
        <f>SUM(C132:C133)</f>
        <v>311258</v>
      </c>
      <c r="D134" s="303">
        <f>SUM(D132:D133)</f>
        <v>332643</v>
      </c>
      <c r="E134" s="303">
        <f>SUM(E132:E133)</f>
        <v>335873</v>
      </c>
      <c r="F134" s="303">
        <f>SUM(F132:F133)</f>
        <v>250822</v>
      </c>
      <c r="G134" s="303">
        <f>SUM(G132:G133)</f>
        <v>10118.509998000001</v>
      </c>
      <c r="J134" s="124"/>
    </row>
    <row r="135" spans="1:10" ht="16.5" thickBot="1">
      <c r="A135" s="85" t="s">
        <v>78</v>
      </c>
      <c r="B135" s="57"/>
      <c r="C135" s="304">
        <f>C131+C134</f>
        <v>1135927</v>
      </c>
      <c r="D135" s="304">
        <f>D131+D134</f>
        <v>1221486</v>
      </c>
      <c r="E135" s="304">
        <f>E131+E134</f>
        <v>1212702</v>
      </c>
      <c r="F135" s="304">
        <f>F131+F134</f>
        <v>850311</v>
      </c>
      <c r="G135" s="304">
        <f>G131+G134</f>
        <v>36533.860452</v>
      </c>
      <c r="J135" s="4"/>
    </row>
    <row r="136" ht="19.5" customHeight="1">
      <c r="G136" s="124"/>
    </row>
    <row r="137" spans="1:12" ht="12.75">
      <c r="A137" s="15"/>
      <c r="B137" s="24"/>
      <c r="C137" s="24"/>
      <c r="D137" s="24"/>
      <c r="E137" s="24"/>
      <c r="F137" s="24"/>
      <c r="G137" s="25"/>
      <c r="H137" s="124"/>
      <c r="I137" s="124"/>
      <c r="L137" s="26"/>
    </row>
    <row r="138" spans="1:13" s="19" customFormat="1" ht="18.75" thickBot="1">
      <c r="A138" s="588" t="s">
        <v>79</v>
      </c>
      <c r="B138" s="589"/>
      <c r="C138" s="589"/>
      <c r="D138" s="589"/>
      <c r="E138" s="589"/>
      <c r="F138" s="589"/>
      <c r="G138" s="589"/>
      <c r="H138" s="25"/>
      <c r="I138" s="25"/>
      <c r="J138"/>
      <c r="K138"/>
      <c r="L138" s="15"/>
      <c r="M138"/>
    </row>
    <row r="139" spans="1:13" ht="12.75">
      <c r="A139" s="608" t="s">
        <v>2</v>
      </c>
      <c r="B139" s="609"/>
      <c r="C139" s="598" t="s">
        <v>205</v>
      </c>
      <c r="D139" s="643" t="s">
        <v>233</v>
      </c>
      <c r="E139" s="643" t="s">
        <v>234</v>
      </c>
      <c r="F139" s="643" t="s">
        <v>242</v>
      </c>
      <c r="G139" s="598" t="s">
        <v>206</v>
      </c>
      <c r="M139" s="19"/>
    </row>
    <row r="140" spans="1:7" ht="29.25" customHeight="1" thickBot="1">
      <c r="A140" s="590"/>
      <c r="B140" s="621"/>
      <c r="C140" s="599"/>
      <c r="D140" s="644"/>
      <c r="E140" s="644"/>
      <c r="F140" s="644"/>
      <c r="G140" s="599"/>
    </row>
    <row r="141" spans="1:7" ht="15.75" thickBot="1">
      <c r="A141" s="613" t="s">
        <v>142</v>
      </c>
      <c r="B141" s="614"/>
      <c r="C141" s="272">
        <f>SUM(C142:C143)</f>
        <v>0</v>
      </c>
      <c r="D141" s="356">
        <f>SUM(D142:D143)</f>
        <v>20001</v>
      </c>
      <c r="E141" s="356">
        <f>SUM(E142:E143)</f>
        <v>23077</v>
      </c>
      <c r="F141" s="356">
        <f>SUM(F142:F143)</f>
        <v>23077</v>
      </c>
      <c r="G141" s="379">
        <f>SUM(G142:G143)</f>
        <v>695.217702</v>
      </c>
    </row>
    <row r="142" spans="1:7" ht="12.75">
      <c r="A142" s="96">
        <v>230</v>
      </c>
      <c r="B142" s="65" t="s">
        <v>99</v>
      </c>
      <c r="C142" s="274">
        <v>0</v>
      </c>
      <c r="D142" s="348">
        <v>20001</v>
      </c>
      <c r="E142" s="348">
        <f>21302+1775</f>
        <v>23077</v>
      </c>
      <c r="F142" s="274">
        <v>23077</v>
      </c>
      <c r="G142" s="275">
        <f>E142*$G$7/1000</f>
        <v>695.217702</v>
      </c>
    </row>
    <row r="143" spans="1:7" ht="13.5" thickBot="1">
      <c r="A143" s="95">
        <v>321</v>
      </c>
      <c r="B143" s="61" t="s">
        <v>178</v>
      </c>
      <c r="C143" s="270">
        <v>0</v>
      </c>
      <c r="D143" s="270">
        <v>0</v>
      </c>
      <c r="E143" s="270">
        <v>0</v>
      </c>
      <c r="F143" s="270">
        <v>0</v>
      </c>
      <c r="G143" s="271">
        <f>E143*$G$7/1000</f>
        <v>0</v>
      </c>
    </row>
    <row r="144" spans="1:7" ht="18.75" thickBot="1">
      <c r="A144" s="75"/>
      <c r="B144" s="3"/>
      <c r="C144" s="276"/>
      <c r="D144" s="276"/>
      <c r="E144" s="276"/>
      <c r="F144" s="276"/>
      <c r="G144" s="277"/>
    </row>
    <row r="145" spans="1:7" ht="16.5" thickBot="1">
      <c r="A145" s="613" t="s">
        <v>143</v>
      </c>
      <c r="B145" s="614"/>
      <c r="C145" s="278">
        <f>SUM(C146:C167)</f>
        <v>411605</v>
      </c>
      <c r="D145" s="278">
        <f>SUM(D146:D167)</f>
        <v>479078</v>
      </c>
      <c r="E145" s="278">
        <f>SUM(E146:E167)</f>
        <v>305459</v>
      </c>
      <c r="F145" s="278">
        <f>SUM(F146:F167)</f>
        <v>192455</v>
      </c>
      <c r="G145" s="278">
        <f>SUM(G146:G167)</f>
        <v>9202.257834</v>
      </c>
    </row>
    <row r="146" spans="1:7" ht="12.75" customHeight="1">
      <c r="A146" s="165" t="s">
        <v>37</v>
      </c>
      <c r="B146" s="7" t="s">
        <v>183</v>
      </c>
      <c r="C146" s="279">
        <v>6639</v>
      </c>
      <c r="D146" s="279">
        <v>6639</v>
      </c>
      <c r="E146" s="368">
        <v>8202</v>
      </c>
      <c r="F146" s="279">
        <v>4284</v>
      </c>
      <c r="G146" s="288">
        <f aca="true" t="shared" si="4" ref="G146:G167">E146*$G$7/1000</f>
        <v>247.093452</v>
      </c>
    </row>
    <row r="147" spans="1:7" ht="12.75" customHeight="1">
      <c r="A147" s="89" t="s">
        <v>37</v>
      </c>
      <c r="B147" s="140" t="s">
        <v>208</v>
      </c>
      <c r="C147" s="280">
        <v>1660</v>
      </c>
      <c r="D147" s="361">
        <v>2600</v>
      </c>
      <c r="E147" s="361">
        <f>2600+2500+49900</f>
        <v>55000</v>
      </c>
      <c r="F147" s="399">
        <v>22392</v>
      </c>
      <c r="G147" s="288">
        <f t="shared" si="4"/>
        <v>1656.93</v>
      </c>
    </row>
    <row r="148" spans="1:7" ht="12.75" customHeight="1">
      <c r="A148" s="142" t="s">
        <v>37</v>
      </c>
      <c r="B148" s="143" t="s">
        <v>161</v>
      </c>
      <c r="C148" s="282">
        <v>3319</v>
      </c>
      <c r="D148" s="312">
        <v>3319</v>
      </c>
      <c r="E148" s="336">
        <f>3300+2500+26200</f>
        <v>32000</v>
      </c>
      <c r="F148" s="312">
        <v>3255</v>
      </c>
      <c r="G148" s="288">
        <f t="shared" si="4"/>
        <v>964.032</v>
      </c>
    </row>
    <row r="149" spans="1:7" ht="12.75" customHeight="1">
      <c r="A149" s="73" t="s">
        <v>37</v>
      </c>
      <c r="B149" s="143" t="s">
        <v>209</v>
      </c>
      <c r="C149" s="279">
        <v>1658</v>
      </c>
      <c r="D149" s="362">
        <v>9205</v>
      </c>
      <c r="E149" s="368">
        <f>8100+2500+26300</f>
        <v>36900</v>
      </c>
      <c r="F149" s="306">
        <v>34344</v>
      </c>
      <c r="G149" s="288">
        <f t="shared" si="4"/>
        <v>1111.6494000000002</v>
      </c>
    </row>
    <row r="150" spans="1:7" ht="12.75" customHeight="1">
      <c r="A150" s="86" t="s">
        <v>37</v>
      </c>
      <c r="B150" s="7" t="s">
        <v>220</v>
      </c>
      <c r="C150" s="279">
        <v>0</v>
      </c>
      <c r="D150" s="362">
        <v>2806</v>
      </c>
      <c r="E150" s="306">
        <v>2806</v>
      </c>
      <c r="F150" s="306">
        <v>2583</v>
      </c>
      <c r="G150" s="288">
        <f t="shared" si="4"/>
        <v>84.53355599999999</v>
      </c>
    </row>
    <row r="151" spans="1:7" ht="12.75" customHeight="1">
      <c r="A151" s="165" t="s">
        <v>37</v>
      </c>
      <c r="B151" s="7" t="s">
        <v>213</v>
      </c>
      <c r="C151" s="279">
        <v>1660</v>
      </c>
      <c r="D151" s="279">
        <v>1660</v>
      </c>
      <c r="E151" s="368">
        <v>0</v>
      </c>
      <c r="F151" s="306">
        <v>0</v>
      </c>
      <c r="G151" s="288">
        <f t="shared" si="4"/>
        <v>0</v>
      </c>
    </row>
    <row r="152" spans="1:7" ht="12.75" customHeight="1">
      <c r="A152" s="165" t="s">
        <v>37</v>
      </c>
      <c r="B152" s="143" t="s">
        <v>228</v>
      </c>
      <c r="C152" s="279">
        <v>0</v>
      </c>
      <c r="D152" s="362">
        <v>1000</v>
      </c>
      <c r="E152" s="368">
        <v>1066</v>
      </c>
      <c r="F152" s="306">
        <v>1066</v>
      </c>
      <c r="G152" s="288">
        <f t="shared" si="4"/>
        <v>32.114316</v>
      </c>
    </row>
    <row r="153" spans="1:7" ht="12.75">
      <c r="A153" s="165" t="s">
        <v>37</v>
      </c>
      <c r="B153" s="143" t="s">
        <v>214</v>
      </c>
      <c r="C153" s="279">
        <v>1000</v>
      </c>
      <c r="D153" s="279">
        <v>1000</v>
      </c>
      <c r="E153" s="368">
        <f>5000+3000</f>
        <v>8000</v>
      </c>
      <c r="F153" s="306">
        <v>4998</v>
      </c>
      <c r="G153" s="288">
        <f t="shared" si="4"/>
        <v>241.008</v>
      </c>
    </row>
    <row r="154" spans="1:7" ht="12.75">
      <c r="A154" s="86" t="s">
        <v>37</v>
      </c>
      <c r="B154" s="37" t="s">
        <v>225</v>
      </c>
      <c r="C154" s="287">
        <v>0</v>
      </c>
      <c r="D154" s="363">
        <v>1340</v>
      </c>
      <c r="E154" s="400">
        <v>1340</v>
      </c>
      <c r="F154" s="400">
        <v>0</v>
      </c>
      <c r="G154" s="292">
        <f t="shared" si="4"/>
        <v>40.368840000000006</v>
      </c>
    </row>
    <row r="155" spans="1:7" ht="12.75">
      <c r="A155" s="165" t="s">
        <v>37</v>
      </c>
      <c r="B155" s="7" t="s">
        <v>226</v>
      </c>
      <c r="C155" s="279">
        <v>0</v>
      </c>
      <c r="D155" s="362">
        <v>32900</v>
      </c>
      <c r="E155" s="368">
        <f>32900+2500+3000</f>
        <v>38400</v>
      </c>
      <c r="F155" s="306">
        <v>32863</v>
      </c>
      <c r="G155" s="288">
        <f t="shared" si="4"/>
        <v>1156.8384</v>
      </c>
    </row>
    <row r="156" spans="1:9" ht="12.75">
      <c r="A156" s="165" t="s">
        <v>239</v>
      </c>
      <c r="B156" s="143" t="s">
        <v>227</v>
      </c>
      <c r="C156" s="279">
        <v>0</v>
      </c>
      <c r="D156" s="362">
        <v>1000</v>
      </c>
      <c r="E156" s="306">
        <v>1000</v>
      </c>
      <c r="F156" s="306">
        <v>800</v>
      </c>
      <c r="G156" s="288">
        <f>E156*$G$7/1000</f>
        <v>30.126</v>
      </c>
      <c r="H156" s="357"/>
      <c r="I156" s="357"/>
    </row>
    <row r="157" spans="1:10" ht="13.5" thickBot="1">
      <c r="A157" s="256" t="s">
        <v>37</v>
      </c>
      <c r="B157" s="257" t="s">
        <v>240</v>
      </c>
      <c r="C157" s="284">
        <v>0</v>
      </c>
      <c r="D157" s="384">
        <v>0</v>
      </c>
      <c r="E157" s="406">
        <v>2000</v>
      </c>
      <c r="F157" s="384">
        <v>1963</v>
      </c>
      <c r="G157" s="328">
        <f t="shared" si="4"/>
        <v>60.252</v>
      </c>
      <c r="H157" s="357">
        <f>SUM(C146:C157)</f>
        <v>15936</v>
      </c>
      <c r="I157" s="357">
        <f>SUM(E147:E157)</f>
        <v>178512</v>
      </c>
      <c r="J157" s="357">
        <f>SUM(F147:F157)</f>
        <v>104264</v>
      </c>
    </row>
    <row r="158" spans="1:10" ht="13.5" thickBot="1">
      <c r="A158" s="365" t="s">
        <v>39</v>
      </c>
      <c r="B158" s="366" t="s">
        <v>184</v>
      </c>
      <c r="C158" s="367">
        <v>3319</v>
      </c>
      <c r="D158" s="367">
        <v>3319</v>
      </c>
      <c r="E158" s="404">
        <v>0</v>
      </c>
      <c r="F158" s="401">
        <v>0</v>
      </c>
      <c r="G158" s="331">
        <f t="shared" si="4"/>
        <v>0</v>
      </c>
      <c r="J158" s="4"/>
    </row>
    <row r="159" spans="1:7" ht="12.75">
      <c r="A159" s="72" t="s">
        <v>41</v>
      </c>
      <c r="B159" s="37" t="s">
        <v>180</v>
      </c>
      <c r="C159" s="287">
        <v>8300</v>
      </c>
      <c r="D159" s="287">
        <v>8300</v>
      </c>
      <c r="E159" s="405">
        <v>0</v>
      </c>
      <c r="F159" s="400">
        <v>0</v>
      </c>
      <c r="G159" s="292">
        <f t="shared" si="4"/>
        <v>0</v>
      </c>
    </row>
    <row r="160" spans="1:7" ht="12.75">
      <c r="A160" s="142" t="s">
        <v>210</v>
      </c>
      <c r="B160" s="143" t="s">
        <v>80</v>
      </c>
      <c r="C160" s="279">
        <v>33194</v>
      </c>
      <c r="D160" s="362">
        <v>40194</v>
      </c>
      <c r="E160" s="362">
        <v>44704</v>
      </c>
      <c r="F160" s="306">
        <v>44704</v>
      </c>
      <c r="G160" s="288">
        <f t="shared" si="4"/>
        <v>1346.7527040000002</v>
      </c>
    </row>
    <row r="161" spans="1:7" ht="13.5" thickBot="1">
      <c r="A161" s="139" t="s">
        <v>210</v>
      </c>
      <c r="B161" s="39" t="s">
        <v>211</v>
      </c>
      <c r="C161" s="297">
        <v>205802</v>
      </c>
      <c r="D161" s="297">
        <v>205802</v>
      </c>
      <c r="E161" s="369">
        <v>0</v>
      </c>
      <c r="F161" s="296">
        <v>0</v>
      </c>
      <c r="G161" s="297">
        <f t="shared" si="4"/>
        <v>0</v>
      </c>
    </row>
    <row r="162" spans="1:9" ht="12.75" customHeight="1" thickBot="1">
      <c r="A162" s="409" t="s">
        <v>212</v>
      </c>
      <c r="B162" s="41" t="s">
        <v>179</v>
      </c>
      <c r="C162" s="410">
        <v>43152</v>
      </c>
      <c r="D162" s="410">
        <v>43152</v>
      </c>
      <c r="E162" s="411">
        <v>0</v>
      </c>
      <c r="F162" s="412">
        <v>0</v>
      </c>
      <c r="G162" s="413">
        <f t="shared" si="4"/>
        <v>0</v>
      </c>
      <c r="H162" s="146"/>
      <c r="I162" s="146"/>
    </row>
    <row r="163" spans="1:9" ht="13.5" thickBot="1">
      <c r="A163" s="74" t="s">
        <v>51</v>
      </c>
      <c r="B163" s="44" t="s">
        <v>157</v>
      </c>
      <c r="C163" s="284">
        <v>33194</v>
      </c>
      <c r="D163" s="364">
        <v>44134</v>
      </c>
      <c r="E163" s="408">
        <v>37000</v>
      </c>
      <c r="F163" s="384">
        <v>36638</v>
      </c>
      <c r="G163" s="328">
        <f t="shared" si="4"/>
        <v>1114.662</v>
      </c>
      <c r="H163" s="30"/>
      <c r="I163" s="30"/>
    </row>
    <row r="164" spans="1:9" ht="12.75" customHeight="1">
      <c r="A164" s="72" t="s">
        <v>58</v>
      </c>
      <c r="B164" s="37" t="s">
        <v>229</v>
      </c>
      <c r="C164" s="287">
        <v>0</v>
      </c>
      <c r="D164" s="363">
        <v>2000</v>
      </c>
      <c r="E164" s="363">
        <v>2600</v>
      </c>
      <c r="F164" s="400">
        <v>2565</v>
      </c>
      <c r="G164" s="292">
        <f t="shared" si="4"/>
        <v>78.3276</v>
      </c>
      <c r="H164" s="30"/>
      <c r="I164" s="30"/>
    </row>
    <row r="165" spans="1:7" ht="12.75" customHeight="1">
      <c r="A165" s="73" t="s">
        <v>59</v>
      </c>
      <c r="B165" s="7" t="s">
        <v>182</v>
      </c>
      <c r="C165" s="279">
        <v>65388</v>
      </c>
      <c r="D165" s="279">
        <v>65388</v>
      </c>
      <c r="E165" s="368">
        <v>0</v>
      </c>
      <c r="F165" s="306">
        <v>0</v>
      </c>
      <c r="G165" s="288">
        <f t="shared" si="4"/>
        <v>0</v>
      </c>
    </row>
    <row r="166" spans="1:7" ht="13.5" customHeight="1">
      <c r="A166" s="73" t="s">
        <v>60</v>
      </c>
      <c r="B166" s="7" t="s">
        <v>241</v>
      </c>
      <c r="C166" s="279">
        <v>0</v>
      </c>
      <c r="D166" s="279">
        <v>0</v>
      </c>
      <c r="E166" s="368">
        <v>34441</v>
      </c>
      <c r="F166" s="306">
        <v>0</v>
      </c>
      <c r="G166" s="288">
        <f>E166*$G$7/1000</f>
        <v>1037.569566</v>
      </c>
    </row>
    <row r="167" spans="1:7" ht="12.75" customHeight="1" thickBot="1">
      <c r="A167" s="74" t="s">
        <v>77</v>
      </c>
      <c r="B167" s="44" t="s">
        <v>186</v>
      </c>
      <c r="C167" s="284">
        <v>3320</v>
      </c>
      <c r="D167" s="284">
        <v>3320</v>
      </c>
      <c r="E167" s="406">
        <v>0</v>
      </c>
      <c r="F167" s="284">
        <v>0</v>
      </c>
      <c r="G167" s="297">
        <f t="shared" si="4"/>
        <v>0</v>
      </c>
    </row>
    <row r="168" ht="18.75" customHeight="1"/>
    <row r="169" spans="1:10" ht="15" customHeight="1">
      <c r="A169" s="28"/>
      <c r="B169" s="29"/>
      <c r="C169" s="29"/>
      <c r="D169" s="29"/>
      <c r="E169" s="29"/>
      <c r="F169" s="29"/>
      <c r="G169" s="145"/>
      <c r="J169" s="33"/>
    </row>
    <row r="170" spans="1:10" ht="15.75" customHeight="1">
      <c r="A170" s="29"/>
      <c r="B170" s="24"/>
      <c r="C170" s="24"/>
      <c r="D170" s="24"/>
      <c r="E170" s="24"/>
      <c r="F170" s="24"/>
      <c r="G170" s="30"/>
      <c r="J170" s="33"/>
    </row>
    <row r="171" spans="1:7" ht="18" customHeight="1" thickBot="1">
      <c r="A171" s="664" t="s">
        <v>81</v>
      </c>
      <c r="B171" s="665"/>
      <c r="C171" s="665"/>
      <c r="D171" s="665"/>
      <c r="E171" s="665"/>
      <c r="F171" s="665"/>
      <c r="G171" s="665"/>
    </row>
    <row r="172" spans="1:8" ht="25.5" customHeight="1">
      <c r="A172" s="608" t="s">
        <v>2</v>
      </c>
      <c r="B172" s="609"/>
      <c r="C172" s="598" t="s">
        <v>205</v>
      </c>
      <c r="D172" s="643" t="s">
        <v>233</v>
      </c>
      <c r="E172" s="643" t="s">
        <v>234</v>
      </c>
      <c r="F172" s="643" t="s">
        <v>242</v>
      </c>
      <c r="G172" s="598" t="s">
        <v>207</v>
      </c>
      <c r="H172" s="33"/>
    </row>
    <row r="173" spans="1:7" ht="13.5" thickBot="1">
      <c r="A173" s="619"/>
      <c r="B173" s="666"/>
      <c r="C173" s="667"/>
      <c r="D173" s="644"/>
      <c r="E173" s="644"/>
      <c r="F173" s="644"/>
      <c r="G173" s="667"/>
    </row>
    <row r="174" spans="1:7" ht="15.75">
      <c r="A174" s="604" t="s">
        <v>144</v>
      </c>
      <c r="B174" s="663"/>
      <c r="C174" s="267">
        <f>SUM(C175:C177)</f>
        <v>378476</v>
      </c>
      <c r="D174" s="267">
        <f>SUM(D175:D177)</f>
        <v>432551</v>
      </c>
      <c r="E174" s="267">
        <f>SUM(E175:E177)</f>
        <v>240495</v>
      </c>
      <c r="F174" s="267">
        <f>SUM(F175:F177)</f>
        <v>66338</v>
      </c>
      <c r="G174" s="268">
        <f>SUM(G175:G177)</f>
        <v>7245.152370000001</v>
      </c>
    </row>
    <row r="175" spans="1:9" ht="15.75" customHeight="1">
      <c r="A175" s="352">
        <v>411</v>
      </c>
      <c r="B175" s="351" t="s">
        <v>223</v>
      </c>
      <c r="C175" s="353">
        <v>0</v>
      </c>
      <c r="D175" s="354">
        <v>840</v>
      </c>
      <c r="E175" s="353">
        <v>840</v>
      </c>
      <c r="F175" s="353">
        <v>600</v>
      </c>
      <c r="G175" s="263">
        <f>E175*$G$7/1000</f>
        <v>25.30584</v>
      </c>
      <c r="H175" s="16"/>
      <c r="I175" s="19"/>
    </row>
    <row r="176" spans="1:11" ht="15" customHeight="1">
      <c r="A176" s="69">
        <v>454</v>
      </c>
      <c r="B176" s="6" t="s">
        <v>185</v>
      </c>
      <c r="C176" s="269">
        <v>172674</v>
      </c>
      <c r="D176" s="374">
        <f>219425+6484</f>
        <v>225909</v>
      </c>
      <c r="E176" s="374">
        <f>219425+7044</f>
        <v>226469</v>
      </c>
      <c r="F176" s="402">
        <v>65738</v>
      </c>
      <c r="G176" s="263">
        <f>E176*$G$7/1000</f>
        <v>6822.6050940000005</v>
      </c>
      <c r="H176" s="16"/>
      <c r="I176" s="19"/>
      <c r="K176" s="33"/>
    </row>
    <row r="177" spans="1:9" ht="15" customHeight="1">
      <c r="A177" s="69">
        <v>513</v>
      </c>
      <c r="B177" s="6" t="s">
        <v>201</v>
      </c>
      <c r="C177" s="269">
        <v>205802</v>
      </c>
      <c r="D177" s="269">
        <v>205802</v>
      </c>
      <c r="E177" s="374">
        <f>14444+664+6561+4510-1500-7754-4500-39+800</f>
        <v>13186</v>
      </c>
      <c r="F177" s="269">
        <v>0</v>
      </c>
      <c r="G177" s="263">
        <f>E177*$G$7/1000</f>
        <v>397.241436</v>
      </c>
      <c r="H177" s="355"/>
      <c r="I177" s="16"/>
    </row>
    <row r="178" spans="1:9" ht="17.25" customHeight="1">
      <c r="A178" s="604" t="s">
        <v>145</v>
      </c>
      <c r="B178" s="663"/>
      <c r="C178" s="267">
        <f>SUM(C179:C180)</f>
        <v>531</v>
      </c>
      <c r="D178" s="267">
        <f>SUM(D179:D180)</f>
        <v>3196</v>
      </c>
      <c r="E178" s="267">
        <f>SUM(E179:E180)</f>
        <v>3196</v>
      </c>
      <c r="F178" s="267">
        <f>SUM(F179:F180)</f>
        <v>3069</v>
      </c>
      <c r="G178" s="268">
        <f>SUM(G179:G180)</f>
        <v>96.282696</v>
      </c>
      <c r="H178" s="16"/>
      <c r="I178" s="31"/>
    </row>
    <row r="179" spans="1:9" ht="15.75">
      <c r="A179" s="371">
        <v>812</v>
      </c>
      <c r="B179" s="370" t="s">
        <v>230</v>
      </c>
      <c r="C179" s="372">
        <v>0</v>
      </c>
      <c r="D179" s="373">
        <v>2665</v>
      </c>
      <c r="E179" s="372">
        <v>2665</v>
      </c>
      <c r="F179" s="403">
        <v>2665</v>
      </c>
      <c r="G179" s="263">
        <f>E179*$G$7/1000</f>
        <v>80.28579</v>
      </c>
      <c r="H179" s="16"/>
      <c r="I179" s="31"/>
    </row>
    <row r="180" spans="1:7" ht="13.5" thickBot="1">
      <c r="A180" s="70">
        <v>821</v>
      </c>
      <c r="B180" s="61" t="s">
        <v>138</v>
      </c>
      <c r="C180" s="270">
        <v>531</v>
      </c>
      <c r="D180" s="270">
        <v>531</v>
      </c>
      <c r="E180" s="270">
        <v>531</v>
      </c>
      <c r="F180" s="384">
        <v>404</v>
      </c>
      <c r="G180" s="285">
        <f>E180*$G$7/1000</f>
        <v>15.996906000000001</v>
      </c>
    </row>
    <row r="181" spans="1:7" ht="15.75">
      <c r="A181" s="14"/>
      <c r="B181" s="15"/>
      <c r="C181" s="15"/>
      <c r="D181" s="15"/>
      <c r="E181" s="15"/>
      <c r="F181" s="15"/>
      <c r="G181" s="16"/>
    </row>
    <row r="182" spans="1:7" ht="15.75">
      <c r="A182" s="14"/>
      <c r="B182" s="15"/>
      <c r="C182" s="15"/>
      <c r="D182" s="15"/>
      <c r="E182" s="15"/>
      <c r="F182" s="15"/>
      <c r="G182" s="16"/>
    </row>
    <row r="183" spans="1:7" ht="15.75" customHeight="1">
      <c r="A183" s="14"/>
      <c r="B183" s="15"/>
      <c r="C183" s="15"/>
      <c r="D183" s="15"/>
      <c r="E183" s="15"/>
      <c r="F183" s="15"/>
      <c r="G183" s="16"/>
    </row>
    <row r="184" spans="1:7" ht="15.75">
      <c r="A184" s="14"/>
      <c r="B184" s="15"/>
      <c r="C184" s="15"/>
      <c r="D184" s="15"/>
      <c r="E184" s="15"/>
      <c r="F184" s="15"/>
      <c r="G184" s="16"/>
    </row>
    <row r="185" spans="1:7" ht="15.75">
      <c r="A185" s="14"/>
      <c r="B185" s="15"/>
      <c r="C185" s="15"/>
      <c r="D185" s="15"/>
      <c r="E185" s="15"/>
      <c r="F185" s="15"/>
      <c r="G185" s="16"/>
    </row>
    <row r="186" spans="2:7" ht="12.75">
      <c r="B186" s="24"/>
      <c r="C186" s="24"/>
      <c r="D186" s="24"/>
      <c r="E186" s="24"/>
      <c r="F186" s="24"/>
      <c r="G186" s="31"/>
    </row>
    <row r="187" spans="1:7" ht="24" customHeight="1" thickBot="1">
      <c r="A187" s="606" t="s">
        <v>146</v>
      </c>
      <c r="B187" s="607"/>
      <c r="C187" s="607"/>
      <c r="D187" s="607"/>
      <c r="E187" s="607"/>
      <c r="F187" s="607"/>
      <c r="G187" s="607"/>
    </row>
    <row r="188" spans="1:7" ht="26.25" customHeight="1">
      <c r="A188" s="608" t="s">
        <v>2</v>
      </c>
      <c r="B188" s="609"/>
      <c r="C188" s="651" t="s">
        <v>205</v>
      </c>
      <c r="D188" s="643" t="s">
        <v>233</v>
      </c>
      <c r="E188" s="643" t="s">
        <v>234</v>
      </c>
      <c r="F188" s="643" t="s">
        <v>242</v>
      </c>
      <c r="G188" s="651" t="s">
        <v>206</v>
      </c>
    </row>
    <row r="189" spans="1:7" ht="13.5" thickBot="1">
      <c r="A189" s="610"/>
      <c r="B189" s="611"/>
      <c r="C189" s="652"/>
      <c r="D189" s="644"/>
      <c r="E189" s="644"/>
      <c r="F189" s="644"/>
      <c r="G189" s="652"/>
    </row>
    <row r="190" spans="1:7" ht="15">
      <c r="A190" s="169" t="s">
        <v>82</v>
      </c>
      <c r="B190" s="37"/>
      <c r="C190" s="260">
        <f>C73</f>
        <v>1169587</v>
      </c>
      <c r="D190" s="260">
        <f>D73</f>
        <v>1251208</v>
      </c>
      <c r="E190" s="260">
        <f>E73</f>
        <v>1257785</v>
      </c>
      <c r="F190" s="260">
        <f>F73</f>
        <v>956420</v>
      </c>
      <c r="G190" s="260">
        <f>G73</f>
        <v>37892.03091000001</v>
      </c>
    </row>
    <row r="191" spans="1:7" ht="15">
      <c r="A191" s="77" t="s">
        <v>83</v>
      </c>
      <c r="B191" s="7"/>
      <c r="C191" s="261">
        <f>C135</f>
        <v>1135927</v>
      </c>
      <c r="D191" s="261">
        <f>D135</f>
        <v>1221486</v>
      </c>
      <c r="E191" s="261">
        <f>E135</f>
        <v>1212702</v>
      </c>
      <c r="F191" s="261">
        <f>F135</f>
        <v>850311</v>
      </c>
      <c r="G191" s="261">
        <f>G135</f>
        <v>36533.860452</v>
      </c>
    </row>
    <row r="192" spans="1:7" ht="15.75">
      <c r="A192" s="68"/>
      <c r="B192" s="32" t="s">
        <v>84</v>
      </c>
      <c r="C192" s="262">
        <f>C190-C191</f>
        <v>33660</v>
      </c>
      <c r="D192" s="262">
        <f>D190-D191</f>
        <v>29722</v>
      </c>
      <c r="E192" s="262">
        <f>E190-E191</f>
        <v>45083</v>
      </c>
      <c r="F192" s="262">
        <f>F190-F191</f>
        <v>106109</v>
      </c>
      <c r="G192" s="262">
        <f>G190-G191</f>
        <v>1358.1704580000078</v>
      </c>
    </row>
    <row r="193" spans="1:7" ht="15">
      <c r="A193" s="77" t="s">
        <v>85</v>
      </c>
      <c r="B193" s="7"/>
      <c r="C193" s="261">
        <f>C141</f>
        <v>0</v>
      </c>
      <c r="D193" s="261">
        <f>D141</f>
        <v>20001</v>
      </c>
      <c r="E193" s="261">
        <f>E141</f>
        <v>23077</v>
      </c>
      <c r="F193" s="261">
        <f>F141</f>
        <v>23077</v>
      </c>
      <c r="G193" s="261">
        <f>G141</f>
        <v>695.217702</v>
      </c>
    </row>
    <row r="194" spans="1:7" ht="15">
      <c r="A194" s="77" t="s">
        <v>86</v>
      </c>
      <c r="B194" s="7"/>
      <c r="C194" s="263">
        <f>C145</f>
        <v>411605</v>
      </c>
      <c r="D194" s="263">
        <f>D145</f>
        <v>479078</v>
      </c>
      <c r="E194" s="263">
        <f>E145</f>
        <v>305459</v>
      </c>
      <c r="F194" s="263">
        <f>F145</f>
        <v>192455</v>
      </c>
      <c r="G194" s="263">
        <f>G145</f>
        <v>9202.257834</v>
      </c>
    </row>
    <row r="195" spans="1:7" ht="15.75">
      <c r="A195" s="68"/>
      <c r="B195" s="34" t="s">
        <v>87</v>
      </c>
      <c r="C195" s="262">
        <f>C193-C194</f>
        <v>-411605</v>
      </c>
      <c r="D195" s="262">
        <f>D193-D194</f>
        <v>-459077</v>
      </c>
      <c r="E195" s="262">
        <f>E193-E194</f>
        <v>-282382</v>
      </c>
      <c r="F195" s="262">
        <f>F193-F194</f>
        <v>-169378</v>
      </c>
      <c r="G195" s="262">
        <f>G193-G194</f>
        <v>-8507.040132</v>
      </c>
    </row>
    <row r="196" spans="1:7" ht="15">
      <c r="A196" s="592" t="s">
        <v>140</v>
      </c>
      <c r="B196" s="593"/>
      <c r="C196" s="264">
        <f>C174</f>
        <v>378476</v>
      </c>
      <c r="D196" s="264">
        <f>D174</f>
        <v>432551</v>
      </c>
      <c r="E196" s="264">
        <f>E174</f>
        <v>240495</v>
      </c>
      <c r="F196" s="264">
        <f>F174</f>
        <v>66338</v>
      </c>
      <c r="G196" s="264">
        <f>G174</f>
        <v>7245.152370000001</v>
      </c>
    </row>
    <row r="197" spans="1:7" ht="15">
      <c r="A197" s="592" t="s">
        <v>139</v>
      </c>
      <c r="B197" s="593"/>
      <c r="C197" s="264">
        <f>C178</f>
        <v>531</v>
      </c>
      <c r="D197" s="264">
        <f>D178</f>
        <v>3196</v>
      </c>
      <c r="E197" s="264">
        <f>E178</f>
        <v>3196</v>
      </c>
      <c r="F197" s="264">
        <f>F178</f>
        <v>3069</v>
      </c>
      <c r="G197" s="264">
        <f>G178</f>
        <v>96.282696</v>
      </c>
    </row>
    <row r="198" spans="1:7" ht="16.5" thickBot="1">
      <c r="A198" s="78"/>
      <c r="B198" s="79" t="s">
        <v>141</v>
      </c>
      <c r="C198" s="265">
        <f>C196-C197</f>
        <v>377945</v>
      </c>
      <c r="D198" s="265">
        <f>D196-D197</f>
        <v>429355</v>
      </c>
      <c r="E198" s="265">
        <f>E196-E197</f>
        <v>237299</v>
      </c>
      <c r="F198" s="265">
        <f>F196-F197</f>
        <v>63269</v>
      </c>
      <c r="G198" s="265">
        <f>G196-G197</f>
        <v>7148.8696740000005</v>
      </c>
    </row>
    <row r="199" spans="1:7" ht="16.5" thickBot="1">
      <c r="A199" s="594" t="s">
        <v>88</v>
      </c>
      <c r="B199" s="595"/>
      <c r="C199" s="266">
        <f>C192+C195+C198</f>
        <v>0</v>
      </c>
      <c r="D199" s="266">
        <f>D192+D195+D198</f>
        <v>0</v>
      </c>
      <c r="E199" s="266">
        <f>E192+E195+E198</f>
        <v>0</v>
      </c>
      <c r="F199" s="266">
        <f>F192+F195+F198</f>
        <v>0</v>
      </c>
      <c r="G199" s="266">
        <f>G192+G195+G198</f>
        <v>8.185452315956354E-12</v>
      </c>
    </row>
    <row r="200" ht="12.75">
      <c r="G200" s="99"/>
    </row>
    <row r="201" spans="2:7" ht="12.75">
      <c r="B201" s="35" t="s">
        <v>231</v>
      </c>
      <c r="C201" s="99">
        <f aca="true" t="shared" si="5" ref="C201:G202">C190+C193+C196</f>
        <v>1548063</v>
      </c>
      <c r="D201" s="99">
        <f>D190+D193+D196</f>
        <v>1703760</v>
      </c>
      <c r="E201" s="99">
        <f t="shared" si="5"/>
        <v>1521357</v>
      </c>
      <c r="F201" s="99">
        <f>F190+F193+F196</f>
        <v>1045835</v>
      </c>
      <c r="G201" s="99">
        <f t="shared" si="5"/>
        <v>45832.400982000014</v>
      </c>
    </row>
    <row r="202" spans="2:7" ht="12.75">
      <c r="B202" s="35" t="s">
        <v>232</v>
      </c>
      <c r="C202" s="99">
        <f t="shared" si="5"/>
        <v>1548063</v>
      </c>
      <c r="D202" s="99">
        <f>D191+D194+D197</f>
        <v>1703760</v>
      </c>
      <c r="E202" s="99">
        <f t="shared" si="5"/>
        <v>1521357</v>
      </c>
      <c r="F202" s="99">
        <f>F191+F194+F197</f>
        <v>1045835</v>
      </c>
      <c r="G202" s="99">
        <f t="shared" si="5"/>
        <v>45832.400982</v>
      </c>
    </row>
    <row r="203" spans="2:7" ht="12.75">
      <c r="B203" s="35"/>
      <c r="C203" s="99"/>
      <c r="D203" s="99"/>
      <c r="E203" s="99"/>
      <c r="F203" s="99"/>
      <c r="G203" s="99"/>
    </row>
    <row r="204" spans="2:7" ht="12.75">
      <c r="B204" s="35" t="s">
        <v>155</v>
      </c>
      <c r="C204" s="99">
        <f>C201-C72</f>
        <v>1545441</v>
      </c>
      <c r="D204" s="99">
        <f>D201-D72</f>
        <v>1701127</v>
      </c>
      <c r="E204" s="99">
        <f>E201-E72</f>
        <v>1518624</v>
      </c>
      <c r="F204" s="99">
        <f>F201-F72</f>
        <v>1043710</v>
      </c>
      <c r="G204" s="99">
        <f>G201-G72</f>
        <v>45750.066624000014</v>
      </c>
    </row>
    <row r="205" spans="2:9" ht="12.75">
      <c r="B205" s="35" t="s">
        <v>160</v>
      </c>
      <c r="C205" s="99">
        <f>C202-C134</f>
        <v>1236805</v>
      </c>
      <c r="D205" s="99">
        <f>D202-D134</f>
        <v>1371117</v>
      </c>
      <c r="E205" s="99">
        <f>E202-E134</f>
        <v>1185484</v>
      </c>
      <c r="F205" s="99">
        <f>F202-F134</f>
        <v>795013</v>
      </c>
      <c r="G205" s="99">
        <f>G202-G134</f>
        <v>35713.890984</v>
      </c>
      <c r="I205" s="99"/>
    </row>
  </sheetData>
  <sheetProtection/>
  <mergeCells count="55">
    <mergeCell ref="A9:B10"/>
    <mergeCell ref="A1:G1"/>
    <mergeCell ref="A2:G2"/>
    <mergeCell ref="A3:G3"/>
    <mergeCell ref="A8:G8"/>
    <mergeCell ref="A4:G4"/>
    <mergeCell ref="A5:G5"/>
    <mergeCell ref="C9:C10"/>
    <mergeCell ref="G9:G10"/>
    <mergeCell ref="A11:B11"/>
    <mergeCell ref="D9:D10"/>
    <mergeCell ref="F9:F10"/>
    <mergeCell ref="A77:B78"/>
    <mergeCell ref="C77:C78"/>
    <mergeCell ref="A20:B20"/>
    <mergeCell ref="A39:B39"/>
    <mergeCell ref="A41:B41"/>
    <mergeCell ref="A76:G76"/>
    <mergeCell ref="D77:D78"/>
    <mergeCell ref="F77:F78"/>
    <mergeCell ref="A86:B86"/>
    <mergeCell ref="G77:G78"/>
    <mergeCell ref="D139:D140"/>
    <mergeCell ref="F139:F140"/>
    <mergeCell ref="A84:B84"/>
    <mergeCell ref="A134:B134"/>
    <mergeCell ref="A138:G138"/>
    <mergeCell ref="A139:B140"/>
    <mergeCell ref="C139:C140"/>
    <mergeCell ref="G139:G140"/>
    <mergeCell ref="A114:B114"/>
    <mergeCell ref="A145:B145"/>
    <mergeCell ref="A141:B141"/>
    <mergeCell ref="A171:G171"/>
    <mergeCell ref="A172:B173"/>
    <mergeCell ref="C172:C173"/>
    <mergeCell ref="G172:G173"/>
    <mergeCell ref="D172:D173"/>
    <mergeCell ref="F172:F173"/>
    <mergeCell ref="A187:G187"/>
    <mergeCell ref="A188:B189"/>
    <mergeCell ref="C188:C189"/>
    <mergeCell ref="G188:G189"/>
    <mergeCell ref="D188:D189"/>
    <mergeCell ref="F188:F189"/>
    <mergeCell ref="A196:B196"/>
    <mergeCell ref="A197:B197"/>
    <mergeCell ref="A199:B199"/>
    <mergeCell ref="E9:E10"/>
    <mergeCell ref="E77:E78"/>
    <mergeCell ref="E139:E140"/>
    <mergeCell ref="E172:E173"/>
    <mergeCell ref="E188:E189"/>
    <mergeCell ref="A174:B174"/>
    <mergeCell ref="A178:B178"/>
  </mergeCells>
  <printOptions/>
  <pageMargins left="0.44" right="0.24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60">
      <selection activeCell="B188" sqref="B188"/>
    </sheetView>
  </sheetViews>
  <sheetFormatPr defaultColWidth="9.00390625" defaultRowHeight="12.75"/>
  <cols>
    <col min="1" max="1" width="6.00390625" style="0" customWidth="1"/>
    <col min="2" max="2" width="46.75390625" style="0" customWidth="1"/>
    <col min="3" max="3" width="11.75390625" style="0" customWidth="1"/>
    <col min="4" max="4" width="12.875" style="0" customWidth="1"/>
    <col min="5" max="9" width="10.75390625" style="0" customWidth="1"/>
  </cols>
  <sheetData>
    <row r="1" spans="1:7" ht="20.25">
      <c r="A1" s="634" t="s">
        <v>172</v>
      </c>
      <c r="B1" s="634"/>
      <c r="C1" s="634"/>
      <c r="D1" s="634"/>
      <c r="E1" s="1"/>
      <c r="F1" s="1"/>
      <c r="G1" s="1"/>
    </row>
    <row r="2" spans="1:9" ht="15.75">
      <c r="A2" s="635"/>
      <c r="B2" s="635"/>
      <c r="C2" s="635"/>
      <c r="D2" s="635"/>
      <c r="E2" s="2"/>
      <c r="F2" s="2"/>
      <c r="G2" s="2"/>
      <c r="H2" s="2"/>
      <c r="I2" s="2"/>
    </row>
    <row r="3" spans="1:9" ht="15.75">
      <c r="A3" s="637" t="s">
        <v>204</v>
      </c>
      <c r="B3" s="637"/>
      <c r="C3" s="637"/>
      <c r="D3" s="637"/>
      <c r="E3" s="135"/>
      <c r="F3" s="135"/>
      <c r="G3" s="2"/>
      <c r="H3" s="2"/>
      <c r="I3" s="2"/>
    </row>
    <row r="4" spans="1:9" ht="6.75" customHeight="1">
      <c r="A4" s="150"/>
      <c r="B4" s="150"/>
      <c r="C4" s="150"/>
      <c r="D4" s="150"/>
      <c r="E4" s="135"/>
      <c r="F4" s="135"/>
      <c r="G4" s="2"/>
      <c r="H4" s="2"/>
      <c r="I4" s="2"/>
    </row>
    <row r="5" spans="1:9" ht="15.75">
      <c r="A5" s="135" t="s">
        <v>175</v>
      </c>
      <c r="B5" s="135"/>
      <c r="C5" s="135"/>
      <c r="D5" s="135"/>
      <c r="E5" s="135"/>
      <c r="F5" s="135"/>
      <c r="G5" s="135"/>
      <c r="H5" s="2"/>
      <c r="I5" s="2"/>
    </row>
    <row r="6" spans="5:9" ht="15.75">
      <c r="E6" s="19"/>
      <c r="F6" s="19"/>
      <c r="G6" s="19"/>
      <c r="H6" s="2"/>
      <c r="I6" s="2"/>
    </row>
    <row r="7" spans="1:7" ht="18.75" thickBot="1">
      <c r="A7" s="632" t="s">
        <v>1</v>
      </c>
      <c r="B7" s="633"/>
      <c r="C7" s="633"/>
      <c r="D7" s="633"/>
      <c r="E7" s="93"/>
      <c r="F7" s="93"/>
      <c r="G7" s="93"/>
    </row>
    <row r="8" spans="1:9" ht="23.25" customHeight="1">
      <c r="A8" s="608" t="s">
        <v>2</v>
      </c>
      <c r="B8" s="609"/>
      <c r="C8" s="598" t="s">
        <v>205</v>
      </c>
      <c r="D8" s="598" t="s">
        <v>207</v>
      </c>
      <c r="H8" s="3"/>
      <c r="I8" s="3"/>
    </row>
    <row r="9" spans="1:4" ht="12.75" customHeight="1" thickBot="1">
      <c r="A9" s="628"/>
      <c r="B9" s="629"/>
      <c r="C9" s="612"/>
      <c r="D9" s="612"/>
    </row>
    <row r="10" spans="1:4" ht="13.5" thickBot="1">
      <c r="A10" s="630" t="s">
        <v>3</v>
      </c>
      <c r="B10" s="631"/>
      <c r="C10" s="326">
        <f>SUM(C11:C18)</f>
        <v>720640</v>
      </c>
      <c r="D10" s="327">
        <f>SUM(D11:D18)</f>
        <v>21710</v>
      </c>
    </row>
    <row r="11" spans="1:4" ht="13.5" thickBot="1">
      <c r="A11" s="46">
        <v>111</v>
      </c>
      <c r="B11" s="46" t="s">
        <v>4</v>
      </c>
      <c r="C11" s="332">
        <v>680475</v>
      </c>
      <c r="D11" s="316">
        <v>20500</v>
      </c>
    </row>
    <row r="12" spans="1:4" ht="12.75">
      <c r="A12" s="36">
        <v>121</v>
      </c>
      <c r="B12" s="37" t="s">
        <v>92</v>
      </c>
      <c r="C12" s="292">
        <v>13211</v>
      </c>
      <c r="D12" s="292">
        <v>398</v>
      </c>
    </row>
    <row r="13" spans="1:4" ht="12.75">
      <c r="A13" s="6">
        <v>121</v>
      </c>
      <c r="B13" s="7" t="s">
        <v>93</v>
      </c>
      <c r="C13" s="288">
        <v>12879</v>
      </c>
      <c r="D13" s="288">
        <f>388</f>
        <v>388</v>
      </c>
    </row>
    <row r="14" spans="1:5" ht="13.5" thickBot="1">
      <c r="A14" s="38">
        <v>121</v>
      </c>
      <c r="B14" s="39" t="s">
        <v>5</v>
      </c>
      <c r="C14" s="297">
        <v>66</v>
      </c>
      <c r="D14" s="297">
        <v>2</v>
      </c>
      <c r="E14" s="92"/>
    </row>
    <row r="15" spans="1:4" ht="12.75">
      <c r="A15" s="36">
        <v>133</v>
      </c>
      <c r="B15" s="37" t="s">
        <v>6</v>
      </c>
      <c r="C15" s="292">
        <v>498</v>
      </c>
      <c r="D15" s="292">
        <v>15</v>
      </c>
    </row>
    <row r="16" spans="1:4" ht="12.75">
      <c r="A16" s="6">
        <v>133</v>
      </c>
      <c r="B16" s="7" t="s">
        <v>7</v>
      </c>
      <c r="C16" s="288">
        <v>232</v>
      </c>
      <c r="D16" s="288">
        <v>7</v>
      </c>
    </row>
    <row r="17" spans="1:4" ht="12.75">
      <c r="A17" s="6">
        <v>133</v>
      </c>
      <c r="B17" s="7" t="s">
        <v>8</v>
      </c>
      <c r="C17" s="288">
        <v>1660</v>
      </c>
      <c r="D17" s="288">
        <v>50</v>
      </c>
    </row>
    <row r="18" spans="1:5" ht="13.5" thickBot="1">
      <c r="A18" s="38">
        <v>133</v>
      </c>
      <c r="B18" s="39" t="s">
        <v>9</v>
      </c>
      <c r="C18" s="297">
        <v>11619</v>
      </c>
      <c r="D18" s="297">
        <v>350</v>
      </c>
      <c r="E18" s="92"/>
    </row>
    <row r="19" spans="1:4" ht="13.5" thickBot="1">
      <c r="A19" s="630" t="s">
        <v>10</v>
      </c>
      <c r="B19" s="631"/>
      <c r="C19" s="326">
        <f>SUM(C20:C37)</f>
        <v>81524</v>
      </c>
      <c r="D19" s="327">
        <f>SUM(D20:D37)</f>
        <v>2456</v>
      </c>
    </row>
    <row r="20" spans="1:4" ht="12.75">
      <c r="A20" s="91">
        <v>212</v>
      </c>
      <c r="B20" s="66" t="s">
        <v>11</v>
      </c>
      <c r="C20" s="310">
        <v>498</v>
      </c>
      <c r="D20" s="310">
        <v>15</v>
      </c>
    </row>
    <row r="21" spans="1:4" ht="12.75">
      <c r="A21" s="36">
        <v>212</v>
      </c>
      <c r="B21" s="37" t="s">
        <v>148</v>
      </c>
      <c r="C21" s="292">
        <v>1660</v>
      </c>
      <c r="D21" s="292">
        <v>50</v>
      </c>
    </row>
    <row r="22" spans="1:4" ht="12.75">
      <c r="A22" s="6">
        <v>212</v>
      </c>
      <c r="B22" s="7" t="s">
        <v>12</v>
      </c>
      <c r="C22" s="288">
        <v>3917</v>
      </c>
      <c r="D22" s="288">
        <v>118</v>
      </c>
    </row>
    <row r="23" spans="1:5" ht="12.75">
      <c r="A23" s="6">
        <v>212</v>
      </c>
      <c r="B23" s="7" t="s">
        <v>13</v>
      </c>
      <c r="C23" s="288">
        <v>9958</v>
      </c>
      <c r="D23" s="288">
        <v>300</v>
      </c>
      <c r="E23" s="92"/>
    </row>
    <row r="24" spans="1:5" ht="13.5" thickBot="1">
      <c r="A24" s="45">
        <v>212</v>
      </c>
      <c r="B24" s="44" t="s">
        <v>171</v>
      </c>
      <c r="C24" s="328">
        <v>33</v>
      </c>
      <c r="D24" s="328">
        <v>1</v>
      </c>
      <c r="E24" s="92"/>
    </row>
    <row r="25" spans="1:4" ht="13.5" thickBot="1">
      <c r="A25" s="40">
        <v>221</v>
      </c>
      <c r="B25" s="41" t="s">
        <v>14</v>
      </c>
      <c r="C25" s="331">
        <v>9958</v>
      </c>
      <c r="D25" s="331">
        <v>300</v>
      </c>
    </row>
    <row r="26" spans="1:4" ht="13.5" thickBot="1">
      <c r="A26" s="40">
        <v>222</v>
      </c>
      <c r="B26" s="41" t="s">
        <v>149</v>
      </c>
      <c r="C26" s="331">
        <v>33</v>
      </c>
      <c r="D26" s="331">
        <v>1</v>
      </c>
    </row>
    <row r="27" spans="1:4" ht="12.75">
      <c r="A27" s="36">
        <v>223</v>
      </c>
      <c r="B27" s="37" t="s">
        <v>189</v>
      </c>
      <c r="C27" s="292">
        <v>996</v>
      </c>
      <c r="D27" s="292">
        <v>30</v>
      </c>
    </row>
    <row r="28" spans="1:4" ht="12.75">
      <c r="A28" s="6">
        <v>223</v>
      </c>
      <c r="B28" s="7" t="s">
        <v>16</v>
      </c>
      <c r="C28" s="288">
        <v>664</v>
      </c>
      <c r="D28" s="288">
        <v>20</v>
      </c>
    </row>
    <row r="29" spans="1:4" ht="12.75">
      <c r="A29" s="6">
        <v>223</v>
      </c>
      <c r="B29" s="7" t="s">
        <v>94</v>
      </c>
      <c r="C29" s="288">
        <v>1029</v>
      </c>
      <c r="D29" s="288">
        <v>31</v>
      </c>
    </row>
    <row r="30" spans="1:4" ht="12.75">
      <c r="A30" s="6">
        <v>223</v>
      </c>
      <c r="B30" s="7" t="s">
        <v>168</v>
      </c>
      <c r="C30" s="288">
        <v>8298</v>
      </c>
      <c r="D30" s="288">
        <v>250</v>
      </c>
    </row>
    <row r="31" spans="1:4" ht="12.75">
      <c r="A31" s="6">
        <v>223</v>
      </c>
      <c r="B31" s="7" t="s">
        <v>95</v>
      </c>
      <c r="C31" s="288">
        <v>1660</v>
      </c>
      <c r="D31" s="288">
        <v>50</v>
      </c>
    </row>
    <row r="32" spans="1:4" ht="12.75">
      <c r="A32" s="6">
        <v>223</v>
      </c>
      <c r="B32" s="7" t="s">
        <v>17</v>
      </c>
      <c r="C32" s="288">
        <v>8298</v>
      </c>
      <c r="D32" s="288">
        <v>250</v>
      </c>
    </row>
    <row r="33" spans="1:4" ht="12.75">
      <c r="A33" s="6">
        <v>223</v>
      </c>
      <c r="B33" s="7" t="s">
        <v>188</v>
      </c>
      <c r="C33" s="288">
        <v>15601</v>
      </c>
      <c r="D33" s="288">
        <v>470</v>
      </c>
    </row>
    <row r="34" spans="1:4" ht="12.75">
      <c r="A34" s="6">
        <v>223</v>
      </c>
      <c r="B34" s="7" t="s">
        <v>96</v>
      </c>
      <c r="C34" s="288">
        <v>5311</v>
      </c>
      <c r="D34" s="288">
        <v>160</v>
      </c>
    </row>
    <row r="35" spans="1:4" ht="12.75">
      <c r="A35" s="6">
        <v>223</v>
      </c>
      <c r="B35" s="7" t="s">
        <v>97</v>
      </c>
      <c r="C35" s="288">
        <v>1660</v>
      </c>
      <c r="D35" s="288">
        <v>50</v>
      </c>
    </row>
    <row r="36" spans="1:4" ht="12.75">
      <c r="A36" s="6">
        <v>223</v>
      </c>
      <c r="B36" s="7" t="s">
        <v>98</v>
      </c>
      <c r="C36" s="288">
        <v>11618</v>
      </c>
      <c r="D36" s="295">
        <v>350</v>
      </c>
    </row>
    <row r="37" spans="1:5" ht="13.5" thickBot="1">
      <c r="A37" s="38">
        <v>223</v>
      </c>
      <c r="B37" s="39" t="s">
        <v>18</v>
      </c>
      <c r="C37" s="297">
        <v>332</v>
      </c>
      <c r="D37" s="297">
        <v>10</v>
      </c>
      <c r="E37" s="92"/>
    </row>
    <row r="38" spans="1:4" ht="13.5" thickBot="1">
      <c r="A38" s="630" t="s">
        <v>19</v>
      </c>
      <c r="B38" s="631"/>
      <c r="C38" s="326">
        <v>6638.783774812454</v>
      </c>
      <c r="D38" s="327">
        <f>SUM(D39)</f>
        <v>200</v>
      </c>
    </row>
    <row r="39" spans="1:4" ht="13.5" thickBot="1">
      <c r="A39" s="44">
        <v>240</v>
      </c>
      <c r="B39" s="44" t="s">
        <v>20</v>
      </c>
      <c r="C39" s="328">
        <v>6639</v>
      </c>
      <c r="D39" s="328">
        <v>200</v>
      </c>
    </row>
    <row r="40" spans="1:4" ht="13.5" thickBot="1">
      <c r="A40" s="630" t="s">
        <v>15</v>
      </c>
      <c r="B40" s="631"/>
      <c r="C40" s="326">
        <f>SUM(C41:C52)</f>
        <v>29841</v>
      </c>
      <c r="D40" s="327">
        <f>SUM(D41:D52)</f>
        <v>899</v>
      </c>
    </row>
    <row r="41" spans="1:5" ht="12.75">
      <c r="A41" s="42">
        <v>292</v>
      </c>
      <c r="B41" s="43" t="s">
        <v>164</v>
      </c>
      <c r="C41" s="293">
        <v>663</v>
      </c>
      <c r="D41" s="293">
        <v>20</v>
      </c>
      <c r="E41" s="19"/>
    </row>
    <row r="42" spans="1:4" ht="12.75">
      <c r="A42" s="42">
        <v>292</v>
      </c>
      <c r="B42" s="43" t="s">
        <v>103</v>
      </c>
      <c r="C42" s="293">
        <v>199</v>
      </c>
      <c r="D42" s="293">
        <v>6</v>
      </c>
    </row>
    <row r="43" spans="1:4" ht="12.75">
      <c r="A43" s="8">
        <v>292</v>
      </c>
      <c r="B43" s="9" t="s">
        <v>169</v>
      </c>
      <c r="C43" s="312">
        <v>1162</v>
      </c>
      <c r="D43" s="312">
        <v>35</v>
      </c>
    </row>
    <row r="44" spans="1:4" ht="12.75">
      <c r="A44" s="8">
        <v>292</v>
      </c>
      <c r="B44" s="7" t="s">
        <v>100</v>
      </c>
      <c r="C44" s="329">
        <v>133</v>
      </c>
      <c r="D44" s="312">
        <v>4</v>
      </c>
    </row>
    <row r="45" spans="1:4" ht="12.75">
      <c r="A45" s="8">
        <v>292</v>
      </c>
      <c r="B45" s="9" t="s">
        <v>176</v>
      </c>
      <c r="C45" s="312">
        <v>6307</v>
      </c>
      <c r="D45" s="312">
        <v>190</v>
      </c>
    </row>
    <row r="46" spans="1:4" ht="12.75">
      <c r="A46" s="8">
        <v>292</v>
      </c>
      <c r="B46" s="9" t="s">
        <v>150</v>
      </c>
      <c r="C46" s="312">
        <v>498</v>
      </c>
      <c r="D46" s="312">
        <v>15</v>
      </c>
    </row>
    <row r="47" spans="1:4" ht="12.75">
      <c r="A47" s="8">
        <v>292</v>
      </c>
      <c r="B47" s="9" t="s">
        <v>153</v>
      </c>
      <c r="C47" s="312">
        <v>166</v>
      </c>
      <c r="D47" s="312">
        <v>5</v>
      </c>
    </row>
    <row r="48" spans="1:4" ht="12.75">
      <c r="A48" s="8">
        <v>292</v>
      </c>
      <c r="B48" s="7" t="s">
        <v>104</v>
      </c>
      <c r="C48" s="329">
        <v>19584</v>
      </c>
      <c r="D48" s="312">
        <v>590</v>
      </c>
    </row>
    <row r="49" spans="1:4" ht="12.75">
      <c r="A49" s="8">
        <v>292</v>
      </c>
      <c r="B49" s="7" t="s">
        <v>101</v>
      </c>
      <c r="C49" s="329">
        <v>664</v>
      </c>
      <c r="D49" s="312">
        <v>20</v>
      </c>
    </row>
    <row r="50" spans="1:4" ht="12.75">
      <c r="A50" s="8">
        <v>292</v>
      </c>
      <c r="B50" s="7" t="s">
        <v>216</v>
      </c>
      <c r="C50" s="329">
        <v>332</v>
      </c>
      <c r="D50" s="312">
        <v>10</v>
      </c>
    </row>
    <row r="51" spans="1:4" ht="12.75">
      <c r="A51" s="8">
        <v>292</v>
      </c>
      <c r="B51" s="7" t="s">
        <v>102</v>
      </c>
      <c r="C51" s="329">
        <v>100</v>
      </c>
      <c r="D51" s="288">
        <v>3</v>
      </c>
    </row>
    <row r="52" spans="1:4" ht="13.5" thickBot="1">
      <c r="A52" s="94">
        <v>292</v>
      </c>
      <c r="B52" s="44" t="s">
        <v>154</v>
      </c>
      <c r="C52" s="330">
        <v>33</v>
      </c>
      <c r="D52" s="328">
        <v>1</v>
      </c>
    </row>
    <row r="53" spans="1:4" ht="15" customHeight="1" thickBot="1">
      <c r="A53" s="80" t="s">
        <v>21</v>
      </c>
      <c r="B53" s="81"/>
      <c r="C53" s="318">
        <f>SUM(C54:C64)</f>
        <v>328321</v>
      </c>
      <c r="D53" s="319">
        <f>SUM(D54:D64)</f>
        <v>9891</v>
      </c>
    </row>
    <row r="54" spans="1:4" ht="12.75" customHeight="1">
      <c r="A54" s="59">
        <v>311</v>
      </c>
      <c r="B54" s="37" t="s">
        <v>105</v>
      </c>
      <c r="C54" s="292">
        <v>0</v>
      </c>
      <c r="D54" s="292">
        <v>0</v>
      </c>
    </row>
    <row r="55" spans="1:4" ht="12.75" customHeight="1">
      <c r="A55" s="5">
        <v>312</v>
      </c>
      <c r="B55" s="7" t="s">
        <v>106</v>
      </c>
      <c r="C55" s="288">
        <v>3452</v>
      </c>
      <c r="D55" s="288">
        <v>104</v>
      </c>
    </row>
    <row r="56" spans="1:4" ht="12.75" customHeight="1">
      <c r="A56" s="5">
        <v>312</v>
      </c>
      <c r="B56" s="6" t="s">
        <v>22</v>
      </c>
      <c r="C56" s="295">
        <v>2888</v>
      </c>
      <c r="D56" s="288">
        <v>87</v>
      </c>
    </row>
    <row r="57" spans="1:4" ht="12.75" customHeight="1">
      <c r="A57" s="5">
        <v>312</v>
      </c>
      <c r="B57" s="10" t="s">
        <v>107</v>
      </c>
      <c r="C57" s="320">
        <v>292106</v>
      </c>
      <c r="D57" s="321">
        <v>8800</v>
      </c>
    </row>
    <row r="58" spans="1:4" ht="12.75" customHeight="1">
      <c r="A58" s="5">
        <v>312</v>
      </c>
      <c r="B58" s="7" t="s">
        <v>108</v>
      </c>
      <c r="C58" s="288">
        <v>4647</v>
      </c>
      <c r="D58" s="288">
        <v>140</v>
      </c>
    </row>
    <row r="59" spans="1:4" ht="12.75" customHeight="1">
      <c r="A59" s="5">
        <v>312</v>
      </c>
      <c r="B59" s="7" t="s">
        <v>23</v>
      </c>
      <c r="C59" s="288">
        <v>1328</v>
      </c>
      <c r="D59" s="288">
        <v>40</v>
      </c>
    </row>
    <row r="60" spans="1:4" ht="12.75" customHeight="1">
      <c r="A60" s="5">
        <v>312</v>
      </c>
      <c r="B60" s="11" t="s">
        <v>109</v>
      </c>
      <c r="C60" s="294">
        <v>1660</v>
      </c>
      <c r="D60" s="288">
        <v>50</v>
      </c>
    </row>
    <row r="61" spans="1:6" ht="12.75" customHeight="1">
      <c r="A61" s="5">
        <v>312</v>
      </c>
      <c r="B61" s="11" t="s">
        <v>177</v>
      </c>
      <c r="C61" s="294">
        <v>0</v>
      </c>
      <c r="D61" s="288">
        <v>0</v>
      </c>
      <c r="F61" s="3"/>
    </row>
    <row r="62" spans="1:6" ht="12.75" customHeight="1">
      <c r="A62" s="5">
        <v>312</v>
      </c>
      <c r="B62" s="11" t="s">
        <v>165</v>
      </c>
      <c r="C62" s="294">
        <v>8962</v>
      </c>
      <c r="D62" s="288">
        <v>270</v>
      </c>
      <c r="F62" s="3"/>
    </row>
    <row r="63" spans="1:6" ht="12.75" customHeight="1">
      <c r="A63" s="5">
        <v>312</v>
      </c>
      <c r="B63" s="11" t="s">
        <v>166</v>
      </c>
      <c r="C63" s="294">
        <v>13278</v>
      </c>
      <c r="D63" s="288">
        <v>400</v>
      </c>
      <c r="F63" s="3"/>
    </row>
    <row r="64" spans="1:4" ht="13.5" customHeight="1">
      <c r="A64" s="5">
        <v>312</v>
      </c>
      <c r="B64" s="11" t="s">
        <v>167</v>
      </c>
      <c r="C64" s="294">
        <v>0</v>
      </c>
      <c r="D64" s="288">
        <v>0</v>
      </c>
    </row>
    <row r="65" spans="1:4" ht="18" customHeight="1">
      <c r="A65" s="12" t="s">
        <v>110</v>
      </c>
      <c r="B65" s="13"/>
      <c r="C65" s="322">
        <f>SUM(C10+C19+C38+C40+C53)</f>
        <v>1166964.7837748125</v>
      </c>
      <c r="D65" s="322">
        <f>SUM(D10+D19+D38+D40+D53)</f>
        <v>35156</v>
      </c>
    </row>
    <row r="66" spans="1:4" ht="16.5" thickBot="1">
      <c r="A66" s="82">
        <v>236</v>
      </c>
      <c r="B66" s="83" t="s">
        <v>111</v>
      </c>
      <c r="C66" s="323">
        <v>2622</v>
      </c>
      <c r="D66" s="324">
        <v>79</v>
      </c>
    </row>
    <row r="67" spans="1:4" ht="16.5" thickBot="1">
      <c r="A67" s="84" t="s">
        <v>24</v>
      </c>
      <c r="B67" s="81"/>
      <c r="C67" s="325">
        <f>SUM(C65:C66)</f>
        <v>1169586.7837748125</v>
      </c>
      <c r="D67" s="325">
        <f>SUM(D65:D66)</f>
        <v>35235</v>
      </c>
    </row>
    <row r="68" spans="1:4" ht="15.75">
      <c r="A68" s="14"/>
      <c r="B68" s="22"/>
      <c r="C68" s="22"/>
      <c r="D68" s="148"/>
    </row>
    <row r="69" spans="1:8" ht="20.25" customHeight="1">
      <c r="A69" s="15"/>
      <c r="B69" s="17"/>
      <c r="C69" s="17"/>
      <c r="D69" s="18"/>
      <c r="E69" s="18"/>
      <c r="F69" s="18"/>
      <c r="H69" s="149"/>
    </row>
    <row r="70" spans="1:7" ht="18.75" thickBot="1">
      <c r="A70" s="626" t="s">
        <v>25</v>
      </c>
      <c r="B70" s="627"/>
      <c r="C70" s="627"/>
      <c r="D70" s="627"/>
      <c r="E70" s="3"/>
      <c r="F70" s="3"/>
      <c r="G70" s="3"/>
    </row>
    <row r="71" spans="1:4" ht="12.75" customHeight="1">
      <c r="A71" s="608" t="s">
        <v>2</v>
      </c>
      <c r="B71" s="609"/>
      <c r="C71" s="598" t="s">
        <v>205</v>
      </c>
      <c r="D71" s="598" t="s">
        <v>207</v>
      </c>
    </row>
    <row r="72" spans="1:4" ht="13.5" thickBot="1">
      <c r="A72" s="628"/>
      <c r="B72" s="629"/>
      <c r="C72" s="612"/>
      <c r="D72" s="612"/>
    </row>
    <row r="73" spans="1:4" ht="13.5" thickBot="1">
      <c r="A73" s="48" t="s">
        <v>26</v>
      </c>
      <c r="B73" s="49"/>
      <c r="C73" s="289">
        <f>SUM(C74:C76)</f>
        <v>171081</v>
      </c>
      <c r="D73" s="290">
        <f>SUM(D74:D76)</f>
        <v>5154</v>
      </c>
    </row>
    <row r="74" spans="1:5" ht="12.75" customHeight="1">
      <c r="A74" s="27" t="s">
        <v>27</v>
      </c>
      <c r="B74" s="47" t="s">
        <v>112</v>
      </c>
      <c r="C74" s="291">
        <v>144393</v>
      </c>
      <c r="D74" s="292">
        <v>4350</v>
      </c>
      <c r="E74">
        <f>2850+20+254+278+117+91+252+15+265+215</f>
        <v>4357</v>
      </c>
    </row>
    <row r="75" spans="1:5" ht="12.75">
      <c r="A75" s="20" t="s">
        <v>28</v>
      </c>
      <c r="B75" s="11" t="s">
        <v>29</v>
      </c>
      <c r="C75" s="294">
        <v>23236</v>
      </c>
      <c r="D75" s="288">
        <v>700</v>
      </c>
      <c r="E75">
        <f>206+473+30</f>
        <v>709</v>
      </c>
    </row>
    <row r="76" spans="1:4" ht="13.5" thickBot="1">
      <c r="A76" s="21" t="s">
        <v>30</v>
      </c>
      <c r="B76" s="11" t="s">
        <v>117</v>
      </c>
      <c r="C76" s="294">
        <v>3452</v>
      </c>
      <c r="D76" s="288">
        <v>104</v>
      </c>
    </row>
    <row r="77" spans="1:4" ht="13.5" thickBot="1">
      <c r="A77" s="622" t="s">
        <v>31</v>
      </c>
      <c r="B77" s="623"/>
      <c r="C77" s="289">
        <f>SUM(C78)</f>
        <v>133</v>
      </c>
      <c r="D77" s="290">
        <f>D78</f>
        <v>4</v>
      </c>
    </row>
    <row r="78" spans="1:4" ht="13.5" thickBot="1">
      <c r="A78" s="53" t="s">
        <v>32</v>
      </c>
      <c r="B78" s="22" t="s">
        <v>114</v>
      </c>
      <c r="C78" s="314">
        <v>133</v>
      </c>
      <c r="D78" s="315">
        <v>4</v>
      </c>
    </row>
    <row r="79" spans="1:4" ht="13.5" thickBot="1">
      <c r="A79" s="622" t="s">
        <v>33</v>
      </c>
      <c r="B79" s="623"/>
      <c r="C79" s="311">
        <f>SUM(C80)</f>
        <v>4149</v>
      </c>
      <c r="D79" s="290">
        <f>D80</f>
        <v>125</v>
      </c>
    </row>
    <row r="80" spans="1:4" ht="13.5" thickBot="1">
      <c r="A80" s="55" t="s">
        <v>34</v>
      </c>
      <c r="B80" s="56" t="s">
        <v>118</v>
      </c>
      <c r="C80" s="316">
        <v>4149</v>
      </c>
      <c r="D80" s="317">
        <v>125</v>
      </c>
    </row>
    <row r="81" spans="1:4" ht="13.5" thickBot="1">
      <c r="A81" s="48" t="s">
        <v>35</v>
      </c>
      <c r="B81" s="57"/>
      <c r="C81" s="289">
        <f>SUM(C82:C85)</f>
        <v>163314</v>
      </c>
      <c r="D81" s="290">
        <f>SUM(D82:D85)</f>
        <v>4920</v>
      </c>
    </row>
    <row r="82" spans="1:4" ht="12.75">
      <c r="A82" s="54" t="s">
        <v>36</v>
      </c>
      <c r="B82" s="43" t="s">
        <v>115</v>
      </c>
      <c r="C82" s="293">
        <v>1328</v>
      </c>
      <c r="D82" s="293">
        <v>40</v>
      </c>
    </row>
    <row r="83" spans="1:5" ht="12.75">
      <c r="A83" s="21" t="s">
        <v>37</v>
      </c>
      <c r="B83" s="11" t="s">
        <v>113</v>
      </c>
      <c r="C83" s="294">
        <v>3983</v>
      </c>
      <c r="D83" s="288">
        <v>120</v>
      </c>
      <c r="E83">
        <f>113+753</f>
        <v>866</v>
      </c>
    </row>
    <row r="84" spans="1:5" ht="12.75">
      <c r="A84" s="21" t="s">
        <v>38</v>
      </c>
      <c r="B84" s="11" t="s">
        <v>119</v>
      </c>
      <c r="C84" s="294">
        <v>28547</v>
      </c>
      <c r="D84" s="288">
        <v>860</v>
      </c>
      <c r="E84">
        <f>1620+604+47+24+730+27+246+200+45+262+17+96</f>
        <v>3918</v>
      </c>
    </row>
    <row r="85" spans="1:4" ht="13.5" thickBot="1">
      <c r="A85" s="50" t="s">
        <v>39</v>
      </c>
      <c r="B85" s="51" t="s">
        <v>120</v>
      </c>
      <c r="C85" s="307">
        <v>129456</v>
      </c>
      <c r="D85" s="308">
        <v>3900</v>
      </c>
    </row>
    <row r="86" spans="1:5" ht="13.5" thickBot="1">
      <c r="A86" s="48" t="s">
        <v>40</v>
      </c>
      <c r="B86" s="49"/>
      <c r="C86" s="289">
        <f>SUM(C87:C88)</f>
        <v>27252</v>
      </c>
      <c r="D86" s="290">
        <f>SUM(D87:D88)</f>
        <v>821</v>
      </c>
      <c r="E86">
        <f>210+50+12+400</f>
        <v>672</v>
      </c>
    </row>
    <row r="87" spans="1:5" ht="12.75">
      <c r="A87" s="52" t="s">
        <v>41</v>
      </c>
      <c r="B87" s="47" t="s">
        <v>42</v>
      </c>
      <c r="C87" s="291">
        <v>22406</v>
      </c>
      <c r="D87" s="292">
        <v>675</v>
      </c>
      <c r="E87">
        <f>96+50</f>
        <v>146</v>
      </c>
    </row>
    <row r="88" spans="1:4" ht="13.5" thickBot="1">
      <c r="A88" s="50" t="s">
        <v>43</v>
      </c>
      <c r="B88" s="51" t="s">
        <v>116</v>
      </c>
      <c r="C88" s="307">
        <v>4846</v>
      </c>
      <c r="D88" s="308">
        <v>146</v>
      </c>
    </row>
    <row r="89" spans="1:4" ht="13.5" thickBot="1">
      <c r="A89" s="48" t="s">
        <v>44</v>
      </c>
      <c r="B89" s="57"/>
      <c r="C89" s="289">
        <f>SUM(C90)</f>
        <v>16431</v>
      </c>
      <c r="D89" s="290">
        <f>SUM(D90:D90)</f>
        <v>495</v>
      </c>
    </row>
    <row r="90" spans="1:4" ht="13.5" thickBot="1">
      <c r="A90" s="62" t="s">
        <v>45</v>
      </c>
      <c r="B90" s="51" t="s">
        <v>46</v>
      </c>
      <c r="C90" s="307">
        <v>16431</v>
      </c>
      <c r="D90" s="308">
        <f>380+110+5</f>
        <v>495</v>
      </c>
    </row>
    <row r="91" spans="1:4" ht="13.5" thickBot="1">
      <c r="A91" s="63" t="s">
        <v>47</v>
      </c>
      <c r="B91" s="49"/>
      <c r="C91" s="289">
        <f>SUM(C92:C104)</f>
        <v>83118</v>
      </c>
      <c r="D91" s="290">
        <f>SUM(D92:D104)</f>
        <v>2504</v>
      </c>
    </row>
    <row r="92" spans="1:4" ht="12.75">
      <c r="A92" s="52" t="s">
        <v>48</v>
      </c>
      <c r="B92" s="47" t="s">
        <v>121</v>
      </c>
      <c r="C92" s="291">
        <v>5643</v>
      </c>
      <c r="D92" s="292">
        <v>170</v>
      </c>
    </row>
    <row r="93" spans="1:5" ht="13.5" thickBot="1">
      <c r="A93" s="60" t="s">
        <v>48</v>
      </c>
      <c r="B93" s="61" t="s">
        <v>122</v>
      </c>
      <c r="C93" s="296">
        <v>8497</v>
      </c>
      <c r="D93" s="297">
        <f>65+36+100+55</f>
        <v>256</v>
      </c>
      <c r="E93">
        <f>378+50+150+100</f>
        <v>678</v>
      </c>
    </row>
    <row r="94" spans="1:4" ht="12.75">
      <c r="A94" s="52" t="s">
        <v>49</v>
      </c>
      <c r="B94" s="59" t="s">
        <v>123</v>
      </c>
      <c r="C94" s="305">
        <v>22505</v>
      </c>
      <c r="D94" s="292">
        <v>678</v>
      </c>
    </row>
    <row r="95" spans="1:4" ht="12.75">
      <c r="A95" s="21" t="s">
        <v>51</v>
      </c>
      <c r="B95" s="58" t="s">
        <v>124</v>
      </c>
      <c r="C95" s="306">
        <v>664</v>
      </c>
      <c r="D95" s="288">
        <v>20</v>
      </c>
    </row>
    <row r="96" spans="1:4" ht="13.5" thickBot="1">
      <c r="A96" s="60" t="s">
        <v>52</v>
      </c>
      <c r="B96" s="61" t="s">
        <v>125</v>
      </c>
      <c r="C96" s="296">
        <v>664</v>
      </c>
      <c r="D96" s="297">
        <v>20</v>
      </c>
    </row>
    <row r="97" spans="1:4" ht="12.75">
      <c r="A97" s="21" t="s">
        <v>53</v>
      </c>
      <c r="B97" s="11" t="s">
        <v>215</v>
      </c>
      <c r="C97" s="294">
        <v>2988</v>
      </c>
      <c r="D97" s="288">
        <v>90</v>
      </c>
    </row>
    <row r="98" spans="1:4" ht="12.75">
      <c r="A98" s="21" t="s">
        <v>53</v>
      </c>
      <c r="B98" s="11" t="s">
        <v>158</v>
      </c>
      <c r="C98" s="294">
        <v>3319</v>
      </c>
      <c r="D98" s="288">
        <v>100</v>
      </c>
    </row>
    <row r="99" spans="1:4" ht="12.75">
      <c r="A99" s="21" t="s">
        <v>53</v>
      </c>
      <c r="B99" s="11" t="s">
        <v>50</v>
      </c>
      <c r="C99" s="294">
        <v>6639</v>
      </c>
      <c r="D99" s="288">
        <v>200</v>
      </c>
    </row>
    <row r="100" spans="1:4" ht="12.75">
      <c r="A100" s="50" t="s">
        <v>53</v>
      </c>
      <c r="B100" s="51" t="s">
        <v>187</v>
      </c>
      <c r="C100" s="307">
        <v>1660</v>
      </c>
      <c r="D100" s="308">
        <v>50</v>
      </c>
    </row>
    <row r="101" spans="1:4" ht="13.5" thickBot="1">
      <c r="A101" s="60" t="s">
        <v>53</v>
      </c>
      <c r="B101" s="61" t="s">
        <v>126</v>
      </c>
      <c r="C101" s="296">
        <v>6639</v>
      </c>
      <c r="D101" s="297">
        <v>200</v>
      </c>
    </row>
    <row r="102" spans="1:5" ht="12.75">
      <c r="A102" s="64" t="s">
        <v>54</v>
      </c>
      <c r="B102" s="65" t="s">
        <v>162</v>
      </c>
      <c r="C102" s="309">
        <v>1660</v>
      </c>
      <c r="D102" s="310">
        <v>50</v>
      </c>
      <c r="E102">
        <f>96+57+160+120+50</f>
        <v>483</v>
      </c>
    </row>
    <row r="103" spans="1:4" ht="12.75">
      <c r="A103" s="52" t="s">
        <v>55</v>
      </c>
      <c r="B103" s="47" t="s">
        <v>127</v>
      </c>
      <c r="C103" s="291">
        <v>15933</v>
      </c>
      <c r="D103" s="292">
        <f>92+88+300</f>
        <v>480</v>
      </c>
    </row>
    <row r="104" spans="1:4" ht="13.5" thickBot="1">
      <c r="A104" s="50" t="s">
        <v>56</v>
      </c>
      <c r="B104" s="51" t="s">
        <v>128</v>
      </c>
      <c r="C104" s="307">
        <v>6307</v>
      </c>
      <c r="D104" s="308">
        <f>140+50</f>
        <v>190</v>
      </c>
    </row>
    <row r="105" spans="1:4" ht="13.5" thickBot="1">
      <c r="A105" s="622" t="s">
        <v>57</v>
      </c>
      <c r="B105" s="623"/>
      <c r="C105" s="311">
        <f>SUM(C106:C111)</f>
        <v>260074</v>
      </c>
      <c r="D105" s="290">
        <f>SUM(D106:D111)</f>
        <v>7835</v>
      </c>
    </row>
    <row r="106" spans="1:4" ht="12.75">
      <c r="A106" s="67" t="s">
        <v>58</v>
      </c>
      <c r="B106" s="43" t="s">
        <v>152</v>
      </c>
      <c r="C106" s="293">
        <v>88296</v>
      </c>
      <c r="D106" s="293">
        <f>2020+211+300+12+25+81+11</f>
        <v>2660</v>
      </c>
    </row>
    <row r="107" spans="1:4" ht="12.75">
      <c r="A107" s="23" t="s">
        <v>59</v>
      </c>
      <c r="B107" s="9" t="s">
        <v>129</v>
      </c>
      <c r="C107" s="312">
        <v>3319</v>
      </c>
      <c r="D107" s="312">
        <v>100</v>
      </c>
    </row>
    <row r="108" spans="1:4" ht="12.75">
      <c r="A108" s="23" t="s">
        <v>60</v>
      </c>
      <c r="B108" s="9" t="s">
        <v>61</v>
      </c>
      <c r="C108" s="312">
        <v>94105</v>
      </c>
      <c r="D108" s="312">
        <f>2495+158+97+26+47+12</f>
        <v>2835</v>
      </c>
    </row>
    <row r="109" spans="1:4" ht="12.75">
      <c r="A109" s="23" t="s">
        <v>75</v>
      </c>
      <c r="B109" s="9" t="s">
        <v>151</v>
      </c>
      <c r="C109" s="312">
        <v>166</v>
      </c>
      <c r="D109" s="312">
        <v>5</v>
      </c>
    </row>
    <row r="110" spans="1:4" ht="12.75">
      <c r="A110" s="23" t="s">
        <v>77</v>
      </c>
      <c r="B110" s="9" t="s">
        <v>159</v>
      </c>
      <c r="C110" s="312">
        <v>60910</v>
      </c>
      <c r="D110" s="312">
        <f>1308+410+50+20+45+2</f>
        <v>1835</v>
      </c>
    </row>
    <row r="111" spans="1:4" ht="13.5" thickBot="1">
      <c r="A111" s="50" t="s">
        <v>62</v>
      </c>
      <c r="B111" s="51" t="s">
        <v>130</v>
      </c>
      <c r="C111" s="313">
        <v>13278</v>
      </c>
      <c r="D111" s="308">
        <f>363+37</f>
        <v>400</v>
      </c>
    </row>
    <row r="112" spans="1:4" ht="12.75" customHeight="1" thickBot="1">
      <c r="A112" s="48" t="s">
        <v>63</v>
      </c>
      <c r="B112" s="49"/>
      <c r="C112" s="289">
        <f>SUM(C113:C121)</f>
        <v>99117</v>
      </c>
      <c r="D112" s="290">
        <f>SUM(D113:D121)</f>
        <v>2986</v>
      </c>
    </row>
    <row r="113" spans="1:4" ht="12.75">
      <c r="A113" s="52" t="s">
        <v>64</v>
      </c>
      <c r="B113" s="47" t="s">
        <v>131</v>
      </c>
      <c r="C113" s="291">
        <v>74022</v>
      </c>
      <c r="D113" s="292">
        <f>2172+54+4</f>
        <v>2230</v>
      </c>
    </row>
    <row r="114" spans="1:4" ht="12" customHeight="1">
      <c r="A114" s="21" t="s">
        <v>65</v>
      </c>
      <c r="B114" s="11" t="s">
        <v>132</v>
      </c>
      <c r="C114" s="294">
        <v>12149</v>
      </c>
      <c r="D114" s="295">
        <f>327+37+2</f>
        <v>366</v>
      </c>
    </row>
    <row r="115" spans="1:4" ht="13.5" thickBot="1">
      <c r="A115" s="60" t="s">
        <v>65</v>
      </c>
      <c r="B115" s="61" t="s">
        <v>133</v>
      </c>
      <c r="C115" s="296">
        <v>1660</v>
      </c>
      <c r="D115" s="297">
        <v>50</v>
      </c>
    </row>
    <row r="116" spans="1:4" ht="13.5" customHeight="1">
      <c r="A116" s="52" t="s">
        <v>66</v>
      </c>
      <c r="B116" s="47" t="s">
        <v>134</v>
      </c>
      <c r="C116" s="291">
        <v>332</v>
      </c>
      <c r="D116" s="292">
        <v>10</v>
      </c>
    </row>
    <row r="117" spans="1:4" ht="12.75">
      <c r="A117" s="21" t="s">
        <v>67</v>
      </c>
      <c r="B117" s="11" t="s">
        <v>68</v>
      </c>
      <c r="C117" s="294">
        <v>3319</v>
      </c>
      <c r="D117" s="288">
        <v>100</v>
      </c>
    </row>
    <row r="118" spans="1:4" ht="12.75">
      <c r="A118" s="21" t="s">
        <v>69</v>
      </c>
      <c r="B118" s="11" t="s">
        <v>135</v>
      </c>
      <c r="C118" s="294">
        <v>1328</v>
      </c>
      <c r="D118" s="288">
        <v>40</v>
      </c>
    </row>
    <row r="119" spans="1:4" ht="12.75">
      <c r="A119" s="21" t="s">
        <v>69</v>
      </c>
      <c r="B119" s="11" t="s">
        <v>136</v>
      </c>
      <c r="C119" s="294">
        <v>4647</v>
      </c>
      <c r="D119" s="288">
        <v>140</v>
      </c>
    </row>
    <row r="120" spans="1:4" ht="12.75" customHeight="1">
      <c r="A120" s="21" t="s">
        <v>70</v>
      </c>
      <c r="B120" s="11" t="s">
        <v>71</v>
      </c>
      <c r="C120" s="294">
        <v>664</v>
      </c>
      <c r="D120" s="288">
        <v>20</v>
      </c>
    </row>
    <row r="121" spans="1:4" ht="12.75">
      <c r="A121" s="21" t="s">
        <v>72</v>
      </c>
      <c r="B121" s="11" t="s">
        <v>73</v>
      </c>
      <c r="C121" s="294">
        <v>996</v>
      </c>
      <c r="D121" s="288">
        <v>30</v>
      </c>
    </row>
    <row r="122" spans="1:4" ht="16.5" thickBot="1">
      <c r="A122" s="87" t="s">
        <v>137</v>
      </c>
      <c r="B122" s="88"/>
      <c r="C122" s="298">
        <f>SUM(C73+C77+C79+C81+C86+C89+C91+C105+C112)</f>
        <v>824669</v>
      </c>
      <c r="D122" s="298">
        <f>SUM(D73+D77+D79+D81+D86+D89+D91+D105+D112)</f>
        <v>24844</v>
      </c>
    </row>
    <row r="123" spans="1:4" ht="12.75">
      <c r="A123" s="158" t="s">
        <v>59</v>
      </c>
      <c r="B123" s="157" t="s">
        <v>74</v>
      </c>
      <c r="C123" s="299">
        <v>292106</v>
      </c>
      <c r="D123" s="300">
        <v>8800</v>
      </c>
    </row>
    <row r="124" spans="1:4" ht="12.75">
      <c r="A124" s="159" t="s">
        <v>75</v>
      </c>
      <c r="B124" s="10" t="s">
        <v>76</v>
      </c>
      <c r="C124" s="301">
        <v>16597</v>
      </c>
      <c r="D124" s="302">
        <v>500</v>
      </c>
    </row>
    <row r="125" spans="1:4" ht="13.5" thickBot="1">
      <c r="A125" s="624" t="s">
        <v>163</v>
      </c>
      <c r="B125" s="625"/>
      <c r="C125" s="303">
        <f>SUM(C123:C124)</f>
        <v>308703</v>
      </c>
      <c r="D125" s="303">
        <f>SUM(D123:D124)</f>
        <v>9300</v>
      </c>
    </row>
    <row r="126" spans="1:4" ht="16.5" thickBot="1">
      <c r="A126" s="85" t="s">
        <v>78</v>
      </c>
      <c r="B126" s="57"/>
      <c r="C126" s="304">
        <f>C122+C125</f>
        <v>1133372</v>
      </c>
      <c r="D126" s="304">
        <f>D122+D125</f>
        <v>34144</v>
      </c>
    </row>
    <row r="127" ht="12.75">
      <c r="D127" s="124"/>
    </row>
    <row r="128" spans="1:4" ht="12.75">
      <c r="A128" s="15"/>
      <c r="B128" s="24"/>
      <c r="C128" s="24"/>
      <c r="D128" s="25"/>
    </row>
    <row r="129" spans="1:5" ht="18.75" thickBot="1">
      <c r="A129" s="588" t="s">
        <v>79</v>
      </c>
      <c r="B129" s="589"/>
      <c r="C129" s="589"/>
      <c r="D129" s="589"/>
      <c r="E129" s="124"/>
    </row>
    <row r="130" spans="1:7" ht="12.75" customHeight="1">
      <c r="A130" s="608" t="s">
        <v>2</v>
      </c>
      <c r="B130" s="609"/>
      <c r="C130" s="598" t="s">
        <v>205</v>
      </c>
      <c r="D130" s="598" t="s">
        <v>206</v>
      </c>
      <c r="E130" s="25"/>
      <c r="F130" s="124"/>
      <c r="G130" s="124"/>
    </row>
    <row r="131" spans="1:7" ht="13.5" thickBot="1">
      <c r="A131" s="590"/>
      <c r="B131" s="621"/>
      <c r="C131" s="599"/>
      <c r="D131" s="599"/>
      <c r="F131" s="25"/>
      <c r="G131" s="4"/>
    </row>
    <row r="132" spans="1:4" ht="19.5" customHeight="1" thickBot="1">
      <c r="A132" s="613" t="s">
        <v>142</v>
      </c>
      <c r="B132" s="614"/>
      <c r="C132" s="272">
        <f>SUM(C133:C134)</f>
        <v>0</v>
      </c>
      <c r="D132" s="273">
        <f>D133+D134</f>
        <v>0</v>
      </c>
    </row>
    <row r="133" spans="1:9" ht="12.75">
      <c r="A133" s="96">
        <v>230</v>
      </c>
      <c r="B133" s="65" t="s">
        <v>99</v>
      </c>
      <c r="C133" s="274">
        <v>0</v>
      </c>
      <c r="D133" s="275">
        <v>0</v>
      </c>
      <c r="I133" s="26"/>
    </row>
    <row r="134" spans="1:10" s="19" customFormat="1" ht="13.5" thickBot="1">
      <c r="A134" s="95">
        <v>321</v>
      </c>
      <c r="B134" s="61" t="s">
        <v>178</v>
      </c>
      <c r="C134" s="270">
        <v>0</v>
      </c>
      <c r="D134" s="271">
        <v>0</v>
      </c>
      <c r="E134"/>
      <c r="F134"/>
      <c r="G134"/>
      <c r="H134"/>
      <c r="I134" s="15"/>
      <c r="J134"/>
    </row>
    <row r="135" spans="1:10" ht="18.75" thickBot="1">
      <c r="A135" s="75"/>
      <c r="B135" s="3"/>
      <c r="C135" s="276"/>
      <c r="D135" s="277"/>
      <c r="J135" s="19"/>
    </row>
    <row r="136" spans="1:4" ht="18" customHeight="1" thickBot="1">
      <c r="A136" s="613" t="s">
        <v>143</v>
      </c>
      <c r="B136" s="614"/>
      <c r="C136" s="278">
        <f>SUM(C137:C150)</f>
        <v>411605</v>
      </c>
      <c r="D136" s="278">
        <f>SUM(D137:D150)</f>
        <v>12400</v>
      </c>
    </row>
    <row r="137" spans="1:4" ht="12.75">
      <c r="A137" s="165" t="s">
        <v>37</v>
      </c>
      <c r="B137" s="7" t="s">
        <v>183</v>
      </c>
      <c r="C137" s="279">
        <v>6639</v>
      </c>
      <c r="D137" s="263">
        <v>200</v>
      </c>
    </row>
    <row r="138" spans="1:4" ht="12.75">
      <c r="A138" s="89" t="s">
        <v>37</v>
      </c>
      <c r="B138" s="140" t="s">
        <v>208</v>
      </c>
      <c r="C138" s="280">
        <v>1660</v>
      </c>
      <c r="D138" s="281">
        <v>50</v>
      </c>
    </row>
    <row r="139" spans="1:4" ht="12.75">
      <c r="A139" s="142" t="s">
        <v>37</v>
      </c>
      <c r="B139" s="143" t="s">
        <v>161</v>
      </c>
      <c r="C139" s="282">
        <v>3319</v>
      </c>
      <c r="D139" s="283">
        <v>100</v>
      </c>
    </row>
    <row r="140" spans="1:4" ht="12.75">
      <c r="A140" s="73" t="s">
        <v>37</v>
      </c>
      <c r="B140" s="143" t="s">
        <v>209</v>
      </c>
      <c r="C140" s="279">
        <v>1658</v>
      </c>
      <c r="D140" s="263">
        <v>50</v>
      </c>
    </row>
    <row r="141" spans="1:4" ht="12.75">
      <c r="A141" s="165" t="s">
        <v>37</v>
      </c>
      <c r="B141" s="7" t="s">
        <v>213</v>
      </c>
      <c r="C141" s="279">
        <v>1660</v>
      </c>
      <c r="D141" s="263">
        <v>50</v>
      </c>
    </row>
    <row r="142" spans="1:4" ht="12.75" customHeight="1" thickBot="1">
      <c r="A142" s="256" t="s">
        <v>37</v>
      </c>
      <c r="B142" s="257" t="s">
        <v>214</v>
      </c>
      <c r="C142" s="284">
        <v>1000</v>
      </c>
      <c r="D142" s="285">
        <v>30</v>
      </c>
    </row>
    <row r="143" spans="1:4" ht="12.75" customHeight="1">
      <c r="A143" s="258" t="s">
        <v>39</v>
      </c>
      <c r="B143" s="259" t="s">
        <v>184</v>
      </c>
      <c r="C143" s="286">
        <v>3319</v>
      </c>
      <c r="D143" s="286">
        <v>100</v>
      </c>
    </row>
    <row r="144" spans="1:4" ht="12.75" customHeight="1">
      <c r="A144" s="72" t="s">
        <v>41</v>
      </c>
      <c r="B144" s="37" t="s">
        <v>180</v>
      </c>
      <c r="C144" s="287">
        <v>8300</v>
      </c>
      <c r="D144" s="287">
        <v>250</v>
      </c>
    </row>
    <row r="145" spans="1:4" ht="12.75" customHeight="1">
      <c r="A145" s="142" t="s">
        <v>210</v>
      </c>
      <c r="B145" s="143" t="s">
        <v>80</v>
      </c>
      <c r="C145" s="279">
        <v>33194</v>
      </c>
      <c r="D145" s="279">
        <v>1000</v>
      </c>
    </row>
    <row r="146" spans="1:4" ht="12.75">
      <c r="A146" s="165" t="s">
        <v>210</v>
      </c>
      <c r="B146" s="7" t="s">
        <v>211</v>
      </c>
      <c r="C146" s="288">
        <v>205802</v>
      </c>
      <c r="D146" s="279">
        <v>6200</v>
      </c>
    </row>
    <row r="147" spans="1:4" ht="12.75">
      <c r="A147" s="142" t="s">
        <v>212</v>
      </c>
      <c r="B147" s="7" t="s">
        <v>179</v>
      </c>
      <c r="C147" s="279">
        <v>43152</v>
      </c>
      <c r="D147" s="279">
        <v>1300</v>
      </c>
    </row>
    <row r="148" spans="1:4" ht="12.75">
      <c r="A148" s="72" t="s">
        <v>51</v>
      </c>
      <c r="B148" s="37" t="s">
        <v>157</v>
      </c>
      <c r="C148" s="287">
        <v>33194</v>
      </c>
      <c r="D148" s="287">
        <v>1000</v>
      </c>
    </row>
    <row r="149" spans="1:5" ht="12.75">
      <c r="A149" s="73" t="s">
        <v>59</v>
      </c>
      <c r="B149" s="7" t="s">
        <v>182</v>
      </c>
      <c r="C149" s="279">
        <v>65388</v>
      </c>
      <c r="D149" s="279">
        <v>1970</v>
      </c>
      <c r="E149" s="146"/>
    </row>
    <row r="150" spans="1:7" ht="13.5" thickBot="1">
      <c r="A150" s="74" t="s">
        <v>77</v>
      </c>
      <c r="B150" s="44" t="s">
        <v>186</v>
      </c>
      <c r="C150" s="284">
        <v>3320</v>
      </c>
      <c r="D150" s="284">
        <v>100</v>
      </c>
      <c r="E150" s="30"/>
      <c r="F150" s="146"/>
      <c r="G150" s="147"/>
    </row>
    <row r="151" spans="6:7" ht="12.75">
      <c r="F151" s="30"/>
      <c r="G151" s="4"/>
    </row>
    <row r="152" spans="1:4" ht="12.75">
      <c r="A152" s="28"/>
      <c r="B152" s="29"/>
      <c r="C152" s="29"/>
      <c r="D152" s="145"/>
    </row>
    <row r="153" spans="1:4" ht="12.75">
      <c r="A153" s="29"/>
      <c r="B153" s="24"/>
      <c r="C153" s="24"/>
      <c r="D153" s="30"/>
    </row>
    <row r="154" spans="1:4" ht="18">
      <c r="A154" s="668" t="s">
        <v>81</v>
      </c>
      <c r="B154" s="617"/>
      <c r="C154" s="617"/>
      <c r="D154" s="617"/>
    </row>
    <row r="155" spans="1:4" ht="12.75" customHeight="1">
      <c r="A155" s="669" t="s">
        <v>2</v>
      </c>
      <c r="B155" s="621"/>
      <c r="C155" s="670" t="s">
        <v>205</v>
      </c>
      <c r="D155" s="670" t="s">
        <v>207</v>
      </c>
    </row>
    <row r="156" spans="1:4" ht="12.75">
      <c r="A156" s="619"/>
      <c r="B156" s="666"/>
      <c r="C156" s="667"/>
      <c r="D156" s="667"/>
    </row>
    <row r="157" spans="1:5" ht="15" customHeight="1">
      <c r="A157" s="604" t="s">
        <v>144</v>
      </c>
      <c r="B157" s="663"/>
      <c r="C157" s="267">
        <f>SUM(C158:C159)</f>
        <v>375921</v>
      </c>
      <c r="D157" s="268">
        <f>SUM(D158:D159)</f>
        <v>11325</v>
      </c>
      <c r="E157" s="33"/>
    </row>
    <row r="158" spans="1:4" ht="13.5" customHeight="1">
      <c r="A158" s="69">
        <v>513</v>
      </c>
      <c r="B158" s="6" t="s">
        <v>201</v>
      </c>
      <c r="C158" s="269">
        <v>205802</v>
      </c>
      <c r="D158" s="263">
        <v>6200</v>
      </c>
    </row>
    <row r="159" spans="1:4" ht="13.5" customHeight="1">
      <c r="A159" s="69">
        <v>454</v>
      </c>
      <c r="B159" s="6" t="s">
        <v>185</v>
      </c>
      <c r="C159" s="269">
        <v>170119</v>
      </c>
      <c r="D159" s="263">
        <v>5125</v>
      </c>
    </row>
    <row r="160" spans="1:5" ht="18.75" customHeight="1">
      <c r="A160" s="604" t="s">
        <v>145</v>
      </c>
      <c r="B160" s="663"/>
      <c r="C160" s="267">
        <f>SUM(C161)</f>
        <v>531</v>
      </c>
      <c r="D160" s="268">
        <f>D161</f>
        <v>16</v>
      </c>
      <c r="E160" s="16"/>
    </row>
    <row r="161" spans="1:7" ht="15" customHeight="1" thickBot="1">
      <c r="A161" s="70">
        <v>821</v>
      </c>
      <c r="B161" s="61" t="s">
        <v>138</v>
      </c>
      <c r="C161" s="270">
        <v>531</v>
      </c>
      <c r="D161" s="271">
        <v>16</v>
      </c>
      <c r="E161" s="16"/>
      <c r="F161" s="16"/>
      <c r="G161" s="33"/>
    </row>
    <row r="162" spans="1:7" ht="21" customHeight="1">
      <c r="A162" s="14"/>
      <c r="B162" s="15"/>
      <c r="C162" s="15"/>
      <c r="D162" s="16"/>
      <c r="E162" s="31"/>
      <c r="F162" s="16"/>
      <c r="G162" s="33"/>
    </row>
    <row r="163" spans="1:6" ht="18" customHeight="1">
      <c r="A163" s="14"/>
      <c r="B163" s="15"/>
      <c r="C163" s="15"/>
      <c r="D163" s="16"/>
      <c r="F163" s="31"/>
    </row>
    <row r="164" spans="1:4" ht="15.75">
      <c r="A164" s="14"/>
      <c r="B164" s="15"/>
      <c r="C164" s="15"/>
      <c r="D164" s="16"/>
    </row>
    <row r="165" spans="2:4" ht="12.75">
      <c r="B165" s="24"/>
      <c r="C165" s="24"/>
      <c r="D165" s="31"/>
    </row>
    <row r="166" spans="1:4" ht="18.75" thickBot="1">
      <c r="A166" s="606" t="s">
        <v>146</v>
      </c>
      <c r="B166" s="607"/>
      <c r="C166" s="607"/>
      <c r="D166" s="607"/>
    </row>
    <row r="167" spans="1:4" ht="12.75" customHeight="1">
      <c r="A167" s="608" t="s">
        <v>2</v>
      </c>
      <c r="B167" s="609"/>
      <c r="C167" s="651" t="s">
        <v>205</v>
      </c>
      <c r="D167" s="651" t="s">
        <v>206</v>
      </c>
    </row>
    <row r="168" spans="1:8" ht="17.25" customHeight="1" thickBot="1">
      <c r="A168" s="610"/>
      <c r="B168" s="611"/>
      <c r="C168" s="652"/>
      <c r="D168" s="652"/>
      <c r="H168" s="33"/>
    </row>
    <row r="169" spans="1:4" ht="15" customHeight="1">
      <c r="A169" s="169" t="s">
        <v>82</v>
      </c>
      <c r="B169" s="37"/>
      <c r="C169" s="260">
        <f>C67</f>
        <v>1169586.7837748125</v>
      </c>
      <c r="D169" s="260">
        <f>D67</f>
        <v>35235</v>
      </c>
    </row>
    <row r="170" spans="1:4" ht="17.25" customHeight="1">
      <c r="A170" s="77" t="s">
        <v>83</v>
      </c>
      <c r="B170" s="7"/>
      <c r="C170" s="261">
        <f>C126</f>
        <v>1133372</v>
      </c>
      <c r="D170" s="261">
        <f>D126</f>
        <v>34144</v>
      </c>
    </row>
    <row r="171" spans="1:4" ht="15.75">
      <c r="A171" s="68"/>
      <c r="B171" s="32" t="s">
        <v>84</v>
      </c>
      <c r="C171" s="262">
        <f>C169-C170</f>
        <v>36214.78377481247</v>
      </c>
      <c r="D171" s="262">
        <f>D169-D170</f>
        <v>1091</v>
      </c>
    </row>
    <row r="172" spans="1:4" ht="15">
      <c r="A172" s="77" t="s">
        <v>85</v>
      </c>
      <c r="B172" s="7"/>
      <c r="C172" s="261">
        <f>C132</f>
        <v>0</v>
      </c>
      <c r="D172" s="261">
        <f>D132</f>
        <v>0</v>
      </c>
    </row>
    <row r="173" spans="1:4" ht="15.75" customHeight="1">
      <c r="A173" s="77" t="s">
        <v>86</v>
      </c>
      <c r="B173" s="7"/>
      <c r="C173" s="263">
        <f>C136</f>
        <v>411605</v>
      </c>
      <c r="D173" s="263">
        <f>D136</f>
        <v>12400</v>
      </c>
    </row>
    <row r="174" spans="1:4" ht="15.75">
      <c r="A174" s="68"/>
      <c r="B174" s="34" t="s">
        <v>87</v>
      </c>
      <c r="C174" s="262">
        <f>C172-C173</f>
        <v>-411605</v>
      </c>
      <c r="D174" s="262">
        <f>D172-D173</f>
        <v>-12400</v>
      </c>
    </row>
    <row r="175" spans="1:4" ht="15">
      <c r="A175" s="592" t="s">
        <v>140</v>
      </c>
      <c r="B175" s="593"/>
      <c r="C175" s="264">
        <f>C157</f>
        <v>375921</v>
      </c>
      <c r="D175" s="264">
        <f>D157</f>
        <v>11325</v>
      </c>
    </row>
    <row r="176" spans="1:4" ht="15">
      <c r="A176" s="592" t="s">
        <v>139</v>
      </c>
      <c r="B176" s="593"/>
      <c r="C176" s="264">
        <f>C160</f>
        <v>531</v>
      </c>
      <c r="D176" s="264">
        <f>D160</f>
        <v>16</v>
      </c>
    </row>
    <row r="177" spans="1:4" ht="16.5" thickBot="1">
      <c r="A177" s="78"/>
      <c r="B177" s="79" t="s">
        <v>141</v>
      </c>
      <c r="C177" s="265">
        <f>C175-C176</f>
        <v>375390</v>
      </c>
      <c r="D177" s="265">
        <f>D175-D176</f>
        <v>11309</v>
      </c>
    </row>
    <row r="178" spans="1:4" ht="16.5" thickBot="1">
      <c r="A178" s="594" t="s">
        <v>88</v>
      </c>
      <c r="B178" s="595"/>
      <c r="C178" s="266">
        <f>C171+C174+C177</f>
        <v>-0.2162251875270158</v>
      </c>
      <c r="D178" s="266">
        <f>D171+D174+D177</f>
        <v>0</v>
      </c>
    </row>
    <row r="179" ht="12.75">
      <c r="D179" s="99"/>
    </row>
    <row r="180" spans="2:4" ht="12.75">
      <c r="B180" s="35" t="s">
        <v>89</v>
      </c>
      <c r="C180" s="99">
        <f>C169+C172+C175</f>
        <v>1545507.7837748125</v>
      </c>
      <c r="D180" s="99">
        <f>D169+D172+D175</f>
        <v>46560</v>
      </c>
    </row>
    <row r="181" spans="2:4" ht="12.75">
      <c r="B181" s="35" t="s">
        <v>90</v>
      </c>
      <c r="C181" s="99">
        <f>C170+C173+C176</f>
        <v>1545508</v>
      </c>
      <c r="D181" s="99">
        <f>D170+D173+D176</f>
        <v>46560</v>
      </c>
    </row>
    <row r="182" spans="2:4" ht="12.75">
      <c r="B182" s="35"/>
      <c r="C182" s="99"/>
      <c r="D182" s="99"/>
    </row>
    <row r="183" spans="2:4" ht="12.75">
      <c r="B183" s="35" t="s">
        <v>155</v>
      </c>
      <c r="C183" s="99">
        <f>C180-C66</f>
        <v>1542885.7837748125</v>
      </c>
      <c r="D183" s="99">
        <f>D180-D66</f>
        <v>46481</v>
      </c>
    </row>
    <row r="184" spans="2:4" ht="12.75">
      <c r="B184" s="35" t="s">
        <v>160</v>
      </c>
      <c r="C184" s="99">
        <f>C181-C125</f>
        <v>1236805</v>
      </c>
      <c r="D184" s="99">
        <f>D181-D125</f>
        <v>37260</v>
      </c>
    </row>
  </sheetData>
  <sheetProtection/>
  <mergeCells count="38">
    <mergeCell ref="A175:B175"/>
    <mergeCell ref="A176:B176"/>
    <mergeCell ref="A178:B178"/>
    <mergeCell ref="C71:C72"/>
    <mergeCell ref="C130:C131"/>
    <mergeCell ref="C155:C156"/>
    <mergeCell ref="C167:C168"/>
    <mergeCell ref="A157:B157"/>
    <mergeCell ref="A160:B160"/>
    <mergeCell ref="A166:D166"/>
    <mergeCell ref="A167:B168"/>
    <mergeCell ref="D167:D168"/>
    <mergeCell ref="A136:B136"/>
    <mergeCell ref="A154:D154"/>
    <mergeCell ref="A155:B156"/>
    <mergeCell ref="D155:D156"/>
    <mergeCell ref="A130:B131"/>
    <mergeCell ref="D130:D131"/>
    <mergeCell ref="A132:B132"/>
    <mergeCell ref="A79:B79"/>
    <mergeCell ref="A105:B105"/>
    <mergeCell ref="A125:B125"/>
    <mergeCell ref="A129:D129"/>
    <mergeCell ref="A71:B72"/>
    <mergeCell ref="D71:D72"/>
    <mergeCell ref="A77:B77"/>
    <mergeCell ref="A19:B19"/>
    <mergeCell ref="A38:B38"/>
    <mergeCell ref="A40:B40"/>
    <mergeCell ref="A70:D70"/>
    <mergeCell ref="A10:B10"/>
    <mergeCell ref="C8:C9"/>
    <mergeCell ref="A1:D1"/>
    <mergeCell ref="A2:D2"/>
    <mergeCell ref="A3:D3"/>
    <mergeCell ref="A7:D7"/>
    <mergeCell ref="A8:B9"/>
    <mergeCell ref="D8:D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6.00390625" style="0" customWidth="1"/>
    <col min="2" max="2" width="46.75390625" style="0" customWidth="1"/>
    <col min="3" max="9" width="10.75390625" style="0" customWidth="1"/>
  </cols>
  <sheetData>
    <row r="1" spans="1:7" ht="20.25">
      <c r="A1" s="634" t="s">
        <v>172</v>
      </c>
      <c r="B1" s="634"/>
      <c r="C1" s="634"/>
      <c r="D1" s="1"/>
      <c r="E1" s="1"/>
      <c r="F1" s="1"/>
      <c r="G1" s="1"/>
    </row>
    <row r="2" spans="1:9" ht="15.75">
      <c r="A2" s="635" t="s">
        <v>0</v>
      </c>
      <c r="B2" s="635"/>
      <c r="C2" s="635"/>
      <c r="D2" s="2"/>
      <c r="E2" s="2"/>
      <c r="F2" s="2"/>
      <c r="G2" s="2"/>
      <c r="H2" s="2"/>
      <c r="I2" s="2"/>
    </row>
    <row r="3" spans="1:9" ht="15.75">
      <c r="A3" s="637" t="s">
        <v>204</v>
      </c>
      <c r="B3" s="637"/>
      <c r="C3" s="637"/>
      <c r="D3" s="135"/>
      <c r="E3" s="135"/>
      <c r="F3" s="135"/>
      <c r="G3" s="2"/>
      <c r="H3" s="2"/>
      <c r="I3" s="2"/>
    </row>
    <row r="4" spans="1:9" ht="6.75" customHeight="1">
      <c r="A4" s="150"/>
      <c r="B4" s="150"/>
      <c r="C4" s="150"/>
      <c r="D4" s="135"/>
      <c r="E4" s="135"/>
      <c r="F4" s="135"/>
      <c r="G4" s="2"/>
      <c r="H4" s="2"/>
      <c r="I4" s="2"/>
    </row>
    <row r="5" spans="1:9" ht="15.75">
      <c r="A5" s="135" t="s">
        <v>175</v>
      </c>
      <c r="B5" s="135"/>
      <c r="C5" s="135"/>
      <c r="D5" s="135"/>
      <c r="E5" s="135"/>
      <c r="F5" s="135"/>
      <c r="G5" s="135"/>
      <c r="H5" s="2"/>
      <c r="I5" s="2"/>
    </row>
    <row r="6" spans="4:9" ht="15.75">
      <c r="D6">
        <v>30.126</v>
      </c>
      <c r="E6" s="19"/>
      <c r="F6" s="19"/>
      <c r="G6" s="19"/>
      <c r="H6" s="2"/>
      <c r="I6" s="2"/>
    </row>
    <row r="7" spans="1:7" ht="18.75" thickBot="1">
      <c r="A7" s="632" t="s">
        <v>1</v>
      </c>
      <c r="B7" s="633"/>
      <c r="C7" s="633"/>
      <c r="D7" s="633"/>
      <c r="E7" s="93"/>
      <c r="F7" s="93"/>
      <c r="G7" s="93"/>
    </row>
    <row r="8" spans="1:9" ht="23.25" customHeight="1">
      <c r="A8" s="608" t="s">
        <v>2</v>
      </c>
      <c r="B8" s="609"/>
      <c r="C8" s="598" t="s">
        <v>147</v>
      </c>
      <c r="D8" s="643" t="s">
        <v>174</v>
      </c>
      <c r="H8" s="3"/>
      <c r="I8" s="3"/>
    </row>
    <row r="9" spans="1:4" ht="12.75" customHeight="1" thickBot="1">
      <c r="A9" s="628"/>
      <c r="B9" s="629"/>
      <c r="C9" s="612"/>
      <c r="D9" s="644"/>
    </row>
    <row r="10" spans="1:4" ht="13.5" thickBot="1">
      <c r="A10" s="630" t="s">
        <v>3</v>
      </c>
      <c r="B10" s="631"/>
      <c r="C10" s="128">
        <f>SUM(C11:C18)</f>
        <v>21710</v>
      </c>
      <c r="D10" s="128">
        <f>SUM(D11:D18)</f>
        <v>720639.9787558917</v>
      </c>
    </row>
    <row r="11" spans="1:4" ht="13.5" thickBot="1">
      <c r="A11" s="46">
        <v>111</v>
      </c>
      <c r="B11" s="46" t="s">
        <v>4</v>
      </c>
      <c r="C11" s="134">
        <v>20500</v>
      </c>
      <c r="D11" s="134">
        <f>C11/$D$6*1000</f>
        <v>680475.3369182765</v>
      </c>
    </row>
    <row r="12" spans="1:4" ht="12.75">
      <c r="A12" s="36">
        <v>121</v>
      </c>
      <c r="B12" s="37" t="s">
        <v>92</v>
      </c>
      <c r="C12" s="117">
        <v>398</v>
      </c>
      <c r="D12" s="152">
        <f aca="true" t="shared" si="0" ref="D12:D66">C12/$D$6*1000</f>
        <v>13211.179711876783</v>
      </c>
    </row>
    <row r="13" spans="1:4" ht="12.75">
      <c r="A13" s="6">
        <v>121</v>
      </c>
      <c r="B13" s="7" t="s">
        <v>93</v>
      </c>
      <c r="C13" s="114">
        <f>388</f>
        <v>388</v>
      </c>
      <c r="D13" s="120">
        <f t="shared" si="0"/>
        <v>12879.24052313616</v>
      </c>
    </row>
    <row r="14" spans="1:5" ht="13.5" thickBot="1">
      <c r="A14" s="38">
        <v>121</v>
      </c>
      <c r="B14" s="39" t="s">
        <v>5</v>
      </c>
      <c r="C14" s="115">
        <v>2</v>
      </c>
      <c r="D14" s="134">
        <f t="shared" si="0"/>
        <v>66.38783774812454</v>
      </c>
      <c r="E14" s="92"/>
    </row>
    <row r="15" spans="1:4" ht="12.75">
      <c r="A15" s="36">
        <v>133</v>
      </c>
      <c r="B15" s="37" t="s">
        <v>6</v>
      </c>
      <c r="C15" s="117">
        <v>15</v>
      </c>
      <c r="D15" s="152">
        <f t="shared" si="0"/>
        <v>497.90878311093405</v>
      </c>
    </row>
    <row r="16" spans="1:4" ht="12.75">
      <c r="A16" s="6">
        <v>133</v>
      </c>
      <c r="B16" s="7" t="s">
        <v>7</v>
      </c>
      <c r="C16" s="114">
        <v>7</v>
      </c>
      <c r="D16" s="120">
        <f t="shared" si="0"/>
        <v>232.3574321184359</v>
      </c>
    </row>
    <row r="17" spans="1:4" ht="12.75">
      <c r="A17" s="6">
        <v>133</v>
      </c>
      <c r="B17" s="7" t="s">
        <v>8</v>
      </c>
      <c r="C17" s="114">
        <v>50</v>
      </c>
      <c r="D17" s="120">
        <f t="shared" si="0"/>
        <v>1659.6959437031135</v>
      </c>
    </row>
    <row r="18" spans="1:5" ht="13.5" thickBot="1">
      <c r="A18" s="38">
        <v>133</v>
      </c>
      <c r="B18" s="39" t="s">
        <v>9</v>
      </c>
      <c r="C18" s="115">
        <v>350</v>
      </c>
      <c r="D18" s="134">
        <f t="shared" si="0"/>
        <v>11617.871605921795</v>
      </c>
      <c r="E18" s="92"/>
    </row>
    <row r="19" spans="1:4" ht="13.5" thickBot="1">
      <c r="A19" s="630" t="s">
        <v>10</v>
      </c>
      <c r="B19" s="631"/>
      <c r="C19" s="128">
        <f>SUM(C20:C37)</f>
        <v>2456</v>
      </c>
      <c r="D19" s="128">
        <f>SUM(D20:D37)</f>
        <v>81524.26475469695</v>
      </c>
    </row>
    <row r="20" spans="1:4" ht="12.75">
      <c r="A20" s="91">
        <v>212</v>
      </c>
      <c r="B20" s="66" t="s">
        <v>11</v>
      </c>
      <c r="C20" s="116">
        <v>15</v>
      </c>
      <c r="D20" s="120">
        <f t="shared" si="0"/>
        <v>497.90878311093405</v>
      </c>
    </row>
    <row r="21" spans="1:4" ht="12.75">
      <c r="A21" s="36">
        <v>212</v>
      </c>
      <c r="B21" s="37" t="s">
        <v>148</v>
      </c>
      <c r="C21" s="117">
        <v>50</v>
      </c>
      <c r="D21" s="120">
        <f t="shared" si="0"/>
        <v>1659.6959437031135</v>
      </c>
    </row>
    <row r="22" spans="1:4" ht="12.75">
      <c r="A22" s="6">
        <v>212</v>
      </c>
      <c r="B22" s="7" t="s">
        <v>12</v>
      </c>
      <c r="C22" s="114">
        <v>118</v>
      </c>
      <c r="D22" s="120">
        <f t="shared" si="0"/>
        <v>3916.8824271393482</v>
      </c>
    </row>
    <row r="23" spans="1:5" ht="12.75">
      <c r="A23" s="6">
        <v>212</v>
      </c>
      <c r="B23" s="7" t="s">
        <v>13</v>
      </c>
      <c r="C23" s="114">
        <v>300</v>
      </c>
      <c r="D23" s="120">
        <f t="shared" si="0"/>
        <v>9958.17566221868</v>
      </c>
      <c r="E23" s="92"/>
    </row>
    <row r="24" spans="1:5" ht="13.5" thickBot="1">
      <c r="A24" s="45">
        <v>212</v>
      </c>
      <c r="B24" s="44" t="s">
        <v>171</v>
      </c>
      <c r="C24" s="127">
        <v>1</v>
      </c>
      <c r="D24" s="153">
        <f t="shared" si="0"/>
        <v>33.19391887406227</v>
      </c>
      <c r="E24" s="92"/>
    </row>
    <row r="25" spans="1:4" ht="13.5" thickBot="1">
      <c r="A25" s="40">
        <v>221</v>
      </c>
      <c r="B25" s="41" t="s">
        <v>14</v>
      </c>
      <c r="C25" s="133">
        <v>300</v>
      </c>
      <c r="D25" s="151">
        <f t="shared" si="0"/>
        <v>9958.17566221868</v>
      </c>
    </row>
    <row r="26" spans="1:4" ht="13.5" thickBot="1">
      <c r="A26" s="40">
        <v>222</v>
      </c>
      <c r="B26" s="41" t="s">
        <v>149</v>
      </c>
      <c r="C26" s="133">
        <v>1</v>
      </c>
      <c r="D26" s="151">
        <f t="shared" si="0"/>
        <v>33.19391887406227</v>
      </c>
    </row>
    <row r="27" spans="1:4" ht="12.75">
      <c r="A27" s="36">
        <v>223</v>
      </c>
      <c r="B27" s="37" t="s">
        <v>189</v>
      </c>
      <c r="C27" s="117">
        <v>30</v>
      </c>
      <c r="D27" s="120">
        <f t="shared" si="0"/>
        <v>995.8175662218681</v>
      </c>
    </row>
    <row r="28" spans="1:4" ht="12.75">
      <c r="A28" s="6">
        <v>223</v>
      </c>
      <c r="B28" s="7" t="s">
        <v>16</v>
      </c>
      <c r="C28" s="114">
        <v>20</v>
      </c>
      <c r="D28" s="120">
        <f t="shared" si="0"/>
        <v>663.8783774812455</v>
      </c>
    </row>
    <row r="29" spans="1:4" ht="12.75">
      <c r="A29" s="6">
        <v>223</v>
      </c>
      <c r="B29" s="7" t="s">
        <v>94</v>
      </c>
      <c r="C29" s="114">
        <v>31</v>
      </c>
      <c r="D29" s="120">
        <f t="shared" si="0"/>
        <v>1029.0114850959305</v>
      </c>
    </row>
    <row r="30" spans="1:4" ht="12.75">
      <c r="A30" s="6">
        <v>223</v>
      </c>
      <c r="B30" s="7" t="s">
        <v>168</v>
      </c>
      <c r="C30" s="114">
        <v>250</v>
      </c>
      <c r="D30" s="120">
        <f t="shared" si="0"/>
        <v>8298.479718515568</v>
      </c>
    </row>
    <row r="31" spans="1:4" ht="12.75">
      <c r="A31" s="6">
        <v>223</v>
      </c>
      <c r="B31" s="7" t="s">
        <v>95</v>
      </c>
      <c r="C31" s="114">
        <v>50</v>
      </c>
      <c r="D31" s="120">
        <f t="shared" si="0"/>
        <v>1659.6959437031135</v>
      </c>
    </row>
    <row r="32" spans="1:4" ht="12.75">
      <c r="A32" s="6">
        <v>223</v>
      </c>
      <c r="B32" s="7" t="s">
        <v>17</v>
      </c>
      <c r="C32" s="114">
        <v>250</v>
      </c>
      <c r="D32" s="120">
        <f t="shared" si="0"/>
        <v>8298.479718515568</v>
      </c>
    </row>
    <row r="33" spans="1:4" ht="12.75">
      <c r="A33" s="6">
        <v>223</v>
      </c>
      <c r="B33" s="7" t="s">
        <v>188</v>
      </c>
      <c r="C33" s="114">
        <v>470</v>
      </c>
      <c r="D33" s="120">
        <f t="shared" si="0"/>
        <v>15601.141870809266</v>
      </c>
    </row>
    <row r="34" spans="1:4" ht="12.75">
      <c r="A34" s="6">
        <v>223</v>
      </c>
      <c r="B34" s="7" t="s">
        <v>96</v>
      </c>
      <c r="C34" s="114">
        <v>160</v>
      </c>
      <c r="D34" s="120">
        <f t="shared" si="0"/>
        <v>5311.027019849964</v>
      </c>
    </row>
    <row r="35" spans="1:4" ht="12.75">
      <c r="A35" s="6">
        <v>223</v>
      </c>
      <c r="B35" s="7" t="s">
        <v>97</v>
      </c>
      <c r="C35" s="114">
        <v>50</v>
      </c>
      <c r="D35" s="120">
        <f t="shared" si="0"/>
        <v>1659.6959437031135</v>
      </c>
    </row>
    <row r="36" spans="1:4" ht="12.75">
      <c r="A36" s="6">
        <v>223</v>
      </c>
      <c r="B36" s="7" t="s">
        <v>98</v>
      </c>
      <c r="C36" s="138">
        <v>350</v>
      </c>
      <c r="D36" s="120">
        <f t="shared" si="0"/>
        <v>11617.871605921795</v>
      </c>
    </row>
    <row r="37" spans="1:5" ht="13.5" thickBot="1">
      <c r="A37" s="38">
        <v>223</v>
      </c>
      <c r="B37" s="39" t="s">
        <v>18</v>
      </c>
      <c r="C37" s="115">
        <v>10</v>
      </c>
      <c r="D37" s="120">
        <f t="shared" si="0"/>
        <v>331.93918874062274</v>
      </c>
      <c r="E37" s="92"/>
    </row>
    <row r="38" spans="1:4" ht="13.5" thickBot="1">
      <c r="A38" s="630" t="s">
        <v>19</v>
      </c>
      <c r="B38" s="631"/>
      <c r="C38" s="128">
        <f>SUM(C39)</f>
        <v>200</v>
      </c>
      <c r="D38" s="128">
        <f>SUM(D39)</f>
        <v>6638.783774812454</v>
      </c>
    </row>
    <row r="39" spans="1:4" ht="13.5" thickBot="1">
      <c r="A39" s="44">
        <v>240</v>
      </c>
      <c r="B39" s="44" t="s">
        <v>20</v>
      </c>
      <c r="C39" s="127">
        <v>200</v>
      </c>
      <c r="D39" s="151">
        <f t="shared" si="0"/>
        <v>6638.783774812454</v>
      </c>
    </row>
    <row r="40" spans="1:4" ht="13.5" thickBot="1">
      <c r="A40" s="630" t="s">
        <v>15</v>
      </c>
      <c r="B40" s="631"/>
      <c r="C40" s="128">
        <f>SUM(C41:C52)</f>
        <v>899</v>
      </c>
      <c r="D40" s="128">
        <f>SUM(D41:D52)</f>
        <v>29841.333067781987</v>
      </c>
    </row>
    <row r="41" spans="1:5" ht="12.75">
      <c r="A41" s="42">
        <v>292</v>
      </c>
      <c r="B41" s="43" t="s">
        <v>164</v>
      </c>
      <c r="C41" s="120">
        <v>20</v>
      </c>
      <c r="D41" s="120">
        <f t="shared" si="0"/>
        <v>663.8783774812455</v>
      </c>
      <c r="E41" s="19"/>
    </row>
    <row r="42" spans="1:4" ht="12.75">
      <c r="A42" s="42">
        <v>292</v>
      </c>
      <c r="B42" s="43" t="s">
        <v>103</v>
      </c>
      <c r="C42" s="120">
        <v>6</v>
      </c>
      <c r="D42" s="120">
        <f t="shared" si="0"/>
        <v>199.16351324437363</v>
      </c>
    </row>
    <row r="43" spans="1:4" ht="12.75">
      <c r="A43" s="8">
        <v>292</v>
      </c>
      <c r="B43" s="9" t="s">
        <v>169</v>
      </c>
      <c r="C43" s="121">
        <v>35</v>
      </c>
      <c r="D43" s="120">
        <f t="shared" si="0"/>
        <v>1161.7871605921794</v>
      </c>
    </row>
    <row r="44" spans="1:4" ht="12.75">
      <c r="A44" s="8">
        <v>292</v>
      </c>
      <c r="B44" s="7" t="s">
        <v>100</v>
      </c>
      <c r="C44" s="121">
        <v>4</v>
      </c>
      <c r="D44" s="120">
        <f t="shared" si="0"/>
        <v>132.77567549624908</v>
      </c>
    </row>
    <row r="45" spans="1:4" ht="12.75">
      <c r="A45" s="8">
        <v>292</v>
      </c>
      <c r="B45" s="9" t="s">
        <v>176</v>
      </c>
      <c r="C45" s="121">
        <v>190</v>
      </c>
      <c r="D45" s="120">
        <f t="shared" si="0"/>
        <v>6306.844586071831</v>
      </c>
    </row>
    <row r="46" spans="1:4" ht="12.75">
      <c r="A46" s="8">
        <v>292</v>
      </c>
      <c r="B46" s="9" t="s">
        <v>150</v>
      </c>
      <c r="C46" s="121">
        <v>15</v>
      </c>
      <c r="D46" s="120">
        <f t="shared" si="0"/>
        <v>497.90878311093405</v>
      </c>
    </row>
    <row r="47" spans="1:4" ht="12.75">
      <c r="A47" s="8">
        <v>292</v>
      </c>
      <c r="B47" s="9" t="s">
        <v>153</v>
      </c>
      <c r="C47" s="121">
        <v>5</v>
      </c>
      <c r="D47" s="120">
        <f t="shared" si="0"/>
        <v>165.96959437031137</v>
      </c>
    </row>
    <row r="48" spans="1:4" ht="12.75">
      <c r="A48" s="8">
        <v>292</v>
      </c>
      <c r="B48" s="7" t="s">
        <v>104</v>
      </c>
      <c r="C48" s="121">
        <v>590</v>
      </c>
      <c r="D48" s="120">
        <f t="shared" si="0"/>
        <v>19584.41213569674</v>
      </c>
    </row>
    <row r="49" spans="1:4" ht="12.75">
      <c r="A49" s="8">
        <v>292</v>
      </c>
      <c r="B49" s="7" t="s">
        <v>101</v>
      </c>
      <c r="C49" s="121">
        <v>20</v>
      </c>
      <c r="D49" s="120">
        <f t="shared" si="0"/>
        <v>663.8783774812455</v>
      </c>
    </row>
    <row r="50" spans="1:4" ht="12.75">
      <c r="A50" s="8">
        <v>292</v>
      </c>
      <c r="B50" s="7" t="s">
        <v>170</v>
      </c>
      <c r="C50" s="121">
        <v>10</v>
      </c>
      <c r="D50" s="120">
        <f t="shared" si="0"/>
        <v>331.93918874062274</v>
      </c>
    </row>
    <row r="51" spans="1:4" ht="12.75">
      <c r="A51" s="8">
        <v>292</v>
      </c>
      <c r="B51" s="7" t="s">
        <v>102</v>
      </c>
      <c r="C51" s="114">
        <v>3</v>
      </c>
      <c r="D51" s="120">
        <f t="shared" si="0"/>
        <v>99.58175662218682</v>
      </c>
    </row>
    <row r="52" spans="1:4" ht="13.5" thickBot="1">
      <c r="A52" s="94">
        <v>292</v>
      </c>
      <c r="B52" s="44" t="s">
        <v>154</v>
      </c>
      <c r="C52" s="127">
        <v>1</v>
      </c>
      <c r="D52" s="120">
        <f t="shared" si="0"/>
        <v>33.19391887406227</v>
      </c>
    </row>
    <row r="53" spans="1:4" ht="12.75" customHeight="1" thickBot="1">
      <c r="A53" s="80" t="s">
        <v>21</v>
      </c>
      <c r="B53" s="81"/>
      <c r="C53" s="128">
        <f>SUM(C54:C64)</f>
        <v>9891</v>
      </c>
      <c r="D53" s="128">
        <f>SUM(D54:D64)</f>
        <v>328321.05158334994</v>
      </c>
    </row>
    <row r="54" spans="1:4" ht="12.75" customHeight="1">
      <c r="A54" s="59">
        <v>311</v>
      </c>
      <c r="B54" s="37" t="s">
        <v>105</v>
      </c>
      <c r="C54" s="117">
        <v>0</v>
      </c>
      <c r="D54" s="120">
        <f t="shared" si="0"/>
        <v>0</v>
      </c>
    </row>
    <row r="55" spans="1:4" ht="12.75" customHeight="1">
      <c r="A55" s="5">
        <v>312</v>
      </c>
      <c r="B55" s="7" t="s">
        <v>106</v>
      </c>
      <c r="C55" s="114">
        <v>104</v>
      </c>
      <c r="D55" s="120">
        <f t="shared" si="0"/>
        <v>3452.1675629024758</v>
      </c>
    </row>
    <row r="56" spans="1:4" ht="12.75" customHeight="1">
      <c r="A56" s="5">
        <v>312</v>
      </c>
      <c r="B56" s="6" t="s">
        <v>22</v>
      </c>
      <c r="C56" s="114">
        <v>87</v>
      </c>
      <c r="D56" s="120">
        <f t="shared" si="0"/>
        <v>2887.8709420434175</v>
      </c>
    </row>
    <row r="57" spans="1:4" ht="12.75" customHeight="1">
      <c r="A57" s="5">
        <v>312</v>
      </c>
      <c r="B57" s="10" t="s">
        <v>107</v>
      </c>
      <c r="C57" s="129">
        <v>8800</v>
      </c>
      <c r="D57" s="120">
        <f t="shared" si="0"/>
        <v>292106.486091748</v>
      </c>
    </row>
    <row r="58" spans="1:4" ht="12.75" customHeight="1">
      <c r="A58" s="5">
        <v>312</v>
      </c>
      <c r="B58" s="7" t="s">
        <v>108</v>
      </c>
      <c r="C58" s="114">
        <v>140</v>
      </c>
      <c r="D58" s="120">
        <f t="shared" si="0"/>
        <v>4647.148642368717</v>
      </c>
    </row>
    <row r="59" spans="1:4" ht="12.75" customHeight="1">
      <c r="A59" s="5">
        <v>312</v>
      </c>
      <c r="B59" s="7" t="s">
        <v>23</v>
      </c>
      <c r="C59" s="114">
        <v>40</v>
      </c>
      <c r="D59" s="120">
        <f t="shared" si="0"/>
        <v>1327.756754962491</v>
      </c>
    </row>
    <row r="60" spans="1:4" ht="12.75" customHeight="1">
      <c r="A60" s="5">
        <v>312</v>
      </c>
      <c r="B60" s="11" t="s">
        <v>109</v>
      </c>
      <c r="C60" s="114">
        <v>50</v>
      </c>
      <c r="D60" s="120">
        <f t="shared" si="0"/>
        <v>1659.6959437031135</v>
      </c>
    </row>
    <row r="61" spans="1:6" ht="12.75" customHeight="1">
      <c r="A61" s="5">
        <v>312</v>
      </c>
      <c r="B61" s="11" t="s">
        <v>177</v>
      </c>
      <c r="C61" s="114">
        <v>0</v>
      </c>
      <c r="D61" s="120">
        <f t="shared" si="0"/>
        <v>0</v>
      </c>
      <c r="F61" s="3"/>
    </row>
    <row r="62" spans="1:6" ht="12.75" customHeight="1">
      <c r="A62" s="5">
        <v>312</v>
      </c>
      <c r="B62" s="11" t="s">
        <v>165</v>
      </c>
      <c r="C62" s="114">
        <v>270</v>
      </c>
      <c r="D62" s="120">
        <f t="shared" si="0"/>
        <v>8962.358095996813</v>
      </c>
      <c r="F62" s="3"/>
    </row>
    <row r="63" spans="1:6" ht="12.75" customHeight="1">
      <c r="A63" s="5">
        <v>312</v>
      </c>
      <c r="B63" s="11" t="s">
        <v>166</v>
      </c>
      <c r="C63" s="114">
        <v>400</v>
      </c>
      <c r="D63" s="120">
        <f t="shared" si="0"/>
        <v>13277.567549624908</v>
      </c>
      <c r="F63" s="3"/>
    </row>
    <row r="64" spans="1:4" ht="13.5" customHeight="1">
      <c r="A64" s="5">
        <v>312</v>
      </c>
      <c r="B64" s="11" t="s">
        <v>167</v>
      </c>
      <c r="C64" s="114">
        <v>0</v>
      </c>
      <c r="D64" s="120">
        <f t="shared" si="0"/>
        <v>0</v>
      </c>
    </row>
    <row r="65" spans="1:4" ht="13.5" customHeight="1">
      <c r="A65" s="12" t="s">
        <v>110</v>
      </c>
      <c r="B65" s="13"/>
      <c r="C65" s="130">
        <f>SUM(C10+C19+C38+C40+C53)</f>
        <v>35156</v>
      </c>
      <c r="D65" s="130">
        <f>SUM(D10+D19+D38+D40+D53)</f>
        <v>1166965.4119365332</v>
      </c>
    </row>
    <row r="66" spans="1:4" ht="16.5" thickBot="1">
      <c r="A66" s="82">
        <v>236</v>
      </c>
      <c r="B66" s="83" t="s">
        <v>111</v>
      </c>
      <c r="C66" s="131">
        <v>79</v>
      </c>
      <c r="D66" s="166">
        <f t="shared" si="0"/>
        <v>2622.3195910509194</v>
      </c>
    </row>
    <row r="67" spans="1:4" ht="16.5" thickBot="1">
      <c r="A67" s="84" t="s">
        <v>24</v>
      </c>
      <c r="B67" s="81"/>
      <c r="C67" s="132">
        <f>SUM(C65:C66)</f>
        <v>35235</v>
      </c>
      <c r="D67" s="132">
        <f>SUM(D65:D66)</f>
        <v>1169587.7315275841</v>
      </c>
    </row>
    <row r="68" spans="1:4" ht="15.75">
      <c r="A68" s="14"/>
      <c r="B68" s="22"/>
      <c r="C68" s="148"/>
      <c r="D68" s="148"/>
    </row>
    <row r="69" spans="1:8" ht="20.25" customHeight="1">
      <c r="A69" s="15"/>
      <c r="B69" s="17"/>
      <c r="C69" s="18"/>
      <c r="D69" s="18"/>
      <c r="E69" s="18"/>
      <c r="F69" s="18"/>
      <c r="H69" s="149"/>
    </row>
    <row r="70" spans="1:7" ht="18.75" thickBot="1">
      <c r="A70" s="626" t="s">
        <v>25</v>
      </c>
      <c r="B70" s="627"/>
      <c r="C70" s="627"/>
      <c r="D70" s="627"/>
      <c r="E70" s="3"/>
      <c r="F70" s="3"/>
      <c r="G70" s="3"/>
    </row>
    <row r="71" spans="1:4" ht="12.75">
      <c r="A71" s="608" t="s">
        <v>2</v>
      </c>
      <c r="B71" s="609"/>
      <c r="C71" s="598" t="s">
        <v>91</v>
      </c>
      <c r="D71" s="643" t="s">
        <v>174</v>
      </c>
    </row>
    <row r="72" spans="1:4" ht="13.5" thickBot="1">
      <c r="A72" s="628"/>
      <c r="B72" s="629"/>
      <c r="C72" s="612"/>
      <c r="D72" s="644"/>
    </row>
    <row r="73" spans="1:4" ht="13.5" thickBot="1">
      <c r="A73" s="48" t="s">
        <v>26</v>
      </c>
      <c r="B73" s="49"/>
      <c r="C73" s="119">
        <f>SUM(C74:C76)</f>
        <v>5154</v>
      </c>
      <c r="D73" s="119">
        <f>SUM(D74:D76)</f>
        <v>171081.45787691695</v>
      </c>
    </row>
    <row r="74" spans="1:5" ht="12.75" customHeight="1">
      <c r="A74" s="27" t="s">
        <v>27</v>
      </c>
      <c r="B74" s="47" t="s">
        <v>112</v>
      </c>
      <c r="C74" s="117">
        <v>4350</v>
      </c>
      <c r="D74" s="120">
        <f aca="true" t="shared" si="1" ref="D74:D124">C74/$D$6*1000</f>
        <v>144393.54710217088</v>
      </c>
      <c r="E74">
        <f>2850+20+254+278+117+91+252+15+265+215</f>
        <v>4357</v>
      </c>
    </row>
    <row r="75" spans="1:5" ht="12.75">
      <c r="A75" s="20" t="s">
        <v>28</v>
      </c>
      <c r="B75" s="11" t="s">
        <v>29</v>
      </c>
      <c r="C75" s="114">
        <v>700</v>
      </c>
      <c r="D75" s="120">
        <f t="shared" si="1"/>
        <v>23235.74321184359</v>
      </c>
      <c r="E75">
        <f>206+473+30</f>
        <v>709</v>
      </c>
    </row>
    <row r="76" spans="1:4" ht="13.5" thickBot="1">
      <c r="A76" s="21" t="s">
        <v>30</v>
      </c>
      <c r="B76" s="11" t="s">
        <v>117</v>
      </c>
      <c r="C76" s="114">
        <v>104</v>
      </c>
      <c r="D76" s="120">
        <f t="shared" si="1"/>
        <v>3452.1675629024758</v>
      </c>
    </row>
    <row r="77" spans="1:4" ht="13.5" thickBot="1">
      <c r="A77" s="622" t="s">
        <v>31</v>
      </c>
      <c r="B77" s="623"/>
      <c r="C77" s="119">
        <f>C78</f>
        <v>4</v>
      </c>
      <c r="D77" s="119">
        <f>D78</f>
        <v>132.77567549624908</v>
      </c>
    </row>
    <row r="78" spans="1:4" ht="13.5" thickBot="1">
      <c r="A78" s="53" t="s">
        <v>32</v>
      </c>
      <c r="B78" s="22" t="s">
        <v>114</v>
      </c>
      <c r="C78" s="125">
        <v>4</v>
      </c>
      <c r="D78" s="120">
        <f t="shared" si="1"/>
        <v>132.77567549624908</v>
      </c>
    </row>
    <row r="79" spans="1:4" ht="13.5" thickBot="1">
      <c r="A79" s="622" t="s">
        <v>33</v>
      </c>
      <c r="B79" s="623"/>
      <c r="C79" s="119">
        <f>C80</f>
        <v>125</v>
      </c>
      <c r="D79" s="119">
        <f>D80</f>
        <v>4149.239859257784</v>
      </c>
    </row>
    <row r="80" spans="1:4" ht="13.5" thickBot="1">
      <c r="A80" s="55" t="s">
        <v>34</v>
      </c>
      <c r="B80" s="56" t="s">
        <v>118</v>
      </c>
      <c r="C80" s="126">
        <v>125</v>
      </c>
      <c r="D80" s="120">
        <f t="shared" si="1"/>
        <v>4149.239859257784</v>
      </c>
    </row>
    <row r="81" spans="1:4" ht="13.5" thickBot="1">
      <c r="A81" s="48" t="s">
        <v>35</v>
      </c>
      <c r="B81" s="57"/>
      <c r="C81" s="119">
        <f>SUM(C82:C85)</f>
        <v>4920</v>
      </c>
      <c r="D81" s="119">
        <f>SUM(D82:D85)</f>
        <v>163314.08086038637</v>
      </c>
    </row>
    <row r="82" spans="1:4" ht="12.75">
      <c r="A82" s="54" t="s">
        <v>36</v>
      </c>
      <c r="B82" s="43" t="s">
        <v>115</v>
      </c>
      <c r="C82" s="120">
        <v>40</v>
      </c>
      <c r="D82" s="120">
        <f t="shared" si="1"/>
        <v>1327.756754962491</v>
      </c>
    </row>
    <row r="83" spans="1:5" ht="12.75">
      <c r="A83" s="21" t="s">
        <v>37</v>
      </c>
      <c r="B83" s="11" t="s">
        <v>113</v>
      </c>
      <c r="C83" s="114">
        <v>120</v>
      </c>
      <c r="D83" s="120">
        <f t="shared" si="1"/>
        <v>3983.2702648874724</v>
      </c>
      <c r="E83">
        <f>113+753</f>
        <v>866</v>
      </c>
    </row>
    <row r="84" spans="1:5" ht="12.75">
      <c r="A84" s="21" t="s">
        <v>38</v>
      </c>
      <c r="B84" s="11" t="s">
        <v>119</v>
      </c>
      <c r="C84" s="114">
        <v>860</v>
      </c>
      <c r="D84" s="120">
        <f t="shared" si="1"/>
        <v>28546.770231693554</v>
      </c>
      <c r="E84">
        <f>1620+604+47+24+730+27+246+200+45+262+17+96</f>
        <v>3918</v>
      </c>
    </row>
    <row r="85" spans="1:4" ht="13.5" thickBot="1">
      <c r="A85" s="50" t="s">
        <v>39</v>
      </c>
      <c r="B85" s="51" t="s">
        <v>120</v>
      </c>
      <c r="C85" s="118">
        <v>3900</v>
      </c>
      <c r="D85" s="120">
        <f t="shared" si="1"/>
        <v>129456.28360884286</v>
      </c>
    </row>
    <row r="86" spans="1:5" ht="13.5" thickBot="1">
      <c r="A86" s="48" t="s">
        <v>40</v>
      </c>
      <c r="B86" s="49"/>
      <c r="C86" s="119">
        <f>SUM(C87:C88)</f>
        <v>821</v>
      </c>
      <c r="D86" s="119">
        <f>SUM(D87:D88)</f>
        <v>27252.207395605124</v>
      </c>
      <c r="E86">
        <f>210+50+12+400</f>
        <v>672</v>
      </c>
    </row>
    <row r="87" spans="1:5" ht="12.75">
      <c r="A87" s="52" t="s">
        <v>41</v>
      </c>
      <c r="B87" s="47" t="s">
        <v>42</v>
      </c>
      <c r="C87" s="117">
        <v>675</v>
      </c>
      <c r="D87" s="120">
        <f t="shared" si="1"/>
        <v>22405.89523999203</v>
      </c>
      <c r="E87">
        <f>96+50</f>
        <v>146</v>
      </c>
    </row>
    <row r="88" spans="1:4" ht="13.5" thickBot="1">
      <c r="A88" s="50" t="s">
        <v>43</v>
      </c>
      <c r="B88" s="51" t="s">
        <v>116</v>
      </c>
      <c r="C88" s="118">
        <v>146</v>
      </c>
      <c r="D88" s="120">
        <f t="shared" si="1"/>
        <v>4846.312155613092</v>
      </c>
    </row>
    <row r="89" spans="1:4" ht="13.5" thickBot="1">
      <c r="A89" s="48" t="s">
        <v>44</v>
      </c>
      <c r="B89" s="57"/>
      <c r="C89" s="119">
        <f>SUM(C90:C90)</f>
        <v>495</v>
      </c>
      <c r="D89" s="119">
        <f>SUM(D90:D90)</f>
        <v>16430.989842660823</v>
      </c>
    </row>
    <row r="90" spans="1:4" ht="13.5" thickBot="1">
      <c r="A90" s="62" t="s">
        <v>45</v>
      </c>
      <c r="B90" s="51" t="s">
        <v>46</v>
      </c>
      <c r="C90" s="118">
        <f>380+110+5</f>
        <v>495</v>
      </c>
      <c r="D90" s="120">
        <f t="shared" si="1"/>
        <v>16430.989842660823</v>
      </c>
    </row>
    <row r="91" spans="1:4" ht="13.5" thickBot="1">
      <c r="A91" s="63" t="s">
        <v>47</v>
      </c>
      <c r="B91" s="49"/>
      <c r="C91" s="119">
        <f>SUM(C92:C104)</f>
        <v>2504</v>
      </c>
      <c r="D91" s="119">
        <f>SUM(D92:D104)</f>
        <v>83117.57286065193</v>
      </c>
    </row>
    <row r="92" spans="1:4" ht="12.75">
      <c r="A92" s="52" t="s">
        <v>48</v>
      </c>
      <c r="B92" s="47" t="s">
        <v>121</v>
      </c>
      <c r="C92" s="117">
        <v>170</v>
      </c>
      <c r="D92" s="120">
        <f t="shared" si="1"/>
        <v>5642.966208590586</v>
      </c>
    </row>
    <row r="93" spans="1:5" ht="13.5" thickBot="1">
      <c r="A93" s="60" t="s">
        <v>48</v>
      </c>
      <c r="B93" s="61" t="s">
        <v>122</v>
      </c>
      <c r="C93" s="115">
        <f>65+36+100+55</f>
        <v>256</v>
      </c>
      <c r="D93" s="153">
        <f t="shared" si="1"/>
        <v>8497.643231759941</v>
      </c>
      <c r="E93">
        <f>378+50+150+100</f>
        <v>678</v>
      </c>
    </row>
    <row r="94" spans="1:4" ht="12.75">
      <c r="A94" s="52" t="s">
        <v>49</v>
      </c>
      <c r="B94" s="59" t="s">
        <v>123</v>
      </c>
      <c r="C94" s="117">
        <v>678</v>
      </c>
      <c r="D94" s="120">
        <f t="shared" si="1"/>
        <v>22505.47699661422</v>
      </c>
    </row>
    <row r="95" spans="1:4" ht="12.75">
      <c r="A95" s="21" t="s">
        <v>51</v>
      </c>
      <c r="B95" s="58" t="s">
        <v>124</v>
      </c>
      <c r="C95" s="114">
        <v>20</v>
      </c>
      <c r="D95" s="120">
        <f t="shared" si="1"/>
        <v>663.8783774812455</v>
      </c>
    </row>
    <row r="96" spans="1:4" ht="13.5" thickBot="1">
      <c r="A96" s="60" t="s">
        <v>52</v>
      </c>
      <c r="B96" s="61" t="s">
        <v>125</v>
      </c>
      <c r="C96" s="115">
        <v>20</v>
      </c>
      <c r="D96" s="153">
        <f t="shared" si="1"/>
        <v>663.8783774812455</v>
      </c>
    </row>
    <row r="97" spans="1:4" ht="12.75">
      <c r="A97" s="21" t="s">
        <v>53</v>
      </c>
      <c r="B97" s="11" t="s">
        <v>181</v>
      </c>
      <c r="C97" s="114">
        <v>80</v>
      </c>
      <c r="D97" s="120">
        <f t="shared" si="1"/>
        <v>2655.513509924982</v>
      </c>
    </row>
    <row r="98" spans="1:4" ht="12.75">
      <c r="A98" s="21" t="s">
        <v>53</v>
      </c>
      <c r="B98" s="11" t="s">
        <v>158</v>
      </c>
      <c r="C98" s="114">
        <v>100</v>
      </c>
      <c r="D98" s="120">
        <f t="shared" si="1"/>
        <v>3319.391887406227</v>
      </c>
    </row>
    <row r="99" spans="1:4" ht="12.75">
      <c r="A99" s="21" t="s">
        <v>53</v>
      </c>
      <c r="B99" s="11" t="s">
        <v>50</v>
      </c>
      <c r="C99" s="114">
        <v>200</v>
      </c>
      <c r="D99" s="120">
        <f t="shared" si="1"/>
        <v>6638.783774812454</v>
      </c>
    </row>
    <row r="100" spans="1:4" ht="12.75">
      <c r="A100" s="50" t="s">
        <v>53</v>
      </c>
      <c r="B100" s="51" t="s">
        <v>187</v>
      </c>
      <c r="C100" s="118">
        <v>60</v>
      </c>
      <c r="D100" s="120">
        <f t="shared" si="1"/>
        <v>1991.6351324437362</v>
      </c>
    </row>
    <row r="101" spans="1:4" ht="13.5" thickBot="1">
      <c r="A101" s="60" t="s">
        <v>53</v>
      </c>
      <c r="B101" s="61" t="s">
        <v>126</v>
      </c>
      <c r="C101" s="115">
        <v>200</v>
      </c>
      <c r="D101" s="153">
        <f t="shared" si="1"/>
        <v>6638.783774812454</v>
      </c>
    </row>
    <row r="102" spans="1:5" ht="12.75">
      <c r="A102" s="64" t="s">
        <v>54</v>
      </c>
      <c r="B102" s="65" t="s">
        <v>162</v>
      </c>
      <c r="C102" s="116">
        <v>50</v>
      </c>
      <c r="D102" s="120">
        <f t="shared" si="1"/>
        <v>1659.6959437031135</v>
      </c>
      <c r="E102">
        <f>96+57+160+120+50</f>
        <v>483</v>
      </c>
    </row>
    <row r="103" spans="1:4" ht="12.75">
      <c r="A103" s="52" t="s">
        <v>55</v>
      </c>
      <c r="B103" s="47" t="s">
        <v>127</v>
      </c>
      <c r="C103" s="117">
        <f>92+88+300</f>
        <v>480</v>
      </c>
      <c r="D103" s="120">
        <f t="shared" si="1"/>
        <v>15933.08105954989</v>
      </c>
    </row>
    <row r="104" spans="1:4" ht="13.5" thickBot="1">
      <c r="A104" s="50" t="s">
        <v>56</v>
      </c>
      <c r="B104" s="51" t="s">
        <v>128</v>
      </c>
      <c r="C104" s="118">
        <f>140+50</f>
        <v>190</v>
      </c>
      <c r="D104" s="120">
        <f t="shared" si="1"/>
        <v>6306.844586071831</v>
      </c>
    </row>
    <row r="105" spans="1:4" ht="13.5" thickBot="1">
      <c r="A105" s="622" t="s">
        <v>57</v>
      </c>
      <c r="B105" s="623"/>
      <c r="C105" s="119">
        <f>SUM(C106:C111)</f>
        <v>7835</v>
      </c>
      <c r="D105" s="119">
        <f>SUM(D106:D111)</f>
        <v>260074.35437827787</v>
      </c>
    </row>
    <row r="106" spans="1:4" ht="12.75">
      <c r="A106" s="67" t="s">
        <v>58</v>
      </c>
      <c r="B106" s="43" t="s">
        <v>152</v>
      </c>
      <c r="C106" s="120">
        <f>2020+211+300+12+25+81+11</f>
        <v>2660</v>
      </c>
      <c r="D106" s="120">
        <f t="shared" si="1"/>
        <v>88295.82420500564</v>
      </c>
    </row>
    <row r="107" spans="1:4" ht="12.75">
      <c r="A107" s="23" t="s">
        <v>59</v>
      </c>
      <c r="B107" s="9" t="s">
        <v>129</v>
      </c>
      <c r="C107" s="121">
        <v>100</v>
      </c>
      <c r="D107" s="120">
        <f t="shared" si="1"/>
        <v>3319.391887406227</v>
      </c>
    </row>
    <row r="108" spans="1:4" ht="12.75">
      <c r="A108" s="23" t="s">
        <v>60</v>
      </c>
      <c r="B108" s="9" t="s">
        <v>61</v>
      </c>
      <c r="C108" s="121">
        <f>2495+158+97+26+47+12</f>
        <v>2835</v>
      </c>
      <c r="D108" s="120">
        <f t="shared" si="1"/>
        <v>94104.76000796653</v>
      </c>
    </row>
    <row r="109" spans="1:4" ht="12.75">
      <c r="A109" s="23" t="s">
        <v>75</v>
      </c>
      <c r="B109" s="9" t="s">
        <v>151</v>
      </c>
      <c r="C109" s="121">
        <v>5</v>
      </c>
      <c r="D109" s="120">
        <f t="shared" si="1"/>
        <v>165.96959437031137</v>
      </c>
    </row>
    <row r="110" spans="1:4" ht="12.75">
      <c r="A110" s="23" t="s">
        <v>77</v>
      </c>
      <c r="B110" s="9" t="s">
        <v>159</v>
      </c>
      <c r="C110" s="121">
        <f>1308+410+50+20+45+2</f>
        <v>1835</v>
      </c>
      <c r="D110" s="120">
        <f t="shared" si="1"/>
        <v>60910.841133904265</v>
      </c>
    </row>
    <row r="111" spans="1:4" ht="13.5" thickBot="1">
      <c r="A111" s="50" t="s">
        <v>62</v>
      </c>
      <c r="B111" s="51" t="s">
        <v>130</v>
      </c>
      <c r="C111" s="118">
        <f>363+37</f>
        <v>400</v>
      </c>
      <c r="D111" s="120">
        <f t="shared" si="1"/>
        <v>13277.567549624908</v>
      </c>
    </row>
    <row r="112" spans="1:4" ht="12.75" customHeight="1" thickBot="1">
      <c r="A112" s="48" t="s">
        <v>63</v>
      </c>
      <c r="B112" s="49"/>
      <c r="C112" s="119">
        <f>SUM(C113:C121)</f>
        <v>2986</v>
      </c>
      <c r="D112" s="119">
        <f>SUM(D113:D121)</f>
        <v>99117.04175794995</v>
      </c>
    </row>
    <row r="113" spans="1:4" ht="12.75">
      <c r="A113" s="52" t="s">
        <v>64</v>
      </c>
      <c r="B113" s="47" t="s">
        <v>131</v>
      </c>
      <c r="C113" s="117">
        <f>2172+54+4</f>
        <v>2230</v>
      </c>
      <c r="D113" s="120">
        <f t="shared" si="1"/>
        <v>74022.43908915887</v>
      </c>
    </row>
    <row r="114" spans="1:4" ht="12" customHeight="1">
      <c r="A114" s="21" t="s">
        <v>65</v>
      </c>
      <c r="B114" s="11" t="s">
        <v>132</v>
      </c>
      <c r="C114" s="138">
        <f>327+37+2</f>
        <v>366</v>
      </c>
      <c r="D114" s="120">
        <f t="shared" si="1"/>
        <v>12148.97430790679</v>
      </c>
    </row>
    <row r="115" spans="1:4" ht="13.5" thickBot="1">
      <c r="A115" s="60" t="s">
        <v>65</v>
      </c>
      <c r="B115" s="61" t="s">
        <v>133</v>
      </c>
      <c r="C115" s="115">
        <v>50</v>
      </c>
      <c r="D115" s="120">
        <f t="shared" si="1"/>
        <v>1659.6959437031135</v>
      </c>
    </row>
    <row r="116" spans="1:4" ht="13.5" customHeight="1">
      <c r="A116" s="52" t="s">
        <v>66</v>
      </c>
      <c r="B116" s="47" t="s">
        <v>134</v>
      </c>
      <c r="C116" s="117">
        <v>10</v>
      </c>
      <c r="D116" s="120">
        <f t="shared" si="1"/>
        <v>331.93918874062274</v>
      </c>
    </row>
    <row r="117" spans="1:4" ht="12.75">
      <c r="A117" s="21" t="s">
        <v>67</v>
      </c>
      <c r="B117" s="11" t="s">
        <v>68</v>
      </c>
      <c r="C117" s="114">
        <v>100</v>
      </c>
      <c r="D117" s="120">
        <f t="shared" si="1"/>
        <v>3319.391887406227</v>
      </c>
    </row>
    <row r="118" spans="1:4" ht="12.75">
      <c r="A118" s="21" t="s">
        <v>69</v>
      </c>
      <c r="B118" s="11" t="s">
        <v>135</v>
      </c>
      <c r="C118" s="114">
        <v>40</v>
      </c>
      <c r="D118" s="120">
        <f t="shared" si="1"/>
        <v>1327.756754962491</v>
      </c>
    </row>
    <row r="119" spans="1:4" ht="12.75">
      <c r="A119" s="21" t="s">
        <v>69</v>
      </c>
      <c r="B119" s="11" t="s">
        <v>136</v>
      </c>
      <c r="C119" s="114">
        <v>140</v>
      </c>
      <c r="D119" s="120">
        <f t="shared" si="1"/>
        <v>4647.148642368717</v>
      </c>
    </row>
    <row r="120" spans="1:4" ht="12.75" customHeight="1">
      <c r="A120" s="21" t="s">
        <v>70</v>
      </c>
      <c r="B120" s="11" t="s">
        <v>71</v>
      </c>
      <c r="C120" s="114">
        <v>20</v>
      </c>
      <c r="D120" s="120">
        <f t="shared" si="1"/>
        <v>663.8783774812455</v>
      </c>
    </row>
    <row r="121" spans="1:4" ht="12.75">
      <c r="A121" s="21" t="s">
        <v>72</v>
      </c>
      <c r="B121" s="11" t="s">
        <v>73</v>
      </c>
      <c r="C121" s="114">
        <v>30</v>
      </c>
      <c r="D121" s="120">
        <f t="shared" si="1"/>
        <v>995.8175662218681</v>
      </c>
    </row>
    <row r="122" spans="1:4" ht="16.5" thickBot="1">
      <c r="A122" s="87" t="s">
        <v>137</v>
      </c>
      <c r="B122" s="88"/>
      <c r="C122" s="122">
        <f>SUM(C73+C77+C79+C81+C86+C89+C91+C105+C112)</f>
        <v>24844</v>
      </c>
      <c r="D122" s="154">
        <f>SUM(D73+D77+D79+D81+D86+D89+D91+D105+D112)</f>
        <v>824669.7205072031</v>
      </c>
    </row>
    <row r="123" spans="1:4" ht="12.75">
      <c r="A123" s="158" t="s">
        <v>59</v>
      </c>
      <c r="B123" s="157" t="s">
        <v>74</v>
      </c>
      <c r="C123" s="156">
        <v>8800</v>
      </c>
      <c r="D123" s="120">
        <f t="shared" si="1"/>
        <v>292106.486091748</v>
      </c>
    </row>
    <row r="124" spans="1:4" ht="12.75">
      <c r="A124" s="159" t="s">
        <v>75</v>
      </c>
      <c r="B124" s="10" t="s">
        <v>76</v>
      </c>
      <c r="C124" s="155">
        <v>500</v>
      </c>
      <c r="D124" s="120">
        <f t="shared" si="1"/>
        <v>16596.959437031135</v>
      </c>
    </row>
    <row r="125" spans="1:4" ht="13.5" thickBot="1">
      <c r="A125" s="624" t="s">
        <v>163</v>
      </c>
      <c r="B125" s="625"/>
      <c r="C125" s="137">
        <f>SUM(C123:C124)</f>
        <v>9300</v>
      </c>
      <c r="D125" s="137">
        <f>SUM(D123:D124)</f>
        <v>308703.4455287791</v>
      </c>
    </row>
    <row r="126" spans="1:4" ht="16.5" thickBot="1">
      <c r="A126" s="85" t="s">
        <v>78</v>
      </c>
      <c r="B126" s="57"/>
      <c r="C126" s="123">
        <f>C122+C125</f>
        <v>34144</v>
      </c>
      <c r="D126" s="123">
        <f>D122+D125</f>
        <v>1133373.1660359823</v>
      </c>
    </row>
    <row r="127" spans="3:4" ht="12.75">
      <c r="C127" s="124"/>
      <c r="D127" s="124"/>
    </row>
    <row r="128" spans="1:4" ht="12.75">
      <c r="A128" s="15"/>
      <c r="B128" s="24"/>
      <c r="C128" s="25"/>
      <c r="D128" s="25"/>
    </row>
    <row r="129" spans="1:5" ht="18.75" thickBot="1">
      <c r="A129" s="588" t="s">
        <v>79</v>
      </c>
      <c r="B129" s="589"/>
      <c r="C129" s="589"/>
      <c r="D129" s="589"/>
      <c r="E129" s="124"/>
    </row>
    <row r="130" spans="1:7" ht="12.75">
      <c r="A130" s="608" t="s">
        <v>2</v>
      </c>
      <c r="B130" s="609"/>
      <c r="C130" s="598" t="s">
        <v>91</v>
      </c>
      <c r="D130" s="643" t="s">
        <v>174</v>
      </c>
      <c r="E130" s="25"/>
      <c r="F130" s="124"/>
      <c r="G130" s="124"/>
    </row>
    <row r="131" spans="1:7" ht="13.5" thickBot="1">
      <c r="A131" s="590"/>
      <c r="B131" s="621"/>
      <c r="C131" s="599"/>
      <c r="D131" s="644"/>
      <c r="F131" s="25"/>
      <c r="G131" s="4"/>
    </row>
    <row r="132" spans="1:4" ht="19.5" customHeight="1" thickBot="1">
      <c r="A132" s="613" t="s">
        <v>142</v>
      </c>
      <c r="B132" s="614"/>
      <c r="C132" s="112">
        <f>C133+C134</f>
        <v>0</v>
      </c>
      <c r="D132" s="112">
        <f>SUM(D133:D134)</f>
        <v>0</v>
      </c>
    </row>
    <row r="133" spans="1:9" ht="12.75">
      <c r="A133" s="96">
        <v>230</v>
      </c>
      <c r="B133" s="65" t="s">
        <v>99</v>
      </c>
      <c r="C133" s="105">
        <v>0</v>
      </c>
      <c r="D133" s="120">
        <f>C133/$D$6*1000</f>
        <v>0</v>
      </c>
      <c r="I133" s="26"/>
    </row>
    <row r="134" spans="1:10" s="19" customFormat="1" ht="13.5" thickBot="1">
      <c r="A134" s="95">
        <v>321</v>
      </c>
      <c r="B134" s="61" t="s">
        <v>178</v>
      </c>
      <c r="C134" s="102">
        <v>0</v>
      </c>
      <c r="D134" s="120">
        <f>C134/$D$6*1000</f>
        <v>0</v>
      </c>
      <c r="E134"/>
      <c r="F134"/>
      <c r="G134"/>
      <c r="H134"/>
      <c r="I134" s="15"/>
      <c r="J134"/>
    </row>
    <row r="135" spans="1:10" ht="18.75" thickBot="1">
      <c r="A135" s="75"/>
      <c r="B135" s="3"/>
      <c r="C135" s="113"/>
      <c r="D135" s="113"/>
      <c r="J135" s="19"/>
    </row>
    <row r="136" spans="1:4" ht="18" customHeight="1">
      <c r="A136" s="672" t="s">
        <v>143</v>
      </c>
      <c r="B136" s="673"/>
      <c r="C136" s="167">
        <f>SUM(C137:C147)</f>
        <v>12400</v>
      </c>
      <c r="D136" s="168">
        <f>SUM(D137:D147)</f>
        <v>411604.59403837216</v>
      </c>
    </row>
    <row r="137" spans="1:4" ht="12.75">
      <c r="A137" s="97" t="s">
        <v>39</v>
      </c>
      <c r="B137" s="98" t="s">
        <v>184</v>
      </c>
      <c r="C137" s="100">
        <v>100</v>
      </c>
      <c r="D137" s="161">
        <f aca="true" t="shared" si="2" ref="D137:D147">C137/$D$6*1000</f>
        <v>3319.391887406227</v>
      </c>
    </row>
    <row r="138" spans="1:4" ht="12.75">
      <c r="A138" s="89" t="s">
        <v>37</v>
      </c>
      <c r="B138" s="140" t="s">
        <v>200</v>
      </c>
      <c r="C138" s="141">
        <f>50+6200</f>
        <v>6250</v>
      </c>
      <c r="D138" s="161">
        <f t="shared" si="2"/>
        <v>207461.99296288917</v>
      </c>
    </row>
    <row r="139" spans="1:4" ht="12.75">
      <c r="A139" s="142" t="s">
        <v>37</v>
      </c>
      <c r="B139" s="143" t="s">
        <v>161</v>
      </c>
      <c r="C139" s="144">
        <v>100</v>
      </c>
      <c r="D139" s="161">
        <f t="shared" si="2"/>
        <v>3319.391887406227</v>
      </c>
    </row>
    <row r="140" spans="1:4" ht="12.75">
      <c r="A140" s="73" t="s">
        <v>37</v>
      </c>
      <c r="B140" s="7" t="s">
        <v>179</v>
      </c>
      <c r="C140" s="103">
        <v>1300</v>
      </c>
      <c r="D140" s="161">
        <f t="shared" si="2"/>
        <v>43152.09453628095</v>
      </c>
    </row>
    <row r="141" spans="1:4" ht="12.75">
      <c r="A141" s="76" t="s">
        <v>37</v>
      </c>
      <c r="B141" s="37" t="s">
        <v>80</v>
      </c>
      <c r="C141" s="101">
        <v>1000</v>
      </c>
      <c r="D141" s="161">
        <f t="shared" si="2"/>
        <v>33193.91887406227</v>
      </c>
    </row>
    <row r="142" spans="1:4" ht="12.75" customHeight="1">
      <c r="A142" s="165" t="s">
        <v>37</v>
      </c>
      <c r="B142" s="7" t="s">
        <v>183</v>
      </c>
      <c r="C142" s="103">
        <v>200</v>
      </c>
      <c r="D142" s="164">
        <f t="shared" si="2"/>
        <v>6638.783774812454</v>
      </c>
    </row>
    <row r="143" spans="1:4" ht="12.75" customHeight="1">
      <c r="A143" s="72" t="s">
        <v>41</v>
      </c>
      <c r="B143" s="37" t="s">
        <v>180</v>
      </c>
      <c r="C143" s="101">
        <v>300</v>
      </c>
      <c r="D143" s="161">
        <f t="shared" si="2"/>
        <v>9958.17566221868</v>
      </c>
    </row>
    <row r="144" spans="1:4" ht="12.75" customHeight="1">
      <c r="A144" s="73" t="s">
        <v>43</v>
      </c>
      <c r="B144" s="7" t="s">
        <v>156</v>
      </c>
      <c r="C144" s="103">
        <v>50</v>
      </c>
      <c r="D144" s="164">
        <f t="shared" si="2"/>
        <v>1659.6959437031135</v>
      </c>
    </row>
    <row r="145" spans="1:4" ht="12.75" customHeight="1">
      <c r="A145" s="72" t="s">
        <v>51</v>
      </c>
      <c r="B145" s="37" t="s">
        <v>157</v>
      </c>
      <c r="C145" s="101">
        <v>1000</v>
      </c>
      <c r="D145" s="161">
        <f t="shared" si="2"/>
        <v>33193.91887406227</v>
      </c>
    </row>
    <row r="146" spans="1:4" ht="12.75">
      <c r="A146" s="73" t="s">
        <v>77</v>
      </c>
      <c r="B146" s="7" t="s">
        <v>186</v>
      </c>
      <c r="C146" s="103">
        <v>100</v>
      </c>
      <c r="D146" s="164">
        <f t="shared" si="2"/>
        <v>3319.391887406227</v>
      </c>
    </row>
    <row r="147" spans="1:4" ht="13.5" thickBot="1">
      <c r="A147" s="74" t="s">
        <v>59</v>
      </c>
      <c r="B147" s="44" t="s">
        <v>182</v>
      </c>
      <c r="C147" s="104">
        <v>2000</v>
      </c>
      <c r="D147" s="160">
        <f t="shared" si="2"/>
        <v>66387.83774812454</v>
      </c>
    </row>
    <row r="148" spans="1:4" ht="12.75">
      <c r="A148" s="28"/>
      <c r="B148" s="29"/>
      <c r="C148" s="145"/>
      <c r="D148" s="146"/>
    </row>
    <row r="149" spans="1:5" ht="12.75">
      <c r="A149" s="29"/>
      <c r="B149" s="24"/>
      <c r="C149" s="30"/>
      <c r="D149" s="30"/>
      <c r="E149" s="146"/>
    </row>
    <row r="150" spans="1:7" ht="18">
      <c r="A150" s="668" t="s">
        <v>81</v>
      </c>
      <c r="B150" s="617"/>
      <c r="C150" s="617"/>
      <c r="D150" s="617"/>
      <c r="E150" s="30"/>
      <c r="F150" s="146"/>
      <c r="G150" s="147"/>
    </row>
    <row r="151" spans="1:7" ht="12.75">
      <c r="A151" s="669" t="s">
        <v>2</v>
      </c>
      <c r="B151" s="621"/>
      <c r="C151" s="670" t="s">
        <v>91</v>
      </c>
      <c r="D151" s="671" t="s">
        <v>174</v>
      </c>
      <c r="F151" s="30"/>
      <c r="G151" s="4"/>
    </row>
    <row r="152" spans="1:4" ht="13.5" thickBot="1">
      <c r="A152" s="619"/>
      <c r="B152" s="666"/>
      <c r="C152" s="667"/>
      <c r="D152" s="644"/>
    </row>
    <row r="153" spans="1:4" ht="15.75">
      <c r="A153" s="604" t="s">
        <v>144</v>
      </c>
      <c r="B153" s="663"/>
      <c r="C153" s="111">
        <f>SUM(C154:C155)</f>
        <v>11325</v>
      </c>
      <c r="D153" s="111">
        <f>SUM(D154:D155)</f>
        <v>375921.1312487552</v>
      </c>
    </row>
    <row r="154" spans="1:4" ht="12.75">
      <c r="A154" s="69">
        <v>513</v>
      </c>
      <c r="B154" s="6" t="s">
        <v>201</v>
      </c>
      <c r="C154" s="103">
        <v>6200</v>
      </c>
      <c r="D154" s="161">
        <f>C154/$D$6*1000</f>
        <v>205802.29701918608</v>
      </c>
    </row>
    <row r="155" spans="1:4" ht="12.75">
      <c r="A155" s="69">
        <v>454</v>
      </c>
      <c r="B155" s="6" t="s">
        <v>185</v>
      </c>
      <c r="C155" s="103">
        <v>5125</v>
      </c>
      <c r="D155" s="161">
        <f>C155/$D$6*1000</f>
        <v>170118.83422956913</v>
      </c>
    </row>
    <row r="156" spans="1:4" ht="15.75">
      <c r="A156" s="604" t="s">
        <v>145</v>
      </c>
      <c r="B156" s="663"/>
      <c r="C156" s="111">
        <f>C157</f>
        <v>16</v>
      </c>
      <c r="D156" s="111">
        <f>D157</f>
        <v>531.1027019849963</v>
      </c>
    </row>
    <row r="157" spans="1:5" ht="15" customHeight="1" thickBot="1">
      <c r="A157" s="70">
        <v>821</v>
      </c>
      <c r="B157" s="61" t="s">
        <v>138</v>
      </c>
      <c r="C157" s="102">
        <v>16</v>
      </c>
      <c r="D157" s="162">
        <f>C157/$D$6*1000</f>
        <v>531.1027019849963</v>
      </c>
      <c r="E157" s="33"/>
    </row>
    <row r="158" spans="1:4" ht="13.5" customHeight="1">
      <c r="A158" s="14"/>
      <c r="B158" s="15"/>
      <c r="C158" s="16"/>
      <c r="D158" s="16"/>
    </row>
    <row r="159" spans="1:4" ht="13.5" customHeight="1">
      <c r="A159" s="14"/>
      <c r="B159" s="15"/>
      <c r="C159" s="16"/>
      <c r="D159" s="16"/>
    </row>
    <row r="160" spans="1:5" ht="12.75" customHeight="1">
      <c r="A160" s="14"/>
      <c r="B160" s="15"/>
      <c r="C160" s="16"/>
      <c r="D160" s="16"/>
      <c r="E160" s="16"/>
    </row>
    <row r="161" spans="2:7" ht="15" customHeight="1">
      <c r="B161" s="24"/>
      <c r="C161" s="31"/>
      <c r="D161" s="31"/>
      <c r="E161" s="16"/>
      <c r="F161" s="16"/>
      <c r="G161" s="33"/>
    </row>
    <row r="162" spans="1:7" ht="15" customHeight="1" thickBot="1">
      <c r="A162" s="606" t="s">
        <v>146</v>
      </c>
      <c r="B162" s="607"/>
      <c r="C162" s="607"/>
      <c r="D162" s="607"/>
      <c r="E162" s="31"/>
      <c r="F162" s="16"/>
      <c r="G162" s="33"/>
    </row>
    <row r="163" spans="1:6" ht="18" customHeight="1">
      <c r="A163" s="608" t="s">
        <v>2</v>
      </c>
      <c r="B163" s="609"/>
      <c r="C163" s="651" t="s">
        <v>91</v>
      </c>
      <c r="D163" s="643" t="s">
        <v>174</v>
      </c>
      <c r="F163" s="31"/>
    </row>
    <row r="164" spans="1:4" ht="13.5" thickBot="1">
      <c r="A164" s="610"/>
      <c r="B164" s="611"/>
      <c r="C164" s="652"/>
      <c r="D164" s="644"/>
    </row>
    <row r="165" spans="1:4" ht="15">
      <c r="A165" s="169" t="s">
        <v>82</v>
      </c>
      <c r="B165" s="37"/>
      <c r="C165" s="170">
        <f>C67</f>
        <v>35235</v>
      </c>
      <c r="D165" s="170">
        <f>D67</f>
        <v>1169587.7315275841</v>
      </c>
    </row>
    <row r="166" spans="1:4" ht="15">
      <c r="A166" s="77" t="s">
        <v>83</v>
      </c>
      <c r="B166" s="7"/>
      <c r="C166" s="106">
        <f>C126</f>
        <v>34144</v>
      </c>
      <c r="D166" s="106">
        <f>D126</f>
        <v>1133373.1660359823</v>
      </c>
    </row>
    <row r="167" spans="1:4" ht="15.75">
      <c r="A167" s="68"/>
      <c r="B167" s="32" t="s">
        <v>84</v>
      </c>
      <c r="C167" s="107">
        <f>C165-C166</f>
        <v>1091</v>
      </c>
      <c r="D167" s="107">
        <f>D165-D166</f>
        <v>36214.565491601825</v>
      </c>
    </row>
    <row r="168" spans="1:8" ht="33" customHeight="1">
      <c r="A168" s="77" t="s">
        <v>85</v>
      </c>
      <c r="B168" s="7"/>
      <c r="C168" s="106">
        <f>C132</f>
        <v>0</v>
      </c>
      <c r="D168" s="106">
        <f>D132</f>
        <v>0</v>
      </c>
      <c r="H168" s="33"/>
    </row>
    <row r="169" spans="1:4" ht="15" customHeight="1">
      <c r="A169" s="77" t="s">
        <v>86</v>
      </c>
      <c r="B169" s="7"/>
      <c r="C169" s="103">
        <f>C136</f>
        <v>12400</v>
      </c>
      <c r="D169" s="103">
        <f>D136</f>
        <v>411604.59403837216</v>
      </c>
    </row>
    <row r="170" spans="1:4" ht="17.25" customHeight="1">
      <c r="A170" s="68"/>
      <c r="B170" s="34" t="s">
        <v>87</v>
      </c>
      <c r="C170" s="107">
        <f>C168-C169</f>
        <v>-12400</v>
      </c>
      <c r="D170" s="107">
        <f>D168-D169</f>
        <v>-411604.59403837216</v>
      </c>
    </row>
    <row r="171" spans="1:4" ht="15">
      <c r="A171" s="592" t="s">
        <v>140</v>
      </c>
      <c r="B171" s="593"/>
      <c r="C171" s="108">
        <f>C153</f>
        <v>11325</v>
      </c>
      <c r="D171" s="108">
        <f>D153</f>
        <v>375921.1312487552</v>
      </c>
    </row>
    <row r="172" spans="1:4" ht="15">
      <c r="A172" s="592" t="s">
        <v>139</v>
      </c>
      <c r="B172" s="593"/>
      <c r="C172" s="108">
        <f>C156</f>
        <v>16</v>
      </c>
      <c r="D172" s="108">
        <f>D156</f>
        <v>531.1027019849963</v>
      </c>
    </row>
    <row r="173" spans="1:4" ht="12.75" customHeight="1" thickBot="1">
      <c r="A173" s="78"/>
      <c r="B173" s="79" t="s">
        <v>141</v>
      </c>
      <c r="C173" s="109">
        <f>C171-C172</f>
        <v>11309</v>
      </c>
      <c r="D173" s="109">
        <f>D171-D172</f>
        <v>375390.0285467702</v>
      </c>
    </row>
    <row r="174" spans="1:4" ht="16.5" thickBot="1">
      <c r="A174" s="594" t="s">
        <v>88</v>
      </c>
      <c r="B174" s="595"/>
      <c r="C174" s="110">
        <f>C167+C170+C173</f>
        <v>0</v>
      </c>
      <c r="D174" s="110">
        <f>D167+D170+D173</f>
        <v>0</v>
      </c>
    </row>
    <row r="175" spans="3:4" ht="12.75">
      <c r="C175" s="99"/>
      <c r="D175" s="99"/>
    </row>
    <row r="176" spans="2:4" ht="12.75">
      <c r="B176" s="35" t="s">
        <v>89</v>
      </c>
      <c r="C176" s="99">
        <f>C165+C168+C171</f>
        <v>46560</v>
      </c>
      <c r="D176" s="99">
        <f>D165+D168+D171</f>
        <v>1545508.8627763393</v>
      </c>
    </row>
    <row r="177" spans="2:4" ht="12.75">
      <c r="B177" s="35" t="s">
        <v>90</v>
      </c>
      <c r="C177" s="99">
        <f>C166+C169+C172</f>
        <v>46560</v>
      </c>
      <c r="D177" s="99">
        <f>D166+D169+D172</f>
        <v>1545508.8627763395</v>
      </c>
    </row>
    <row r="178" spans="2:4" ht="12.75">
      <c r="B178" s="35"/>
      <c r="C178" s="99"/>
      <c r="D178" s="99"/>
    </row>
    <row r="179" spans="2:4" ht="12.75">
      <c r="B179" s="35" t="s">
        <v>155</v>
      </c>
      <c r="C179" s="99">
        <f>C176-C66</f>
        <v>46481</v>
      </c>
      <c r="D179" s="99">
        <f>D176-D66</f>
        <v>1542886.5431852883</v>
      </c>
    </row>
    <row r="180" spans="2:4" ht="12.75">
      <c r="B180" s="35" t="s">
        <v>160</v>
      </c>
      <c r="C180" s="99">
        <f>C177-C125</f>
        <v>37260</v>
      </c>
      <c r="D180" s="99">
        <f>D177-D125</f>
        <v>1236805.4172475603</v>
      </c>
    </row>
  </sheetData>
  <sheetProtection/>
  <mergeCells count="38">
    <mergeCell ref="A70:D70"/>
    <mergeCell ref="A1:C1"/>
    <mergeCell ref="A2:C2"/>
    <mergeCell ref="A3:C3"/>
    <mergeCell ref="A8:B9"/>
    <mergeCell ref="C8:C9"/>
    <mergeCell ref="D8:D9"/>
    <mergeCell ref="A7:D7"/>
    <mergeCell ref="A10:B10"/>
    <mergeCell ref="A19:B19"/>
    <mergeCell ref="A38:B38"/>
    <mergeCell ref="A40:B40"/>
    <mergeCell ref="A125:B125"/>
    <mergeCell ref="A130:B131"/>
    <mergeCell ref="A129:D129"/>
    <mergeCell ref="C130:C131"/>
    <mergeCell ref="D71:D72"/>
    <mergeCell ref="A77:B77"/>
    <mergeCell ref="A79:B79"/>
    <mergeCell ref="A105:B105"/>
    <mergeCell ref="A71:B72"/>
    <mergeCell ref="C71:C72"/>
    <mergeCell ref="D151:D152"/>
    <mergeCell ref="D163:D164"/>
    <mergeCell ref="D130:D131"/>
    <mergeCell ref="A150:D150"/>
    <mergeCell ref="A132:B132"/>
    <mergeCell ref="A136:B136"/>
    <mergeCell ref="A174:B174"/>
    <mergeCell ref="A153:B153"/>
    <mergeCell ref="A156:B156"/>
    <mergeCell ref="A151:B152"/>
    <mergeCell ref="A163:B164"/>
    <mergeCell ref="A171:B171"/>
    <mergeCell ref="A172:B172"/>
    <mergeCell ref="A162:D162"/>
    <mergeCell ref="C163:C164"/>
    <mergeCell ref="C151:C15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34">
      <selection activeCell="B161" sqref="B161"/>
    </sheetView>
  </sheetViews>
  <sheetFormatPr defaultColWidth="9.00390625" defaultRowHeight="12.75"/>
  <cols>
    <col min="1" max="1" width="3.875" style="0" customWidth="1"/>
    <col min="2" max="2" width="39.00390625" style="0" customWidth="1"/>
    <col min="3" max="3" width="11.125" style="0" customWidth="1"/>
    <col min="4" max="4" width="11.625" style="0" customWidth="1"/>
    <col min="5" max="5" width="11.875" style="0" customWidth="1"/>
  </cols>
  <sheetData>
    <row r="1" spans="1:5" ht="16.5" thickBot="1">
      <c r="A1" s="703" t="s">
        <v>297</v>
      </c>
      <c r="B1" s="704"/>
      <c r="C1" s="704"/>
      <c r="D1" s="704"/>
      <c r="E1" s="705"/>
    </row>
    <row r="2" spans="1:5" ht="12.75">
      <c r="A2" s="608" t="s">
        <v>255</v>
      </c>
      <c r="B2" s="609"/>
      <c r="C2" s="598" t="s">
        <v>292</v>
      </c>
      <c r="D2" s="643" t="s">
        <v>293</v>
      </c>
      <c r="E2" s="643" t="s">
        <v>294</v>
      </c>
    </row>
    <row r="3" spans="1:5" ht="13.5" thickBot="1">
      <c r="A3" s="628"/>
      <c r="B3" s="629"/>
      <c r="C3" s="612"/>
      <c r="D3" s="644"/>
      <c r="E3" s="644"/>
    </row>
    <row r="4" spans="1:5" ht="13.5" thickBot="1">
      <c r="A4" s="630" t="s">
        <v>256</v>
      </c>
      <c r="B4" s="631"/>
      <c r="C4" s="485">
        <f>SUM(C5:C7)</f>
        <v>720640</v>
      </c>
      <c r="D4" s="485">
        <f>SUM(D5:D7)</f>
        <v>710935</v>
      </c>
      <c r="E4" s="485">
        <f>SUM(E5:E7)</f>
        <v>705518</v>
      </c>
    </row>
    <row r="5" spans="1:5" ht="12.75">
      <c r="A5" s="459">
        <v>111</v>
      </c>
      <c r="B5" s="459" t="s">
        <v>4</v>
      </c>
      <c r="C5" s="486">
        <v>680475</v>
      </c>
      <c r="D5" s="486">
        <v>670000</v>
      </c>
      <c r="E5" s="486">
        <v>664900</v>
      </c>
    </row>
    <row r="6" spans="1:5" ht="12.75">
      <c r="A6" s="36">
        <v>121</v>
      </c>
      <c r="B6" s="37" t="s">
        <v>257</v>
      </c>
      <c r="C6" s="487">
        <f>13211+12879+66</f>
        <v>26156</v>
      </c>
      <c r="D6" s="487">
        <f>12200+13200+75</f>
        <v>25475</v>
      </c>
      <c r="E6" s="487">
        <f>12065+13107+71</f>
        <v>25243</v>
      </c>
    </row>
    <row r="7" spans="1:5" ht="13.5" thickBot="1">
      <c r="A7" s="6">
        <v>133</v>
      </c>
      <c r="B7" s="7" t="s">
        <v>258</v>
      </c>
      <c r="C7" s="329">
        <f>498+232+1660+11619</f>
        <v>14009</v>
      </c>
      <c r="D7" s="390">
        <f>498+232+1830+12900</f>
        <v>15460</v>
      </c>
      <c r="E7" s="390">
        <f>484+199+1826+12866</f>
        <v>15375</v>
      </c>
    </row>
    <row r="8" spans="1:5" ht="13.5" thickBot="1">
      <c r="A8" s="630" t="s">
        <v>259</v>
      </c>
      <c r="B8" s="631"/>
      <c r="C8" s="485">
        <f>SUM(C9:C14)</f>
        <v>118004</v>
      </c>
      <c r="D8" s="485">
        <f>SUM(D9:D14)</f>
        <v>137991</v>
      </c>
      <c r="E8" s="485">
        <f>SUM(E9:E14)</f>
        <v>132569</v>
      </c>
    </row>
    <row r="9" spans="1:5" ht="12.75">
      <c r="A9" s="36">
        <v>212</v>
      </c>
      <c r="B9" s="37" t="s">
        <v>260</v>
      </c>
      <c r="C9" s="487">
        <f>816+1660+3787+10354+33</f>
        <v>16650</v>
      </c>
      <c r="D9" s="487">
        <f>816+6300+3787+10354+33</f>
        <v>21290</v>
      </c>
      <c r="E9" s="487">
        <f>809+6263+3634+10038+3</f>
        <v>20747</v>
      </c>
    </row>
    <row r="10" spans="1:5" ht="12.75">
      <c r="A10" s="6">
        <v>221</v>
      </c>
      <c r="B10" s="7" t="s">
        <v>14</v>
      </c>
      <c r="C10" s="329">
        <v>9958</v>
      </c>
      <c r="D10" s="329">
        <v>10250</v>
      </c>
      <c r="E10" s="329">
        <v>10233</v>
      </c>
    </row>
    <row r="11" spans="1:5" ht="12.75">
      <c r="A11" s="6">
        <v>222</v>
      </c>
      <c r="B11" s="7" t="s">
        <v>149</v>
      </c>
      <c r="C11" s="329">
        <v>33</v>
      </c>
      <c r="D11" s="329">
        <v>100</v>
      </c>
      <c r="E11" s="329">
        <v>70</v>
      </c>
    </row>
    <row r="12" spans="1:5" ht="12.75">
      <c r="A12" s="6">
        <v>223</v>
      </c>
      <c r="B12" s="7" t="s">
        <v>261</v>
      </c>
      <c r="C12" s="329">
        <f>996+664+1029+8298+8298+1660+15601+5311+1660+11618+332</f>
        <v>55467</v>
      </c>
      <c r="D12" s="329">
        <f>800+680+900+7000+12500+1660+19993+5710+1006+11970+332</f>
        <v>62551</v>
      </c>
      <c r="E12" s="329">
        <f>599+676+720+6203+12437+1317+19839+5709+1006+11967+30</f>
        <v>60503</v>
      </c>
    </row>
    <row r="13" spans="1:5" ht="12.75">
      <c r="A13" s="7">
        <v>240</v>
      </c>
      <c r="B13" s="7" t="s">
        <v>20</v>
      </c>
      <c r="C13" s="329">
        <v>6639</v>
      </c>
      <c r="D13" s="329">
        <v>3639</v>
      </c>
      <c r="E13" s="329">
        <v>3290</v>
      </c>
    </row>
    <row r="14" spans="1:5" ht="12.75">
      <c r="A14" s="471">
        <v>292</v>
      </c>
      <c r="B14" s="9" t="s">
        <v>262</v>
      </c>
      <c r="C14" s="312">
        <v>29257</v>
      </c>
      <c r="D14" s="312">
        <v>40161</v>
      </c>
      <c r="E14" s="312">
        <v>37726</v>
      </c>
    </row>
    <row r="15" spans="1:5" ht="13.5" thickBot="1">
      <c r="A15" s="472" t="s">
        <v>263</v>
      </c>
      <c r="B15" s="473"/>
      <c r="C15" s="488">
        <f>SUM(C16:C32)</f>
        <v>328321</v>
      </c>
      <c r="D15" s="488">
        <f>SUM(D16:D32)</f>
        <v>443200</v>
      </c>
      <c r="E15" s="488">
        <f>SUM(E16:E32)</f>
        <v>442481</v>
      </c>
    </row>
    <row r="16" spans="1:5" ht="13.5" thickBot="1">
      <c r="A16" s="493">
        <v>311</v>
      </c>
      <c r="B16" s="41" t="s">
        <v>105</v>
      </c>
      <c r="C16" s="494">
        <v>0</v>
      </c>
      <c r="D16" s="495">
        <v>20100</v>
      </c>
      <c r="E16" s="495">
        <v>20100</v>
      </c>
    </row>
    <row r="17" spans="1:5" ht="12.75">
      <c r="A17" s="59">
        <v>312</v>
      </c>
      <c r="B17" s="37" t="s">
        <v>295</v>
      </c>
      <c r="C17" s="487">
        <v>3452</v>
      </c>
      <c r="D17" s="487">
        <v>3745</v>
      </c>
      <c r="E17" s="489">
        <v>3744</v>
      </c>
    </row>
    <row r="18" spans="1:5" ht="12.75">
      <c r="A18" s="5">
        <v>312</v>
      </c>
      <c r="B18" s="6" t="s">
        <v>22</v>
      </c>
      <c r="C18" s="329">
        <v>2888</v>
      </c>
      <c r="D18" s="329">
        <v>3087</v>
      </c>
      <c r="E18" s="390">
        <v>3086</v>
      </c>
    </row>
    <row r="19" spans="1:5" ht="12.75">
      <c r="A19" s="5">
        <v>312</v>
      </c>
      <c r="B19" s="10" t="s">
        <v>107</v>
      </c>
      <c r="C19" s="490">
        <v>292106</v>
      </c>
      <c r="D19" s="490">
        <v>306656</v>
      </c>
      <c r="E19" s="490">
        <v>306656</v>
      </c>
    </row>
    <row r="20" spans="1:5" ht="12.75">
      <c r="A20" s="5">
        <v>312</v>
      </c>
      <c r="B20" s="7" t="s">
        <v>296</v>
      </c>
      <c r="C20" s="329">
        <v>0</v>
      </c>
      <c r="D20" s="329">
        <v>1835</v>
      </c>
      <c r="E20" s="390">
        <v>1835</v>
      </c>
    </row>
    <row r="21" spans="1:5" ht="12.75">
      <c r="A21" s="5">
        <v>312</v>
      </c>
      <c r="B21" s="7" t="s">
        <v>298</v>
      </c>
      <c r="C21" s="329">
        <v>0</v>
      </c>
      <c r="D21" s="329">
        <v>9140</v>
      </c>
      <c r="E21" s="390">
        <v>9138</v>
      </c>
    </row>
    <row r="22" spans="1:5" ht="12.75">
      <c r="A22" s="5">
        <v>312</v>
      </c>
      <c r="B22" s="6" t="s">
        <v>299</v>
      </c>
      <c r="C22" s="329">
        <v>0</v>
      </c>
      <c r="D22" s="329">
        <v>4815</v>
      </c>
      <c r="E22" s="390">
        <v>4815</v>
      </c>
    </row>
    <row r="23" spans="1:5" ht="12.75">
      <c r="A23" s="5">
        <v>312</v>
      </c>
      <c r="B23" s="6" t="s">
        <v>300</v>
      </c>
      <c r="C23" s="329">
        <v>0</v>
      </c>
      <c r="D23" s="329">
        <v>2164</v>
      </c>
      <c r="E23" s="390">
        <v>2164</v>
      </c>
    </row>
    <row r="24" spans="1:5" ht="12.75">
      <c r="A24" s="5">
        <v>312</v>
      </c>
      <c r="B24" s="6" t="s">
        <v>301</v>
      </c>
      <c r="C24" s="329">
        <v>0</v>
      </c>
      <c r="D24" s="329">
        <v>3000</v>
      </c>
      <c r="E24" s="390">
        <v>3000</v>
      </c>
    </row>
    <row r="25" spans="1:5" ht="12.75">
      <c r="A25" s="5">
        <v>312</v>
      </c>
      <c r="B25" s="6" t="s">
        <v>302</v>
      </c>
      <c r="C25" s="329">
        <v>0</v>
      </c>
      <c r="D25" s="329">
        <v>55064</v>
      </c>
      <c r="E25" s="390">
        <v>55064</v>
      </c>
    </row>
    <row r="26" spans="1:5" ht="12.75">
      <c r="A26" s="5">
        <v>312</v>
      </c>
      <c r="B26" s="7" t="s">
        <v>303</v>
      </c>
      <c r="C26" s="329">
        <v>4647</v>
      </c>
      <c r="D26" s="329">
        <v>5000</v>
      </c>
      <c r="E26" s="390">
        <v>4887</v>
      </c>
    </row>
    <row r="27" spans="1:5" ht="12.75">
      <c r="A27" s="5">
        <v>312</v>
      </c>
      <c r="B27" s="7" t="s">
        <v>304</v>
      </c>
      <c r="C27" s="329">
        <v>1328</v>
      </c>
      <c r="D27" s="329">
        <v>1328</v>
      </c>
      <c r="E27" s="329">
        <v>1109</v>
      </c>
    </row>
    <row r="28" spans="1:5" ht="12.75">
      <c r="A28" s="5">
        <v>312</v>
      </c>
      <c r="B28" s="11" t="s">
        <v>109</v>
      </c>
      <c r="C28" s="329">
        <v>1660</v>
      </c>
      <c r="D28" s="329">
        <v>3000</v>
      </c>
      <c r="E28" s="329">
        <v>2617</v>
      </c>
    </row>
    <row r="29" spans="1:5" ht="12.75">
      <c r="A29" s="5">
        <v>312</v>
      </c>
      <c r="B29" s="11" t="s">
        <v>264</v>
      </c>
      <c r="C29" s="329">
        <v>0</v>
      </c>
      <c r="D29" s="329">
        <v>0</v>
      </c>
      <c r="E29" s="329">
        <v>0</v>
      </c>
    </row>
    <row r="30" spans="1:5" ht="12.75">
      <c r="A30" s="5">
        <v>312</v>
      </c>
      <c r="B30" s="11" t="s">
        <v>165</v>
      </c>
      <c r="C30" s="329">
        <v>8962</v>
      </c>
      <c r="D30" s="329">
        <v>9121</v>
      </c>
      <c r="E30" s="329">
        <v>9121</v>
      </c>
    </row>
    <row r="31" spans="1:5" ht="12.75">
      <c r="A31" s="5">
        <v>312</v>
      </c>
      <c r="B31" s="11" t="s">
        <v>166</v>
      </c>
      <c r="C31" s="329">
        <v>13278</v>
      </c>
      <c r="D31" s="329">
        <v>13345</v>
      </c>
      <c r="E31" s="329">
        <v>13345</v>
      </c>
    </row>
    <row r="32" spans="1:5" ht="12.75">
      <c r="A32" s="5">
        <v>312</v>
      </c>
      <c r="B32" s="11" t="s">
        <v>305</v>
      </c>
      <c r="C32" s="329">
        <v>0</v>
      </c>
      <c r="D32" s="329">
        <v>1800</v>
      </c>
      <c r="E32" s="329">
        <v>1800</v>
      </c>
    </row>
    <row r="33" spans="1:5" ht="15.75">
      <c r="A33" s="12" t="s">
        <v>110</v>
      </c>
      <c r="B33" s="13"/>
      <c r="C33" s="491">
        <f>SUM(C4+C8+C15)</f>
        <v>1166965</v>
      </c>
      <c r="D33" s="491">
        <f>SUM(D4+D8+D15)</f>
        <v>1292126</v>
      </c>
      <c r="E33" s="491">
        <f>SUM(E4+E8+E15)</f>
        <v>1280568</v>
      </c>
    </row>
    <row r="34" spans="1:5" ht="16.5" thickBot="1">
      <c r="A34" s="82">
        <v>236</v>
      </c>
      <c r="B34" s="83" t="s">
        <v>111</v>
      </c>
      <c r="C34" s="324">
        <v>2622</v>
      </c>
      <c r="D34" s="324">
        <v>2989</v>
      </c>
      <c r="E34" s="324">
        <v>2989</v>
      </c>
    </row>
    <row r="35" spans="1:5" ht="16.5" thickBot="1">
      <c r="A35" s="84" t="s">
        <v>24</v>
      </c>
      <c r="B35" s="81"/>
      <c r="C35" s="492">
        <f>SUM(C33:C34)</f>
        <v>1169587</v>
      </c>
      <c r="D35" s="492">
        <f>SUM(D33:D34)</f>
        <v>1295115</v>
      </c>
      <c r="E35" s="492">
        <f>SUM(E33:E34)</f>
        <v>1283557</v>
      </c>
    </row>
    <row r="36" spans="1:5" ht="13.5" thickBot="1">
      <c r="A36" s="15"/>
      <c r="B36" s="17"/>
      <c r="C36" s="18"/>
      <c r="D36" s="18"/>
      <c r="E36" s="357"/>
    </row>
    <row r="37" spans="1:5" ht="21.75" customHeight="1" thickBot="1">
      <c r="A37" s="706" t="s">
        <v>306</v>
      </c>
      <c r="B37" s="707"/>
      <c r="C37" s="707"/>
      <c r="D37" s="707"/>
      <c r="E37" s="708"/>
    </row>
    <row r="38" spans="1:5" ht="12.75" customHeight="1">
      <c r="A38" s="608" t="s">
        <v>265</v>
      </c>
      <c r="B38" s="609"/>
      <c r="C38" s="598" t="s">
        <v>292</v>
      </c>
      <c r="D38" s="643" t="s">
        <v>293</v>
      </c>
      <c r="E38" s="643" t="s">
        <v>294</v>
      </c>
    </row>
    <row r="39" spans="1:5" ht="13.5" thickBot="1">
      <c r="A39" s="628"/>
      <c r="B39" s="629"/>
      <c r="C39" s="612"/>
      <c r="D39" s="644"/>
      <c r="E39" s="644"/>
    </row>
    <row r="40" spans="1:5" ht="12.75">
      <c r="A40" s="474" t="s">
        <v>266</v>
      </c>
      <c r="B40" s="475" t="s">
        <v>26</v>
      </c>
      <c r="C40" s="496">
        <v>171081</v>
      </c>
      <c r="D40" s="496">
        <v>180414</v>
      </c>
      <c r="E40" s="496">
        <v>166680</v>
      </c>
    </row>
    <row r="41" spans="1:5" ht="12.75">
      <c r="A41" s="476" t="s">
        <v>267</v>
      </c>
      <c r="B41" s="476" t="s">
        <v>31</v>
      </c>
      <c r="C41" s="497">
        <v>133</v>
      </c>
      <c r="D41" s="497">
        <v>140</v>
      </c>
      <c r="E41" s="497">
        <v>139</v>
      </c>
    </row>
    <row r="42" spans="1:5" ht="12.75">
      <c r="A42" s="476" t="s">
        <v>268</v>
      </c>
      <c r="B42" s="476" t="s">
        <v>269</v>
      </c>
      <c r="C42" s="497">
        <v>4149</v>
      </c>
      <c r="D42" s="497">
        <v>5169</v>
      </c>
      <c r="E42" s="497">
        <v>4121</v>
      </c>
    </row>
    <row r="43" spans="1:5" ht="12.75">
      <c r="A43" s="477" t="s">
        <v>270</v>
      </c>
      <c r="B43" s="477" t="s">
        <v>35</v>
      </c>
      <c r="C43" s="497">
        <v>163314</v>
      </c>
      <c r="D43" s="497">
        <v>189569</v>
      </c>
      <c r="E43" s="497">
        <v>174909</v>
      </c>
    </row>
    <row r="44" spans="1:5" ht="12.75">
      <c r="A44" s="477" t="s">
        <v>271</v>
      </c>
      <c r="B44" s="477" t="s">
        <v>40</v>
      </c>
      <c r="C44" s="497">
        <v>27252</v>
      </c>
      <c r="D44" s="497">
        <v>25746</v>
      </c>
      <c r="E44" s="497">
        <v>22497</v>
      </c>
    </row>
    <row r="45" spans="1:5" ht="12.75">
      <c r="A45" s="477" t="s">
        <v>272</v>
      </c>
      <c r="B45" s="477" t="s">
        <v>44</v>
      </c>
      <c r="C45" s="497">
        <v>16431</v>
      </c>
      <c r="D45" s="497">
        <v>14431</v>
      </c>
      <c r="E45" s="497">
        <v>12877</v>
      </c>
    </row>
    <row r="46" spans="1:5" ht="12.75">
      <c r="A46" s="478" t="s">
        <v>273</v>
      </c>
      <c r="B46" s="478" t="s">
        <v>47</v>
      </c>
      <c r="C46" s="497">
        <v>83118</v>
      </c>
      <c r="D46" s="497">
        <v>86250</v>
      </c>
      <c r="E46" s="497">
        <v>79626</v>
      </c>
    </row>
    <row r="47" spans="1:5" ht="12.75">
      <c r="A47" s="476" t="s">
        <v>274</v>
      </c>
      <c r="B47" s="476" t="s">
        <v>57</v>
      </c>
      <c r="C47" s="497">
        <v>260074</v>
      </c>
      <c r="D47" s="497">
        <v>249764</v>
      </c>
      <c r="E47" s="497">
        <v>233541</v>
      </c>
    </row>
    <row r="48" spans="1:5" ht="13.5" thickBot="1">
      <c r="A48" s="479" t="s">
        <v>275</v>
      </c>
      <c r="B48" s="479" t="s">
        <v>63</v>
      </c>
      <c r="C48" s="498">
        <v>99117</v>
      </c>
      <c r="D48" s="498">
        <v>101753</v>
      </c>
      <c r="E48" s="498">
        <v>86619</v>
      </c>
    </row>
    <row r="49" spans="1:5" ht="16.5" thickBot="1">
      <c r="A49" s="85" t="s">
        <v>137</v>
      </c>
      <c r="B49" s="57"/>
      <c r="C49" s="499">
        <f>SUM(C40+C41+C42+C43+C44+C45+C46+C47+C48)</f>
        <v>824669</v>
      </c>
      <c r="D49" s="499">
        <f>SUM(D40+D41+D42+D43+D44+D45+D46+D47+D48)</f>
        <v>853236</v>
      </c>
      <c r="E49" s="500">
        <f>SUM(E40+E41+E42+E43+E44+E45+E46+E47+E48)</f>
        <v>781009</v>
      </c>
    </row>
    <row r="50" spans="1:5" ht="12.75">
      <c r="A50" s="699" t="s">
        <v>276</v>
      </c>
      <c r="B50" s="480" t="s">
        <v>74</v>
      </c>
      <c r="C50" s="501">
        <v>294661</v>
      </c>
      <c r="D50" s="501">
        <v>309567</v>
      </c>
      <c r="E50" s="501">
        <v>309567</v>
      </c>
    </row>
    <row r="51" spans="1:5" ht="12.75">
      <c r="A51" s="700"/>
      <c r="B51" s="481" t="s">
        <v>76</v>
      </c>
      <c r="C51" s="502">
        <v>16597</v>
      </c>
      <c r="D51" s="502">
        <v>16597</v>
      </c>
      <c r="E51" s="502">
        <v>16597</v>
      </c>
    </row>
    <row r="52" spans="1:5" ht="13.5" thickBot="1">
      <c r="A52" s="624" t="s">
        <v>163</v>
      </c>
      <c r="B52" s="625"/>
      <c r="C52" s="503">
        <f>SUM(C50:C51)</f>
        <v>311258</v>
      </c>
      <c r="D52" s="503">
        <f>SUM(D50:D51)</f>
        <v>326164</v>
      </c>
      <c r="E52" s="503">
        <f>SUM(E50:E51)</f>
        <v>326164</v>
      </c>
    </row>
    <row r="53" spans="1:5" ht="16.5" thickBot="1">
      <c r="A53" s="85" t="s">
        <v>78</v>
      </c>
      <c r="B53" s="57"/>
      <c r="C53" s="500">
        <f>C49+C52</f>
        <v>1135927</v>
      </c>
      <c r="D53" s="500">
        <f>D49+D52</f>
        <v>1179400</v>
      </c>
      <c r="E53" s="500">
        <f>E49+E52</f>
        <v>1107173</v>
      </c>
    </row>
    <row r="54" spans="3:5" ht="12.75">
      <c r="C54" s="124"/>
      <c r="D54" s="124"/>
      <c r="E54" s="124"/>
    </row>
    <row r="55" spans="1:5" ht="13.5" thickBot="1">
      <c r="A55" s="15"/>
      <c r="B55" s="24"/>
      <c r="C55" s="25"/>
      <c r="D55" s="25"/>
      <c r="E55" s="4"/>
    </row>
    <row r="56" spans="1:5" ht="16.5" thickBot="1">
      <c r="A56" s="692" t="s">
        <v>307</v>
      </c>
      <c r="B56" s="693"/>
      <c r="C56" s="693"/>
      <c r="D56" s="693"/>
      <c r="E56" s="694"/>
    </row>
    <row r="57" spans="1:5" ht="12.75" customHeight="1">
      <c r="A57" s="608" t="s">
        <v>255</v>
      </c>
      <c r="B57" s="609"/>
      <c r="C57" s="695" t="s">
        <v>292</v>
      </c>
      <c r="D57" s="643" t="s">
        <v>293</v>
      </c>
      <c r="E57" s="697" t="s">
        <v>294</v>
      </c>
    </row>
    <row r="58" spans="1:5" ht="13.5" thickBot="1">
      <c r="A58" s="628"/>
      <c r="B58" s="629"/>
      <c r="C58" s="696"/>
      <c r="D58" s="644"/>
      <c r="E58" s="698"/>
    </row>
    <row r="59" spans="1:5" ht="15.75" thickBot="1">
      <c r="A59" s="613" t="s">
        <v>277</v>
      </c>
      <c r="B59" s="614"/>
      <c r="C59" s="520">
        <f>SUM(C60:C61)</f>
        <v>0</v>
      </c>
      <c r="D59" s="525">
        <f>SUM(D60:D61)</f>
        <v>25656</v>
      </c>
      <c r="E59" s="505">
        <f>SUM(E60:E61)</f>
        <v>25656</v>
      </c>
    </row>
    <row r="60" spans="1:5" ht="12.75">
      <c r="A60" s="241">
        <v>231</v>
      </c>
      <c r="B60" s="47" t="s">
        <v>278</v>
      </c>
      <c r="C60" s="521">
        <v>0</v>
      </c>
      <c r="D60" s="526">
        <v>1</v>
      </c>
      <c r="E60" s="523">
        <v>1</v>
      </c>
    </row>
    <row r="61" spans="1:5" ht="13.5" thickBot="1">
      <c r="A61" s="71">
        <v>233</v>
      </c>
      <c r="B61" s="61" t="s">
        <v>279</v>
      </c>
      <c r="C61" s="522">
        <v>0</v>
      </c>
      <c r="D61" s="527">
        <v>25655</v>
      </c>
      <c r="E61" s="524">
        <v>25655</v>
      </c>
    </row>
    <row r="62" spans="1:5" ht="18.75" thickBot="1">
      <c r="A62" s="75"/>
      <c r="B62" s="3"/>
      <c r="C62" s="506"/>
      <c r="D62" s="507"/>
      <c r="E62" s="508"/>
    </row>
    <row r="63" spans="1:5" ht="16.5" thickBot="1">
      <c r="A63" s="613" t="s">
        <v>280</v>
      </c>
      <c r="B63" s="614"/>
      <c r="C63" s="528">
        <f>SUM(C64:C70)</f>
        <v>411605</v>
      </c>
      <c r="D63" s="536">
        <f>SUM(D64:D70)</f>
        <v>313305</v>
      </c>
      <c r="E63" s="509">
        <f>SUM(E64:E70)</f>
        <v>289129</v>
      </c>
    </row>
    <row r="64" spans="1:5" ht="13.5" customHeight="1">
      <c r="A64" s="511" t="s">
        <v>311</v>
      </c>
      <c r="B64" s="259" t="s">
        <v>312</v>
      </c>
      <c r="C64" s="529">
        <v>6639</v>
      </c>
      <c r="D64" s="537">
        <v>4284</v>
      </c>
      <c r="E64" s="512">
        <v>4284</v>
      </c>
    </row>
    <row r="65" spans="1:5" ht="12.75">
      <c r="A65" s="89" t="s">
        <v>281</v>
      </c>
      <c r="B65" s="140" t="s">
        <v>313</v>
      </c>
      <c r="C65" s="280">
        <f>3319+65388</f>
        <v>68707</v>
      </c>
      <c r="D65" s="538">
        <v>0</v>
      </c>
      <c r="E65" s="510">
        <v>0</v>
      </c>
    </row>
    <row r="66" spans="1:5" ht="12.75">
      <c r="A66" s="159" t="s">
        <v>282</v>
      </c>
      <c r="B66" s="143" t="s">
        <v>283</v>
      </c>
      <c r="C66" s="530">
        <f>1660+3319+1658+1660+1000</f>
        <v>9297</v>
      </c>
      <c r="D66" s="539">
        <f>51777+126735</f>
        <v>178512</v>
      </c>
      <c r="E66" s="533">
        <f>49169+105566</f>
        <v>154735</v>
      </c>
    </row>
    <row r="67" spans="1:5" ht="12.75">
      <c r="A67" s="159" t="s">
        <v>284</v>
      </c>
      <c r="B67" s="143" t="s">
        <v>285</v>
      </c>
      <c r="C67" s="530">
        <f>8300+33194+43152+205802</f>
        <v>290448</v>
      </c>
      <c r="D67" s="539">
        <f>44704+2600</f>
        <v>47304</v>
      </c>
      <c r="E67" s="533">
        <f>44704+2565</f>
        <v>47269</v>
      </c>
    </row>
    <row r="68" spans="1:5" ht="12.75">
      <c r="A68" s="159" t="s">
        <v>284</v>
      </c>
      <c r="B68" s="143" t="s">
        <v>286</v>
      </c>
      <c r="C68" s="530">
        <f>2254+30940</f>
        <v>33194</v>
      </c>
      <c r="D68" s="539">
        <f>16900+20100</f>
        <v>37000</v>
      </c>
      <c r="E68" s="533">
        <f>16538+20100</f>
        <v>36638</v>
      </c>
    </row>
    <row r="69" spans="1:5" ht="12.75">
      <c r="A69" s="165" t="s">
        <v>284</v>
      </c>
      <c r="B69" s="7" t="s">
        <v>287</v>
      </c>
      <c r="C69" s="531">
        <v>0</v>
      </c>
      <c r="D69" s="540">
        <f>24833+21372</f>
        <v>46205</v>
      </c>
      <c r="E69" s="534">
        <f>24831+21372</f>
        <v>46203</v>
      </c>
    </row>
    <row r="70" spans="1:5" ht="13.5" thickBot="1">
      <c r="A70" s="256" t="s">
        <v>316</v>
      </c>
      <c r="B70" s="44" t="s">
        <v>317</v>
      </c>
      <c r="C70" s="532">
        <v>3320</v>
      </c>
      <c r="D70" s="541">
        <v>0</v>
      </c>
      <c r="E70" s="535">
        <v>0</v>
      </c>
    </row>
    <row r="71" spans="1:5" ht="12.75">
      <c r="A71" s="484"/>
      <c r="B71" s="29"/>
      <c r="C71" s="482"/>
      <c r="D71" s="483"/>
      <c r="E71" s="482"/>
    </row>
    <row r="72" spans="1:5" ht="12.75">
      <c r="A72" s="484"/>
      <c r="B72" s="29"/>
      <c r="C72" s="482"/>
      <c r="D72" s="483"/>
      <c r="E72" s="482"/>
    </row>
    <row r="73" spans="1:5" ht="13.5" thickBot="1">
      <c r="A73" s="29"/>
      <c r="B73" s="24"/>
      <c r="C73" s="30"/>
      <c r="D73" s="30"/>
      <c r="E73" s="4"/>
    </row>
    <row r="74" spans="1:5" ht="27" customHeight="1" thickBot="1">
      <c r="A74" s="687" t="s">
        <v>315</v>
      </c>
      <c r="B74" s="688"/>
      <c r="C74" s="688"/>
      <c r="D74" s="688"/>
      <c r="E74" s="689"/>
    </row>
    <row r="75" spans="1:5" ht="12.75">
      <c r="A75" s="608" t="s">
        <v>255</v>
      </c>
      <c r="B75" s="690"/>
      <c r="C75" s="598" t="s">
        <v>292</v>
      </c>
      <c r="D75" s="643" t="s">
        <v>293</v>
      </c>
      <c r="E75" s="643" t="s">
        <v>294</v>
      </c>
    </row>
    <row r="76" spans="1:5" ht="13.5" thickBot="1">
      <c r="A76" s="628"/>
      <c r="B76" s="691"/>
      <c r="C76" s="612"/>
      <c r="D76" s="644"/>
      <c r="E76" s="644"/>
    </row>
    <row r="77" spans="1:5" ht="16.5" thickBot="1">
      <c r="A77" s="638" t="s">
        <v>288</v>
      </c>
      <c r="B77" s="680"/>
      <c r="C77" s="519">
        <f>SUM(C78:C80)</f>
        <v>378476</v>
      </c>
      <c r="D77" s="519">
        <f>SUM(D78:D80)</f>
        <v>175179</v>
      </c>
      <c r="E77" s="519">
        <f>SUM(E78:E80)</f>
        <v>153845</v>
      </c>
    </row>
    <row r="78" spans="1:5" ht="12.75">
      <c r="A78" s="517">
        <v>411</v>
      </c>
      <c r="B78" s="36" t="s">
        <v>308</v>
      </c>
      <c r="C78" s="518">
        <v>0</v>
      </c>
      <c r="D78" s="518">
        <v>1140</v>
      </c>
      <c r="E78" s="518">
        <v>1010</v>
      </c>
    </row>
    <row r="79" spans="1:5" ht="12.75">
      <c r="A79" s="69">
        <v>454</v>
      </c>
      <c r="B79" s="6" t="s">
        <v>289</v>
      </c>
      <c r="C79" s="504">
        <v>172674</v>
      </c>
      <c r="D79" s="504">
        <v>174039</v>
      </c>
      <c r="E79" s="504">
        <v>152835</v>
      </c>
    </row>
    <row r="80" spans="1:5" ht="13.5" thickBot="1">
      <c r="A80" s="433">
        <v>454</v>
      </c>
      <c r="B80" s="434" t="s">
        <v>310</v>
      </c>
      <c r="C80" s="516">
        <v>205802</v>
      </c>
      <c r="D80" s="516">
        <v>0</v>
      </c>
      <c r="E80" s="516">
        <v>0</v>
      </c>
    </row>
    <row r="81" spans="1:5" ht="16.5" thickBot="1">
      <c r="A81" s="638" t="s">
        <v>309</v>
      </c>
      <c r="B81" s="680"/>
      <c r="C81" s="519">
        <f>SUM(C82:C83)</f>
        <v>531</v>
      </c>
      <c r="D81" s="519">
        <f>SUM(D82:D83)</f>
        <v>3245</v>
      </c>
      <c r="E81" s="519">
        <f>SUM(E82:E83)</f>
        <v>3241</v>
      </c>
    </row>
    <row r="82" spans="1:5" ht="12.75">
      <c r="A82" s="517">
        <v>812</v>
      </c>
      <c r="B82" s="47" t="s">
        <v>314</v>
      </c>
      <c r="C82" s="518">
        <v>0</v>
      </c>
      <c r="D82" s="518">
        <v>2665</v>
      </c>
      <c r="E82" s="518">
        <v>2665</v>
      </c>
    </row>
    <row r="83" spans="1:5" ht="13.5" thickBot="1">
      <c r="A83" s="513">
        <v>821</v>
      </c>
      <c r="B83" s="514" t="s">
        <v>290</v>
      </c>
      <c r="C83" s="515">
        <v>531</v>
      </c>
      <c r="D83" s="515">
        <v>580</v>
      </c>
      <c r="E83" s="515">
        <v>576</v>
      </c>
    </row>
    <row r="84" spans="1:5" ht="18">
      <c r="A84" s="14"/>
      <c r="B84" s="15"/>
      <c r="C84" s="16"/>
      <c r="D84" s="16"/>
      <c r="E84" s="33"/>
    </row>
    <row r="85" spans="2:4" ht="29.25" customHeight="1" thickBot="1">
      <c r="B85" s="24"/>
      <c r="C85" s="31"/>
      <c r="D85" s="31"/>
    </row>
    <row r="86" spans="1:5" ht="18.75" thickBot="1">
      <c r="A86" s="681" t="s">
        <v>146</v>
      </c>
      <c r="B86" s="682"/>
      <c r="C86" s="682"/>
      <c r="D86" s="682"/>
      <c r="E86" s="683"/>
    </row>
    <row r="87" spans="1:5" ht="12.75">
      <c r="A87" s="669" t="s">
        <v>291</v>
      </c>
      <c r="B87" s="684"/>
      <c r="C87" s="598" t="s">
        <v>292</v>
      </c>
      <c r="D87" s="643" t="s">
        <v>293</v>
      </c>
      <c r="E87" s="643" t="s">
        <v>294</v>
      </c>
    </row>
    <row r="88" spans="1:5" ht="13.5" thickBot="1">
      <c r="A88" s="685"/>
      <c r="B88" s="686"/>
      <c r="C88" s="612"/>
      <c r="D88" s="644"/>
      <c r="E88" s="644"/>
    </row>
    <row r="89" spans="1:5" ht="15">
      <c r="A89" s="77" t="s">
        <v>82</v>
      </c>
      <c r="B89" s="7"/>
      <c r="C89" s="261">
        <f>C35</f>
        <v>1169587</v>
      </c>
      <c r="D89" s="261">
        <f>D35</f>
        <v>1295115</v>
      </c>
      <c r="E89" s="261">
        <f>E35</f>
        <v>1283557</v>
      </c>
    </row>
    <row r="90" spans="1:5" ht="15">
      <c r="A90" s="77" t="s">
        <v>83</v>
      </c>
      <c r="B90" s="7"/>
      <c r="C90" s="261">
        <f>C53</f>
        <v>1135927</v>
      </c>
      <c r="D90" s="261">
        <f>D53</f>
        <v>1179400</v>
      </c>
      <c r="E90" s="261">
        <f>E53</f>
        <v>1107173</v>
      </c>
    </row>
    <row r="91" spans="1:5" ht="15.75">
      <c r="A91" s="68"/>
      <c r="B91" s="32" t="s">
        <v>84</v>
      </c>
      <c r="C91" s="262">
        <f>C89-C90</f>
        <v>33660</v>
      </c>
      <c r="D91" s="262">
        <f>D89-D90</f>
        <v>115715</v>
      </c>
      <c r="E91" s="262">
        <f>E89-E90</f>
        <v>176384</v>
      </c>
    </row>
    <row r="92" spans="1:5" ht="15">
      <c r="A92" s="77" t="s">
        <v>85</v>
      </c>
      <c r="B92" s="7"/>
      <c r="C92" s="261">
        <f>C59</f>
        <v>0</v>
      </c>
      <c r="D92" s="261">
        <f>D59</f>
        <v>25656</v>
      </c>
      <c r="E92" s="261">
        <f>E59</f>
        <v>25656</v>
      </c>
    </row>
    <row r="93" spans="1:5" ht="15">
      <c r="A93" s="77" t="s">
        <v>86</v>
      </c>
      <c r="B93" s="7"/>
      <c r="C93" s="263">
        <f>C63</f>
        <v>411605</v>
      </c>
      <c r="D93" s="263">
        <f>D63</f>
        <v>313305</v>
      </c>
      <c r="E93" s="263">
        <f>E63</f>
        <v>289129</v>
      </c>
    </row>
    <row r="94" spans="1:5" ht="15.75">
      <c r="A94" s="68"/>
      <c r="B94" s="34" t="s">
        <v>87</v>
      </c>
      <c r="C94" s="262">
        <f>C92-C93</f>
        <v>-411605</v>
      </c>
      <c r="D94" s="262">
        <f>D92-D93</f>
        <v>-287649</v>
      </c>
      <c r="E94" s="262">
        <f>E92-E93</f>
        <v>-263473</v>
      </c>
    </row>
    <row r="95" spans="1:5" ht="15">
      <c r="A95" s="592" t="s">
        <v>140</v>
      </c>
      <c r="B95" s="674"/>
      <c r="C95" s="264">
        <f>C77</f>
        <v>378476</v>
      </c>
      <c r="D95" s="264">
        <f>D77</f>
        <v>175179</v>
      </c>
      <c r="E95" s="264">
        <f>E77</f>
        <v>153845</v>
      </c>
    </row>
    <row r="96" spans="1:5" ht="15">
      <c r="A96" s="592" t="s">
        <v>139</v>
      </c>
      <c r="B96" s="674"/>
      <c r="C96" s="264">
        <f>C81</f>
        <v>531</v>
      </c>
      <c r="D96" s="264">
        <f>D81</f>
        <v>3245</v>
      </c>
      <c r="E96" s="264">
        <f>E81</f>
        <v>3241</v>
      </c>
    </row>
    <row r="97" spans="1:5" ht="16.5" thickBot="1">
      <c r="A97" s="78"/>
      <c r="B97" s="79" t="s">
        <v>141</v>
      </c>
      <c r="C97" s="265">
        <f>C95-C96</f>
        <v>377945</v>
      </c>
      <c r="D97" s="265">
        <f>D95-D96</f>
        <v>171934</v>
      </c>
      <c r="E97" s="265">
        <f>E95-E96</f>
        <v>150604</v>
      </c>
    </row>
    <row r="98" spans="1:5" ht="16.5" thickBot="1">
      <c r="A98" s="594" t="s">
        <v>88</v>
      </c>
      <c r="B98" s="675"/>
      <c r="C98" s="266">
        <f>C91+C94+C97</f>
        <v>0</v>
      </c>
      <c r="D98" s="266">
        <f>D91+D94+D97</f>
        <v>0</v>
      </c>
      <c r="E98" s="266">
        <f>E91+E94+E97</f>
        <v>63515</v>
      </c>
    </row>
    <row r="99" spans="3:5" ht="12.75">
      <c r="C99" s="4"/>
      <c r="D99" s="4"/>
      <c r="E99" s="4"/>
    </row>
    <row r="100" spans="2:5" ht="12.75">
      <c r="B100" s="35" t="s">
        <v>89</v>
      </c>
      <c r="C100" s="4">
        <f aca="true" t="shared" si="0" ref="C100:E101">C89+C92+C95</f>
        <v>1548063</v>
      </c>
      <c r="D100" s="4">
        <f t="shared" si="0"/>
        <v>1495950</v>
      </c>
      <c r="E100" s="4">
        <f t="shared" si="0"/>
        <v>1463058</v>
      </c>
    </row>
    <row r="101" spans="2:5" ht="12.75">
      <c r="B101" s="35" t="s">
        <v>90</v>
      </c>
      <c r="C101" s="4">
        <f t="shared" si="0"/>
        <v>1548063</v>
      </c>
      <c r="D101" s="4">
        <f t="shared" si="0"/>
        <v>1495950</v>
      </c>
      <c r="E101" s="4">
        <f t="shared" si="0"/>
        <v>1399543</v>
      </c>
    </row>
    <row r="102" spans="2:5" ht="12.75">
      <c r="B102" s="35"/>
      <c r="C102" s="4"/>
      <c r="D102" s="4"/>
      <c r="E102" s="4"/>
    </row>
    <row r="103" spans="2:5" ht="12.75">
      <c r="B103" s="35" t="s">
        <v>155</v>
      </c>
      <c r="C103" s="4">
        <f>C100-C34</f>
        <v>1545441</v>
      </c>
      <c r="D103" s="4">
        <f>D100-D34</f>
        <v>1492961</v>
      </c>
      <c r="E103" s="4">
        <f>E100-E34</f>
        <v>1460069</v>
      </c>
    </row>
    <row r="104" spans="2:5" ht="12.75">
      <c r="B104" s="35" t="s">
        <v>160</v>
      </c>
      <c r="C104" s="4">
        <f>C101-C52</f>
        <v>1236805</v>
      </c>
      <c r="D104" s="4">
        <f>D101-D52</f>
        <v>1169786</v>
      </c>
      <c r="E104" s="4">
        <f>E101-E52</f>
        <v>1073379</v>
      </c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>
        <v>38328</v>
      </c>
      <c r="E108" s="4">
        <v>30708</v>
      </c>
    </row>
    <row r="109" spans="3:5" ht="12.75">
      <c r="C109" s="4"/>
      <c r="D109" s="4">
        <v>1280</v>
      </c>
      <c r="E109" s="4">
        <v>6777</v>
      </c>
    </row>
    <row r="110" spans="3:5" ht="12.75">
      <c r="C110" s="4"/>
      <c r="D110" s="4">
        <f>SUM(D108:D109)</f>
        <v>39608</v>
      </c>
      <c r="E110" s="4">
        <f>SUM(E108:E109)</f>
        <v>37485</v>
      </c>
    </row>
    <row r="111" spans="3:5" ht="12.75">
      <c r="C111" s="4"/>
      <c r="D111" s="4"/>
      <c r="E111" s="4">
        <f>D110-E110</f>
        <v>2123</v>
      </c>
    </row>
    <row r="112" spans="3:5" ht="12.75">
      <c r="C112" s="4"/>
      <c r="D112" s="4"/>
      <c r="E112" s="4">
        <v>282</v>
      </c>
    </row>
    <row r="113" spans="3:5" ht="12.75">
      <c r="C113" s="4"/>
      <c r="D113" s="4"/>
      <c r="E113" s="4">
        <f>SUM(E111:E112)</f>
        <v>2405</v>
      </c>
    </row>
    <row r="116" ht="12.75" customHeight="1" thickBot="1"/>
    <row r="117" spans="1:5" ht="34.5" customHeight="1" thickBot="1">
      <c r="A117" s="678" t="s">
        <v>291</v>
      </c>
      <c r="B117" s="679"/>
      <c r="C117" s="548" t="s">
        <v>292</v>
      </c>
      <c r="D117" s="548" t="s">
        <v>293</v>
      </c>
      <c r="E117" s="549" t="s">
        <v>294</v>
      </c>
    </row>
    <row r="118" spans="1:5" ht="16.5" thickBot="1">
      <c r="A118" s="558" t="s">
        <v>320</v>
      </c>
      <c r="B118" s="550"/>
      <c r="C118" s="557">
        <f>SUM(C119:C121)</f>
        <v>1548063</v>
      </c>
      <c r="D118" s="557">
        <f>SUM(D119:D121)</f>
        <v>1495950</v>
      </c>
      <c r="E118" s="557">
        <f>SUM(E119:E121)</f>
        <v>1463058</v>
      </c>
    </row>
    <row r="119" spans="1:5" ht="15.75">
      <c r="A119" s="544" t="s">
        <v>318</v>
      </c>
      <c r="B119" s="545"/>
      <c r="C119" s="551">
        <v>1169587</v>
      </c>
      <c r="D119" s="551">
        <v>1295115</v>
      </c>
      <c r="E119" s="552">
        <v>1283557</v>
      </c>
    </row>
    <row r="120" spans="1:5" ht="15.75">
      <c r="A120" s="543" t="s">
        <v>319</v>
      </c>
      <c r="B120" s="542"/>
      <c r="C120" s="553">
        <v>0</v>
      </c>
      <c r="D120" s="553">
        <v>25656</v>
      </c>
      <c r="E120" s="554">
        <v>25656</v>
      </c>
    </row>
    <row r="121" spans="1:5" ht="16.5" thickBot="1">
      <c r="A121" s="546" t="s">
        <v>140</v>
      </c>
      <c r="B121" s="547"/>
      <c r="C121" s="555">
        <v>378476</v>
      </c>
      <c r="D121" s="555">
        <v>175179</v>
      </c>
      <c r="E121" s="556">
        <v>153845</v>
      </c>
    </row>
    <row r="122" spans="1:5" ht="16.5" thickBot="1">
      <c r="A122" s="558" t="s">
        <v>321</v>
      </c>
      <c r="B122" s="550"/>
      <c r="C122" s="557">
        <f>SUM(C123:C125)</f>
        <v>1548063</v>
      </c>
      <c r="D122" s="557">
        <f>SUM(D123:D125)</f>
        <v>1495950</v>
      </c>
      <c r="E122" s="557">
        <f>SUM(E123:E125)</f>
        <v>1399543</v>
      </c>
    </row>
    <row r="123" spans="1:5" ht="15.75">
      <c r="A123" s="544" t="s">
        <v>318</v>
      </c>
      <c r="B123" s="545"/>
      <c r="C123" s="551">
        <v>1135927</v>
      </c>
      <c r="D123" s="551">
        <v>1179400</v>
      </c>
      <c r="E123" s="552">
        <v>1107173</v>
      </c>
    </row>
    <row r="124" spans="1:5" ht="15.75">
      <c r="A124" s="543" t="s">
        <v>319</v>
      </c>
      <c r="B124" s="542"/>
      <c r="C124" s="553">
        <v>411605</v>
      </c>
      <c r="D124" s="553">
        <v>313305</v>
      </c>
      <c r="E124" s="554">
        <v>289129</v>
      </c>
    </row>
    <row r="125" spans="1:5" ht="16.5" thickBot="1">
      <c r="A125" s="546" t="s">
        <v>139</v>
      </c>
      <c r="B125" s="547"/>
      <c r="C125" s="555">
        <v>531</v>
      </c>
      <c r="D125" s="555">
        <v>3245</v>
      </c>
      <c r="E125" s="556">
        <v>3241</v>
      </c>
    </row>
    <row r="126" spans="1:5" ht="16.5" thickBot="1">
      <c r="A126" s="676" t="s">
        <v>322</v>
      </c>
      <c r="B126" s="677"/>
      <c r="C126" s="557">
        <f>C118-C122</f>
        <v>0</v>
      </c>
      <c r="D126" s="557">
        <f>D118-D122</f>
        <v>0</v>
      </c>
      <c r="E126" s="557">
        <f>E118-E122</f>
        <v>63515</v>
      </c>
    </row>
    <row r="128" ht="13.5" thickBot="1"/>
    <row r="129" spans="1:5" ht="32.25" thickBot="1">
      <c r="A129" s="678" t="s">
        <v>291</v>
      </c>
      <c r="B129" s="679"/>
      <c r="C129" s="548" t="s">
        <v>292</v>
      </c>
      <c r="D129" s="548" t="s">
        <v>293</v>
      </c>
      <c r="E129" s="549" t="s">
        <v>294</v>
      </c>
    </row>
    <row r="130" spans="1:5" ht="16.5" thickBot="1">
      <c r="A130" s="558" t="s">
        <v>320</v>
      </c>
      <c r="B130" s="550"/>
      <c r="C130" s="557">
        <f>SUM(C131:C133)</f>
        <v>1169587</v>
      </c>
      <c r="D130" s="557">
        <f>SUM(D131:D133)</f>
        <v>1320771</v>
      </c>
      <c r="E130" s="557">
        <f>SUM(E131:E133)</f>
        <v>1309213</v>
      </c>
    </row>
    <row r="131" spans="1:5" ht="15.75">
      <c r="A131" s="544" t="s">
        <v>323</v>
      </c>
      <c r="B131" s="545"/>
      <c r="C131" s="551">
        <v>1166965</v>
      </c>
      <c r="D131" s="551">
        <v>1292126</v>
      </c>
      <c r="E131" s="552">
        <v>1280568</v>
      </c>
    </row>
    <row r="132" spans="1:5" ht="15.75">
      <c r="A132" s="543" t="s">
        <v>324</v>
      </c>
      <c r="B132" s="542"/>
      <c r="C132" s="553">
        <v>0</v>
      </c>
      <c r="D132" s="553">
        <v>25656</v>
      </c>
      <c r="E132" s="554">
        <v>25656</v>
      </c>
    </row>
    <row r="133" spans="1:5" ht="16.5" thickBot="1">
      <c r="A133" s="544" t="s">
        <v>325</v>
      </c>
      <c r="B133" s="547"/>
      <c r="C133" s="555">
        <v>2622</v>
      </c>
      <c r="D133" s="555">
        <v>2989</v>
      </c>
      <c r="E133" s="556">
        <v>2989</v>
      </c>
    </row>
    <row r="134" spans="1:5" ht="16.5" thickBot="1">
      <c r="A134" s="558" t="s">
        <v>321</v>
      </c>
      <c r="B134" s="550"/>
      <c r="C134" s="557">
        <f>SUM(C135:C137)</f>
        <v>1547532</v>
      </c>
      <c r="D134" s="557">
        <f>SUM(D135:D137)</f>
        <v>1492705</v>
      </c>
      <c r="E134" s="557">
        <f>SUM(E135:E137)</f>
        <v>1396302</v>
      </c>
    </row>
    <row r="135" spans="1:5" ht="15.75">
      <c r="A135" s="544" t="s">
        <v>326</v>
      </c>
      <c r="B135" s="545"/>
      <c r="C135" s="551">
        <v>824669</v>
      </c>
      <c r="D135" s="551">
        <v>853236</v>
      </c>
      <c r="E135" s="552">
        <v>781009</v>
      </c>
    </row>
    <row r="136" spans="1:5" ht="15.75">
      <c r="A136" s="543" t="s">
        <v>327</v>
      </c>
      <c r="B136" s="542"/>
      <c r="C136" s="553">
        <v>411605</v>
      </c>
      <c r="D136" s="553">
        <v>313305</v>
      </c>
      <c r="E136" s="554">
        <v>289129</v>
      </c>
    </row>
    <row r="137" spans="1:5" ht="16.5" thickBot="1">
      <c r="A137" s="546" t="s">
        <v>328</v>
      </c>
      <c r="B137" s="547"/>
      <c r="C137" s="555">
        <v>311258</v>
      </c>
      <c r="D137" s="555">
        <v>326164</v>
      </c>
      <c r="E137" s="556">
        <v>326164</v>
      </c>
    </row>
    <row r="138" spans="1:5" ht="16.5" thickBot="1">
      <c r="A138" s="676" t="s">
        <v>322</v>
      </c>
      <c r="B138" s="677"/>
      <c r="C138" s="557">
        <f>C130-C134</f>
        <v>-377945</v>
      </c>
      <c r="D138" s="557">
        <f>D130-D134</f>
        <v>-171934</v>
      </c>
      <c r="E138" s="557">
        <f>E130-E134</f>
        <v>-87089</v>
      </c>
    </row>
    <row r="141" ht="13.5" thickBot="1"/>
    <row r="142" spans="1:5" ht="30" customHeight="1" thickBot="1">
      <c r="A142" s="701" t="s">
        <v>291</v>
      </c>
      <c r="B142" s="702"/>
      <c r="C142" s="567" t="s">
        <v>147</v>
      </c>
      <c r="D142" s="548" t="s">
        <v>193</v>
      </c>
      <c r="E142" s="549" t="s">
        <v>195</v>
      </c>
    </row>
    <row r="143" spans="1:5" ht="15.75">
      <c r="A143" s="544" t="s">
        <v>82</v>
      </c>
      <c r="B143" s="565"/>
      <c r="C143" s="566">
        <v>1295115</v>
      </c>
      <c r="D143" s="551">
        <v>1163632</v>
      </c>
      <c r="E143" s="552">
        <v>1163582</v>
      </c>
    </row>
    <row r="144" spans="1:5" ht="15.75">
      <c r="A144" s="543" t="s">
        <v>83</v>
      </c>
      <c r="B144" s="561"/>
      <c r="C144" s="563">
        <v>1179400</v>
      </c>
      <c r="D144" s="553">
        <v>1136058</v>
      </c>
      <c r="E144" s="554">
        <v>1136058</v>
      </c>
    </row>
    <row r="145" spans="1:5" ht="15.75">
      <c r="A145" s="543"/>
      <c r="B145" s="562" t="s">
        <v>84</v>
      </c>
      <c r="C145" s="564">
        <v>115715</v>
      </c>
      <c r="D145" s="559">
        <v>27574</v>
      </c>
      <c r="E145" s="560">
        <v>27524</v>
      </c>
    </row>
    <row r="146" spans="1:5" ht="15.75">
      <c r="A146" s="543" t="s">
        <v>85</v>
      </c>
      <c r="B146" s="561"/>
      <c r="C146" s="563">
        <v>25656</v>
      </c>
      <c r="D146" s="553">
        <v>0</v>
      </c>
      <c r="E146" s="554">
        <v>0</v>
      </c>
    </row>
    <row r="147" spans="1:5" ht="15.75">
      <c r="A147" s="543" t="s">
        <v>86</v>
      </c>
      <c r="B147" s="561"/>
      <c r="C147" s="563">
        <v>313305</v>
      </c>
      <c r="D147" s="553">
        <v>94700</v>
      </c>
      <c r="E147" s="554">
        <v>91400</v>
      </c>
    </row>
    <row r="148" spans="1:5" ht="15.75">
      <c r="A148" s="543"/>
      <c r="B148" s="562" t="s">
        <v>87</v>
      </c>
      <c r="C148" s="564">
        <v>-287649</v>
      </c>
      <c r="D148" s="559">
        <v>-94700</v>
      </c>
      <c r="E148" s="560">
        <v>-91400</v>
      </c>
    </row>
    <row r="149" spans="1:5" ht="15.75">
      <c r="A149" s="543" t="s">
        <v>140</v>
      </c>
      <c r="B149" s="561"/>
      <c r="C149" s="563">
        <v>175179</v>
      </c>
      <c r="D149" s="553">
        <v>67657</v>
      </c>
      <c r="E149" s="554">
        <v>64407</v>
      </c>
    </row>
    <row r="150" spans="1:5" ht="15.75">
      <c r="A150" s="543" t="s">
        <v>139</v>
      </c>
      <c r="B150" s="561"/>
      <c r="C150" s="563">
        <v>3245</v>
      </c>
      <c r="D150" s="553">
        <v>531</v>
      </c>
      <c r="E150" s="554">
        <v>531.1027019849963</v>
      </c>
    </row>
    <row r="151" spans="1:5" ht="16.5" thickBot="1">
      <c r="A151" s="546"/>
      <c r="B151" s="568" t="s">
        <v>141</v>
      </c>
      <c r="C151" s="569">
        <v>171934</v>
      </c>
      <c r="D151" s="570">
        <v>67126</v>
      </c>
      <c r="E151" s="571">
        <v>63875.89729801501</v>
      </c>
    </row>
    <row r="152" spans="1:5" ht="16.5" thickBot="1">
      <c r="A152" s="558" t="s">
        <v>88</v>
      </c>
      <c r="B152" s="572"/>
      <c r="C152" s="573">
        <v>0</v>
      </c>
      <c r="D152" s="557">
        <v>0</v>
      </c>
      <c r="E152" s="574">
        <v>-0.10270198499347316</v>
      </c>
    </row>
  </sheetData>
  <sheetProtection/>
  <mergeCells count="41">
    <mergeCell ref="A142:B142"/>
    <mergeCell ref="A1:E1"/>
    <mergeCell ref="A2:B3"/>
    <mergeCell ref="C2:C3"/>
    <mergeCell ref="D2:D3"/>
    <mergeCell ref="E2:E3"/>
    <mergeCell ref="A4:B4"/>
    <mergeCell ref="A8:B8"/>
    <mergeCell ref="A37:E37"/>
    <mergeCell ref="A38:B39"/>
    <mergeCell ref="C38:C39"/>
    <mergeCell ref="D38:D39"/>
    <mergeCell ref="E38:E39"/>
    <mergeCell ref="A50:A51"/>
    <mergeCell ref="A52:B52"/>
    <mergeCell ref="A56:E56"/>
    <mergeCell ref="A57:B58"/>
    <mergeCell ref="C57:C58"/>
    <mergeCell ref="D57:D58"/>
    <mergeCell ref="E57:E58"/>
    <mergeCell ref="A59:B59"/>
    <mergeCell ref="A63:B63"/>
    <mergeCell ref="A74:E74"/>
    <mergeCell ref="A75:B76"/>
    <mergeCell ref="C75:C76"/>
    <mergeCell ref="D75:D76"/>
    <mergeCell ref="E75:E76"/>
    <mergeCell ref="A129:B129"/>
    <mergeCell ref="A138:B138"/>
    <mergeCell ref="A77:B77"/>
    <mergeCell ref="A81:B81"/>
    <mergeCell ref="A86:E86"/>
    <mergeCell ref="A87:B88"/>
    <mergeCell ref="C87:C88"/>
    <mergeCell ref="D87:D88"/>
    <mergeCell ref="E87:E88"/>
    <mergeCell ref="A95:B95"/>
    <mergeCell ref="A96:B96"/>
    <mergeCell ref="A98:B98"/>
    <mergeCell ref="A126:B126"/>
    <mergeCell ref="A117:B1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9">
      <selection activeCell="E48" sqref="E48"/>
    </sheetView>
  </sheetViews>
  <sheetFormatPr defaultColWidth="9.00390625" defaultRowHeight="12.75"/>
  <cols>
    <col min="1" max="1" width="36.00390625" style="0" customWidth="1"/>
    <col min="2" max="4" width="10.125" style="0" bestFit="1" customWidth="1"/>
    <col min="5" max="5" width="10.125" style="0" customWidth="1"/>
    <col min="6" max="6" width="12.75390625" style="0" customWidth="1"/>
  </cols>
  <sheetData>
    <row r="1" spans="1:6" ht="21.75" customHeight="1">
      <c r="A1" s="585" t="s">
        <v>329</v>
      </c>
      <c r="B1" s="586" t="s">
        <v>383</v>
      </c>
      <c r="C1" s="586" t="s">
        <v>384</v>
      </c>
      <c r="D1" s="586" t="s">
        <v>385</v>
      </c>
      <c r="E1" s="586" t="s">
        <v>386</v>
      </c>
      <c r="F1" s="586" t="s">
        <v>387</v>
      </c>
    </row>
    <row r="2" spans="1:6" ht="15.75">
      <c r="A2" s="575" t="s">
        <v>331</v>
      </c>
      <c r="B2" s="576">
        <f>SUM(B3+B4+B11)</f>
        <v>2771940</v>
      </c>
      <c r="C2" s="576">
        <f>SUM(C3+C4+C11)</f>
        <v>2981</v>
      </c>
      <c r="D2" s="576">
        <f>SUM(D3+D4+D11)</f>
        <v>2774921</v>
      </c>
      <c r="E2" s="576">
        <f>SUM(E3+E4+E11)</f>
        <v>0</v>
      </c>
      <c r="F2" s="576">
        <f>SUM(F3+F4+F11)</f>
        <v>2774921</v>
      </c>
    </row>
    <row r="3" spans="1:6" ht="15.75">
      <c r="A3" s="577" t="s">
        <v>333</v>
      </c>
      <c r="B3" s="578">
        <v>0</v>
      </c>
      <c r="C3" s="578">
        <v>0</v>
      </c>
      <c r="D3" s="578">
        <v>0</v>
      </c>
      <c r="E3" s="578">
        <v>0</v>
      </c>
      <c r="F3" s="578">
        <v>0</v>
      </c>
    </row>
    <row r="4" spans="1:6" ht="15.75">
      <c r="A4" s="577" t="s">
        <v>335</v>
      </c>
      <c r="B4" s="578">
        <f>SUM(B5:B10)</f>
        <v>2191725</v>
      </c>
      <c r="C4" s="578">
        <f>SUM(C5:C10)</f>
        <v>2981</v>
      </c>
      <c r="D4" s="578">
        <f>SUM(D5:D10)</f>
        <v>2194706</v>
      </c>
      <c r="E4" s="578">
        <f>SUM(E5:E10)</f>
        <v>0</v>
      </c>
      <c r="F4" s="578">
        <f>SUM(F5:F10)</f>
        <v>2194706</v>
      </c>
    </row>
    <row r="5" spans="1:6" ht="15.75">
      <c r="A5" s="579" t="s">
        <v>337</v>
      </c>
      <c r="B5" s="580">
        <v>307154</v>
      </c>
      <c r="C5" s="580">
        <v>0</v>
      </c>
      <c r="D5" s="580">
        <f aca="true" t="shared" si="0" ref="D5:D32">B5+C5</f>
        <v>307154</v>
      </c>
      <c r="E5" s="580">
        <v>0</v>
      </c>
      <c r="F5" s="580">
        <f aca="true" t="shared" si="1" ref="F5:F10">SUM(D5:E5)</f>
        <v>307154</v>
      </c>
    </row>
    <row r="6" spans="1:6" ht="15.75">
      <c r="A6" s="581" t="s">
        <v>339</v>
      </c>
      <c r="B6" s="580">
        <v>3917</v>
      </c>
      <c r="C6" s="580">
        <v>0</v>
      </c>
      <c r="D6" s="580">
        <f t="shared" si="0"/>
        <v>3917</v>
      </c>
      <c r="E6" s="580">
        <v>0</v>
      </c>
      <c r="F6" s="580">
        <f t="shared" si="1"/>
        <v>3917</v>
      </c>
    </row>
    <row r="7" spans="1:6" ht="15.75">
      <c r="A7" s="579" t="s">
        <v>341</v>
      </c>
      <c r="B7" s="580">
        <v>1247914</v>
      </c>
      <c r="C7" s="580">
        <v>2648</v>
      </c>
      <c r="D7" s="580">
        <f t="shared" si="0"/>
        <v>1250562</v>
      </c>
      <c r="E7" s="580">
        <v>0</v>
      </c>
      <c r="F7" s="580">
        <f t="shared" si="1"/>
        <v>1250562</v>
      </c>
    </row>
    <row r="8" spans="1:6" ht="15.75">
      <c r="A8" s="579" t="s">
        <v>343</v>
      </c>
      <c r="B8" s="580">
        <v>7071</v>
      </c>
      <c r="C8" s="580">
        <v>333</v>
      </c>
      <c r="D8" s="580">
        <f t="shared" si="0"/>
        <v>7404</v>
      </c>
      <c r="E8" s="580">
        <v>0</v>
      </c>
      <c r="F8" s="580">
        <f t="shared" si="1"/>
        <v>7404</v>
      </c>
    </row>
    <row r="9" spans="1:6" ht="15.75">
      <c r="A9" s="579" t="s">
        <v>345</v>
      </c>
      <c r="B9" s="580">
        <v>8889</v>
      </c>
      <c r="C9" s="580">
        <v>0</v>
      </c>
      <c r="D9" s="580">
        <f t="shared" si="0"/>
        <v>8889</v>
      </c>
      <c r="E9" s="580">
        <v>0</v>
      </c>
      <c r="F9" s="580">
        <f t="shared" si="1"/>
        <v>8889</v>
      </c>
    </row>
    <row r="10" spans="1:6" ht="15.75">
      <c r="A10" s="579" t="s">
        <v>346</v>
      </c>
      <c r="B10" s="580">
        <v>616780</v>
      </c>
      <c r="C10" s="580">
        <v>0</v>
      </c>
      <c r="D10" s="580">
        <f t="shared" si="0"/>
        <v>616780</v>
      </c>
      <c r="E10" s="580">
        <v>0</v>
      </c>
      <c r="F10" s="580">
        <f t="shared" si="1"/>
        <v>616780</v>
      </c>
    </row>
    <row r="11" spans="1:6" ht="15.75">
      <c r="A11" s="577" t="s">
        <v>347</v>
      </c>
      <c r="B11" s="578">
        <f>SUM(B12)</f>
        <v>580215</v>
      </c>
      <c r="C11" s="578">
        <f>SUM(C12)</f>
        <v>0</v>
      </c>
      <c r="D11" s="578">
        <f>SUM(D12)</f>
        <v>580215</v>
      </c>
      <c r="E11" s="578">
        <f>SUM(E12)</f>
        <v>0</v>
      </c>
      <c r="F11" s="578">
        <f>SUM(F12)</f>
        <v>580215</v>
      </c>
    </row>
    <row r="12" spans="1:6" ht="15.75">
      <c r="A12" s="579" t="s">
        <v>348</v>
      </c>
      <c r="B12" s="580">
        <v>580215</v>
      </c>
      <c r="C12" s="580">
        <v>0</v>
      </c>
      <c r="D12" s="580">
        <f t="shared" si="0"/>
        <v>580215</v>
      </c>
      <c r="E12" s="580">
        <v>0</v>
      </c>
      <c r="F12" s="580">
        <f>SUM(D12:E12)</f>
        <v>580215</v>
      </c>
    </row>
    <row r="13" spans="1:6" ht="15.75">
      <c r="A13" s="575" t="s">
        <v>349</v>
      </c>
      <c r="B13" s="576">
        <f>SUM(B14+B16+B17+B18+B23+B26+B28)</f>
        <v>210638</v>
      </c>
      <c r="C13" s="576">
        <f>SUM(C14+C16+C17+C18+C23+C26+C28)</f>
        <v>47701</v>
      </c>
      <c r="D13" s="576">
        <f>SUM(D14+D16+D17+D18+D23+D26+D28)</f>
        <v>258339</v>
      </c>
      <c r="E13" s="576">
        <f>SUM(E14+E16+E17+E18+E23+E26+E28)</f>
        <v>0</v>
      </c>
      <c r="F13" s="576">
        <f>SUM(F14+F16+F17+F18+F23+F26+F28)</f>
        <v>258339</v>
      </c>
    </row>
    <row r="14" spans="1:6" ht="15.75">
      <c r="A14" s="577" t="s">
        <v>351</v>
      </c>
      <c r="B14" s="578">
        <f>SUM(B15)</f>
        <v>3707</v>
      </c>
      <c r="C14" s="578">
        <f>SUM(C15)</f>
        <v>0</v>
      </c>
      <c r="D14" s="578">
        <f>SUM(D15)</f>
        <v>3707</v>
      </c>
      <c r="E14" s="578">
        <f>SUM(E15)</f>
        <v>0</v>
      </c>
      <c r="F14" s="578">
        <f>SUM(F15)</f>
        <v>3707</v>
      </c>
    </row>
    <row r="15" spans="1:6" ht="15.75">
      <c r="A15" s="579" t="s">
        <v>353</v>
      </c>
      <c r="B15" s="580">
        <v>3707</v>
      </c>
      <c r="C15" s="580">
        <v>0</v>
      </c>
      <c r="D15" s="580">
        <f t="shared" si="0"/>
        <v>3707</v>
      </c>
      <c r="E15" s="580">
        <v>0</v>
      </c>
      <c r="F15" s="580">
        <f>SUM(D15:E15)</f>
        <v>3707</v>
      </c>
    </row>
    <row r="16" spans="1:6" ht="15.75">
      <c r="A16" s="577" t="s">
        <v>355</v>
      </c>
      <c r="B16" s="578">
        <v>0</v>
      </c>
      <c r="C16" s="578">
        <v>0</v>
      </c>
      <c r="D16" s="578">
        <v>0</v>
      </c>
      <c r="E16" s="578">
        <v>0</v>
      </c>
      <c r="F16" s="578">
        <v>0</v>
      </c>
    </row>
    <row r="17" spans="1:6" ht="15.75">
      <c r="A17" s="577" t="s">
        <v>356</v>
      </c>
      <c r="B17" s="578">
        <v>0</v>
      </c>
      <c r="C17" s="578">
        <v>0</v>
      </c>
      <c r="D17" s="578">
        <v>0</v>
      </c>
      <c r="E17" s="578">
        <v>0</v>
      </c>
      <c r="F17" s="578">
        <v>0</v>
      </c>
    </row>
    <row r="18" spans="1:6" ht="15.75">
      <c r="A18" s="577" t="s">
        <v>358</v>
      </c>
      <c r="B18" s="578">
        <f>SUM(B19:B22)</f>
        <v>4851</v>
      </c>
      <c r="C18" s="578">
        <f>SUM(C19:C22)</f>
        <v>3570</v>
      </c>
      <c r="D18" s="578">
        <f>SUM(D19:D22)</f>
        <v>8421</v>
      </c>
      <c r="E18" s="578">
        <f>SUM(E19:E22)</f>
        <v>0</v>
      </c>
      <c r="F18" s="578">
        <f>SUM(F19:F22)</f>
        <v>8421</v>
      </c>
    </row>
    <row r="19" spans="1:6" ht="15.75">
      <c r="A19" s="579" t="s">
        <v>360</v>
      </c>
      <c r="B19" s="580">
        <v>3861</v>
      </c>
      <c r="C19" s="580">
        <v>0</v>
      </c>
      <c r="D19" s="580">
        <f t="shared" si="0"/>
        <v>3861</v>
      </c>
      <c r="E19" s="580">
        <v>0</v>
      </c>
      <c r="F19" s="580">
        <f>SUM(D19:E19)</f>
        <v>3861</v>
      </c>
    </row>
    <row r="20" spans="1:6" ht="15.75">
      <c r="A20" s="579" t="s">
        <v>362</v>
      </c>
      <c r="B20" s="580">
        <v>825</v>
      </c>
      <c r="C20" s="580">
        <v>0</v>
      </c>
      <c r="D20" s="580">
        <f t="shared" si="0"/>
        <v>825</v>
      </c>
      <c r="E20" s="580">
        <v>0</v>
      </c>
      <c r="F20" s="580">
        <f>SUM(D20:E20)</f>
        <v>825</v>
      </c>
    </row>
    <row r="21" spans="1:6" ht="15.75">
      <c r="A21" s="579" t="s">
        <v>364</v>
      </c>
      <c r="B21" s="580">
        <v>165</v>
      </c>
      <c r="C21" s="580">
        <v>0</v>
      </c>
      <c r="D21" s="580">
        <f t="shared" si="0"/>
        <v>165</v>
      </c>
      <c r="E21" s="580">
        <v>0</v>
      </c>
      <c r="F21" s="580">
        <f>SUM(D21:E21)</f>
        <v>165</v>
      </c>
    </row>
    <row r="22" spans="1:6" ht="15.75">
      <c r="A22" s="579" t="s">
        <v>388</v>
      </c>
      <c r="B22" s="580">
        <v>0</v>
      </c>
      <c r="C22" s="580">
        <v>3570</v>
      </c>
      <c r="D22" s="580">
        <f t="shared" si="0"/>
        <v>3570</v>
      </c>
      <c r="E22" s="580">
        <v>0</v>
      </c>
      <c r="F22" s="580">
        <f>SUM(D22:E22)</f>
        <v>3570</v>
      </c>
    </row>
    <row r="23" spans="1:6" ht="15.75">
      <c r="A23" s="577" t="s">
        <v>366</v>
      </c>
      <c r="B23" s="578">
        <f>SUM(B24:B25)</f>
        <v>200425</v>
      </c>
      <c r="C23" s="578">
        <f>SUM(C24:C25)</f>
        <v>44131</v>
      </c>
      <c r="D23" s="578">
        <f>SUM(D24:D25)</f>
        <v>244556</v>
      </c>
      <c r="E23" s="578">
        <f>SUM(E24:E25)</f>
        <v>0</v>
      </c>
      <c r="F23" s="578">
        <f>SUM(F24:F25)</f>
        <v>244556</v>
      </c>
    </row>
    <row r="24" spans="1:6" ht="15.75">
      <c r="A24" s="579" t="s">
        <v>368</v>
      </c>
      <c r="B24" s="580">
        <v>688</v>
      </c>
      <c r="C24" s="580">
        <v>0</v>
      </c>
      <c r="D24" s="580">
        <f t="shared" si="0"/>
        <v>688</v>
      </c>
      <c r="E24" s="580">
        <v>0</v>
      </c>
      <c r="F24" s="580">
        <f>SUM(D24:E24)</f>
        <v>688</v>
      </c>
    </row>
    <row r="25" spans="1:6" ht="15.75">
      <c r="A25" s="579" t="s">
        <v>370</v>
      </c>
      <c r="B25" s="580">
        <v>199737</v>
      </c>
      <c r="C25" s="580">
        <v>44131</v>
      </c>
      <c r="D25" s="580">
        <f t="shared" si="0"/>
        <v>243868</v>
      </c>
      <c r="E25" s="580">
        <v>0</v>
      </c>
      <c r="F25" s="580">
        <f>SUM(D25:E25)</f>
        <v>243868</v>
      </c>
    </row>
    <row r="26" spans="1:6" ht="15.75">
      <c r="A26" s="577" t="s">
        <v>372</v>
      </c>
      <c r="B26" s="578">
        <f>SUM(B27)</f>
        <v>1100</v>
      </c>
      <c r="C26" s="578">
        <f>SUM(C27)</f>
        <v>0</v>
      </c>
      <c r="D26" s="578">
        <f>SUM(D27)</f>
        <v>1100</v>
      </c>
      <c r="E26" s="578">
        <f>SUM(E27)</f>
        <v>0</v>
      </c>
      <c r="F26" s="578">
        <f>SUM(F27)</f>
        <v>1100</v>
      </c>
    </row>
    <row r="27" spans="1:6" ht="15.75">
      <c r="A27" s="579" t="s">
        <v>374</v>
      </c>
      <c r="B27" s="580">
        <v>1100</v>
      </c>
      <c r="C27" s="580">
        <v>0</v>
      </c>
      <c r="D27" s="580">
        <f t="shared" si="0"/>
        <v>1100</v>
      </c>
      <c r="E27" s="580">
        <v>0</v>
      </c>
      <c r="F27" s="580">
        <f>SUM(D27:E27)</f>
        <v>1100</v>
      </c>
    </row>
    <row r="28" spans="1:6" ht="15.75">
      <c r="A28" s="577" t="s">
        <v>376</v>
      </c>
      <c r="B28" s="578">
        <f>SUM(B29)</f>
        <v>555</v>
      </c>
      <c r="C28" s="578">
        <f>SUM(C29)</f>
        <v>0</v>
      </c>
      <c r="D28" s="578">
        <f>SUM(D29)</f>
        <v>555</v>
      </c>
      <c r="E28" s="578">
        <f>SUM(E29)</f>
        <v>0</v>
      </c>
      <c r="F28" s="578">
        <f>SUM(F29)</f>
        <v>555</v>
      </c>
    </row>
    <row r="29" spans="1:6" ht="15.75">
      <c r="A29" s="579" t="s">
        <v>374</v>
      </c>
      <c r="B29" s="580">
        <v>555</v>
      </c>
      <c r="C29" s="580">
        <v>0</v>
      </c>
      <c r="D29" s="580">
        <f t="shared" si="0"/>
        <v>555</v>
      </c>
      <c r="E29" s="580">
        <v>0</v>
      </c>
      <c r="F29" s="580">
        <f>SUM(D29:E29)</f>
        <v>555</v>
      </c>
    </row>
    <row r="30" spans="1:6" ht="15.75">
      <c r="A30" s="575" t="s">
        <v>377</v>
      </c>
      <c r="B30" s="576">
        <f>SUM(B31:B32)</f>
        <v>3785</v>
      </c>
      <c r="C30" s="576">
        <f>SUM(C31:C32)</f>
        <v>490</v>
      </c>
      <c r="D30" s="576">
        <f>SUM(D31:D32)</f>
        <v>4275</v>
      </c>
      <c r="E30" s="576">
        <f>SUM(E31:E32)</f>
        <v>0</v>
      </c>
      <c r="F30" s="576">
        <f>SUM(F31:F32)</f>
        <v>4275</v>
      </c>
    </row>
    <row r="31" spans="1:6" ht="15.75">
      <c r="A31" s="579" t="s">
        <v>378</v>
      </c>
      <c r="B31" s="580">
        <v>3202</v>
      </c>
      <c r="C31" s="580">
        <v>490</v>
      </c>
      <c r="D31" s="580">
        <f t="shared" si="0"/>
        <v>3692</v>
      </c>
      <c r="E31" s="580">
        <v>0</v>
      </c>
      <c r="F31" s="580">
        <f>SUM(D31:E31)</f>
        <v>3692</v>
      </c>
    </row>
    <row r="32" spans="1:6" ht="15.75">
      <c r="A32" s="579" t="s">
        <v>380</v>
      </c>
      <c r="B32" s="580">
        <v>583</v>
      </c>
      <c r="C32" s="580">
        <v>0</v>
      </c>
      <c r="D32" s="580">
        <f t="shared" si="0"/>
        <v>583</v>
      </c>
      <c r="E32" s="580">
        <v>0</v>
      </c>
      <c r="F32" s="580">
        <f>SUM(D32:E32)</f>
        <v>583</v>
      </c>
    </row>
    <row r="33" spans="1:6" ht="15.75">
      <c r="A33" s="582" t="s">
        <v>381</v>
      </c>
      <c r="B33" s="583">
        <f>SUM(B2+B13+B30)</f>
        <v>2986363</v>
      </c>
      <c r="C33" s="583">
        <f>SUM(C2+C13+C30)</f>
        <v>51172</v>
      </c>
      <c r="D33" s="583">
        <f>SUM(D2+D13+D30)</f>
        <v>3037535</v>
      </c>
      <c r="E33" s="583">
        <f>SUM(E2+E13+E30)</f>
        <v>0</v>
      </c>
      <c r="F33" s="583">
        <f>SUM(F2+F13+F30)</f>
        <v>3037535</v>
      </c>
    </row>
    <row r="35" spans="1:6" ht="24.75" customHeight="1">
      <c r="A35" s="585" t="s">
        <v>330</v>
      </c>
      <c r="B35" s="586" t="s">
        <v>383</v>
      </c>
      <c r="C35" s="586" t="s">
        <v>384</v>
      </c>
      <c r="D35" s="586" t="s">
        <v>385</v>
      </c>
      <c r="E35" s="586" t="s">
        <v>386</v>
      </c>
      <c r="F35" s="586" t="s">
        <v>387</v>
      </c>
    </row>
    <row r="36" spans="1:6" ht="15.75">
      <c r="A36" s="575" t="s">
        <v>332</v>
      </c>
      <c r="B36" s="576">
        <f>SUM(B37+B39+B40)</f>
        <v>2589237</v>
      </c>
      <c r="C36" s="576">
        <f>SUM(C37+C39+C40)</f>
        <v>-10590</v>
      </c>
      <c r="D36" s="576">
        <f>SUM(D37+D39+D40)</f>
        <v>2578647</v>
      </c>
      <c r="E36" s="576">
        <f>SUM(E37+E39+E40)</f>
        <v>0</v>
      </c>
      <c r="F36" s="576">
        <f>SUM(F37+F39+F40)</f>
        <v>2578647</v>
      </c>
    </row>
    <row r="37" spans="1:6" ht="15.75">
      <c r="A37" s="577" t="s">
        <v>334</v>
      </c>
      <c r="B37" s="578">
        <f>SUM(B38)</f>
        <v>13636</v>
      </c>
      <c r="C37" s="578">
        <f>SUM(C38)</f>
        <v>0</v>
      </c>
      <c r="D37" s="578">
        <f>SUM(D38)</f>
        <v>13636</v>
      </c>
      <c r="E37" s="578">
        <f>SUM(E38)</f>
        <v>0</v>
      </c>
      <c r="F37" s="578">
        <f>SUM(F38)</f>
        <v>13636</v>
      </c>
    </row>
    <row r="38" spans="1:6" ht="15.75">
      <c r="A38" s="579" t="s">
        <v>336</v>
      </c>
      <c r="B38" s="580">
        <v>13636</v>
      </c>
      <c r="C38" s="580">
        <v>0</v>
      </c>
      <c r="D38" s="587">
        <f aca="true" t="shared" si="2" ref="D38:D59">B38+C38</f>
        <v>13636</v>
      </c>
      <c r="E38" s="580">
        <v>0</v>
      </c>
      <c r="F38" s="580">
        <f>SUM(D38:E38)</f>
        <v>13636</v>
      </c>
    </row>
    <row r="39" spans="1:6" ht="15.75">
      <c r="A39" s="577" t="s">
        <v>338</v>
      </c>
      <c r="B39" s="578">
        <v>0</v>
      </c>
      <c r="C39" s="578">
        <v>0</v>
      </c>
      <c r="D39" s="578">
        <v>0</v>
      </c>
      <c r="E39" s="578">
        <v>0</v>
      </c>
      <c r="F39" s="578">
        <v>0</v>
      </c>
    </row>
    <row r="40" spans="1:6" ht="15.75">
      <c r="A40" s="577" t="s">
        <v>340</v>
      </c>
      <c r="B40" s="578">
        <f>SUM(B41:B42)</f>
        <v>2575601</v>
      </c>
      <c r="C40" s="578">
        <f>SUM(C41:C42)</f>
        <v>-10590</v>
      </c>
      <c r="D40" s="578">
        <f>SUM(D41:D42)</f>
        <v>2565011</v>
      </c>
      <c r="E40" s="578">
        <f>SUM(E41:E42)</f>
        <v>0</v>
      </c>
      <c r="F40" s="578">
        <f>SUM(F41:F42)</f>
        <v>2565011</v>
      </c>
    </row>
    <row r="41" spans="1:6" ht="15.75">
      <c r="A41" s="579" t="s">
        <v>342</v>
      </c>
      <c r="B41" s="580">
        <v>2567852</v>
      </c>
      <c r="C41" s="580">
        <v>-975</v>
      </c>
      <c r="D41" s="587">
        <f t="shared" si="2"/>
        <v>2566877</v>
      </c>
      <c r="E41" s="580">
        <v>0</v>
      </c>
      <c r="F41" s="580">
        <f>SUM(D41:E41)</f>
        <v>2566877</v>
      </c>
    </row>
    <row r="42" spans="1:6" ht="15.75">
      <c r="A42" s="579" t="s">
        <v>344</v>
      </c>
      <c r="B42" s="580">
        <v>7749</v>
      </c>
      <c r="C42" s="580">
        <v>-9615</v>
      </c>
      <c r="D42" s="587">
        <f t="shared" si="2"/>
        <v>-1866</v>
      </c>
      <c r="E42" s="580">
        <v>0</v>
      </c>
      <c r="F42" s="580">
        <f>SUM(D42:E42)</f>
        <v>-1866</v>
      </c>
    </row>
    <row r="43" spans="1:6" ht="15.75">
      <c r="A43" s="575" t="s">
        <v>350</v>
      </c>
      <c r="B43" s="576">
        <f>SUM(B44+B46+B47+B50+B57)</f>
        <v>96887</v>
      </c>
      <c r="C43" s="576">
        <f>SUM(C44+C46+C47+C50+C57)</f>
        <v>53003</v>
      </c>
      <c r="D43" s="576">
        <f>SUM(D44+D46+D47+D50+D57)</f>
        <v>149890</v>
      </c>
      <c r="E43" s="576">
        <f>SUM(E44+E46+E47+E50+E57)</f>
        <v>0</v>
      </c>
      <c r="F43" s="576">
        <f>SUM(F44+F46+F47+F50+F57)</f>
        <v>149890</v>
      </c>
    </row>
    <row r="44" spans="1:6" ht="15.75">
      <c r="A44" s="577" t="s">
        <v>352</v>
      </c>
      <c r="B44" s="578">
        <f>SUM(B45)</f>
        <v>24584</v>
      </c>
      <c r="C44" s="578">
        <f>SUM(C45)</f>
        <v>14620</v>
      </c>
      <c r="D44" s="578">
        <f>SUM(D45)</f>
        <v>39204</v>
      </c>
      <c r="E44" s="578">
        <f>SUM(E45)</f>
        <v>0</v>
      </c>
      <c r="F44" s="578">
        <f>SUM(F45)</f>
        <v>39204</v>
      </c>
    </row>
    <row r="45" spans="1:6" ht="15.75">
      <c r="A45" s="579" t="s">
        <v>354</v>
      </c>
      <c r="B45" s="580">
        <v>24584</v>
      </c>
      <c r="C45" s="580">
        <v>14620</v>
      </c>
      <c r="D45" s="587">
        <f t="shared" si="2"/>
        <v>39204</v>
      </c>
      <c r="E45" s="580">
        <v>0</v>
      </c>
      <c r="F45" s="580">
        <f>SUM(D45:E45)</f>
        <v>39204</v>
      </c>
    </row>
    <row r="46" spans="1:6" ht="15.75">
      <c r="A46" s="577" t="s">
        <v>355</v>
      </c>
      <c r="B46" s="578">
        <v>0</v>
      </c>
      <c r="C46" s="578">
        <v>0</v>
      </c>
      <c r="D46" s="578">
        <v>0</v>
      </c>
      <c r="E46" s="578">
        <v>0</v>
      </c>
      <c r="F46" s="578">
        <v>0</v>
      </c>
    </row>
    <row r="47" spans="1:6" ht="15.75">
      <c r="A47" s="577" t="s">
        <v>357</v>
      </c>
      <c r="B47" s="578">
        <f>SUM(B48:B49)</f>
        <v>24334</v>
      </c>
      <c r="C47" s="578">
        <f>SUM(C48:C49)</f>
        <v>1120</v>
      </c>
      <c r="D47" s="578">
        <f>SUM(D48:D49)</f>
        <v>25454</v>
      </c>
      <c r="E47" s="578">
        <f>SUM(E48:E49)</f>
        <v>0</v>
      </c>
      <c r="F47" s="578">
        <f>SUM(F48:F49)</f>
        <v>25454</v>
      </c>
    </row>
    <row r="48" spans="1:6" ht="15.75">
      <c r="A48" s="579" t="s">
        <v>359</v>
      </c>
      <c r="B48" s="580">
        <v>23147</v>
      </c>
      <c r="C48" s="580">
        <v>0</v>
      </c>
      <c r="D48" s="587">
        <f t="shared" si="2"/>
        <v>23147</v>
      </c>
      <c r="E48" s="580">
        <v>0</v>
      </c>
      <c r="F48" s="580">
        <f>SUM(D48:E48)</f>
        <v>23147</v>
      </c>
    </row>
    <row r="49" spans="1:6" ht="15.75">
      <c r="A49" s="579" t="s">
        <v>361</v>
      </c>
      <c r="B49" s="580">
        <v>1187</v>
      </c>
      <c r="C49" s="580">
        <v>1120</v>
      </c>
      <c r="D49" s="587">
        <f t="shared" si="2"/>
        <v>2307</v>
      </c>
      <c r="E49" s="580">
        <v>0</v>
      </c>
      <c r="F49" s="580">
        <f>SUM(D49:E49)</f>
        <v>2307</v>
      </c>
    </row>
    <row r="50" spans="1:6" ht="15.75">
      <c r="A50" s="577" t="s">
        <v>363</v>
      </c>
      <c r="B50" s="578">
        <f>SUM(B51:B56)</f>
        <v>47969</v>
      </c>
      <c r="C50" s="578">
        <f>SUM(C51:C56)</f>
        <v>37263</v>
      </c>
      <c r="D50" s="578">
        <f>SUM(D51:D56)</f>
        <v>85232</v>
      </c>
      <c r="E50" s="578">
        <f>SUM(E51:E56)</f>
        <v>0</v>
      </c>
      <c r="F50" s="578">
        <f>SUM(F51:F56)</f>
        <v>85232</v>
      </c>
    </row>
    <row r="51" spans="1:6" ht="15.75">
      <c r="A51" s="579" t="s">
        <v>365</v>
      </c>
      <c r="B51" s="580">
        <v>8964</v>
      </c>
      <c r="C51" s="580">
        <v>27</v>
      </c>
      <c r="D51" s="587">
        <f t="shared" si="2"/>
        <v>8991</v>
      </c>
      <c r="E51" s="580">
        <v>0</v>
      </c>
      <c r="F51" s="580">
        <f aca="true" t="shared" si="3" ref="F51:F56">SUM(D51:E51)</f>
        <v>8991</v>
      </c>
    </row>
    <row r="52" spans="1:6" ht="15.75">
      <c r="A52" s="579" t="s">
        <v>367</v>
      </c>
      <c r="B52" s="580">
        <v>2258</v>
      </c>
      <c r="C52" s="580">
        <v>474</v>
      </c>
      <c r="D52" s="587">
        <f t="shared" si="2"/>
        <v>2732</v>
      </c>
      <c r="E52" s="580">
        <v>0</v>
      </c>
      <c r="F52" s="580">
        <f t="shared" si="3"/>
        <v>2732</v>
      </c>
    </row>
    <row r="53" spans="1:6" ht="15.75">
      <c r="A53" s="579" t="s">
        <v>369</v>
      </c>
      <c r="B53" s="580">
        <v>21561</v>
      </c>
      <c r="C53" s="580">
        <v>19954</v>
      </c>
      <c r="D53" s="587">
        <f t="shared" si="2"/>
        <v>41515</v>
      </c>
      <c r="E53" s="580">
        <v>0</v>
      </c>
      <c r="F53" s="580">
        <f t="shared" si="3"/>
        <v>41515</v>
      </c>
    </row>
    <row r="54" spans="1:6" ht="15.75">
      <c r="A54" s="579" t="s">
        <v>371</v>
      </c>
      <c r="B54" s="580">
        <v>13265</v>
      </c>
      <c r="C54" s="580">
        <v>12911</v>
      </c>
      <c r="D54" s="587">
        <f t="shared" si="2"/>
        <v>26176</v>
      </c>
      <c r="E54" s="580">
        <v>0</v>
      </c>
      <c r="F54" s="580">
        <f t="shared" si="3"/>
        <v>26176</v>
      </c>
    </row>
    <row r="55" spans="1:6" ht="15.75">
      <c r="A55" s="579" t="s">
        <v>373</v>
      </c>
      <c r="B55" s="580">
        <v>1921</v>
      </c>
      <c r="C55" s="580">
        <v>3697</v>
      </c>
      <c r="D55" s="587">
        <f t="shared" si="2"/>
        <v>5618</v>
      </c>
      <c r="E55" s="580">
        <v>0</v>
      </c>
      <c r="F55" s="580">
        <f t="shared" si="3"/>
        <v>5618</v>
      </c>
    </row>
    <row r="56" spans="1:6" ht="15.75">
      <c r="A56" s="579" t="s">
        <v>389</v>
      </c>
      <c r="B56" s="580">
        <v>0</v>
      </c>
      <c r="C56" s="580">
        <v>200</v>
      </c>
      <c r="D56" s="587">
        <f t="shared" si="2"/>
        <v>200</v>
      </c>
      <c r="E56" s="580">
        <v>0</v>
      </c>
      <c r="F56" s="580">
        <f t="shared" si="3"/>
        <v>200</v>
      </c>
    </row>
    <row r="57" spans="1:6" ht="15.75">
      <c r="A57" s="577" t="s">
        <v>375</v>
      </c>
      <c r="B57" s="578">
        <v>0</v>
      </c>
      <c r="C57" s="578">
        <v>0</v>
      </c>
      <c r="D57" s="578">
        <v>0</v>
      </c>
      <c r="E57" s="578">
        <v>0</v>
      </c>
      <c r="F57" s="578">
        <v>0</v>
      </c>
    </row>
    <row r="58" spans="1:6" ht="15.75">
      <c r="A58" s="575" t="s">
        <v>377</v>
      </c>
      <c r="B58" s="576">
        <f>SUM(B59)</f>
        <v>300239</v>
      </c>
      <c r="C58" s="576">
        <f>SUM(C59)</f>
        <v>8759</v>
      </c>
      <c r="D58" s="576">
        <f>SUM(D59)</f>
        <v>308998</v>
      </c>
      <c r="E58" s="576">
        <f>SUM(E59)</f>
        <v>0</v>
      </c>
      <c r="F58" s="576">
        <f>SUM(F59)</f>
        <v>308998</v>
      </c>
    </row>
    <row r="59" spans="1:6" ht="15.75">
      <c r="A59" s="579" t="s">
        <v>379</v>
      </c>
      <c r="B59" s="580">
        <v>300239</v>
      </c>
      <c r="C59" s="580">
        <v>8759</v>
      </c>
      <c r="D59" s="587">
        <f t="shared" si="2"/>
        <v>308998</v>
      </c>
      <c r="E59" s="580">
        <v>0</v>
      </c>
      <c r="F59" s="580">
        <f>SUM(D59:E59)</f>
        <v>308998</v>
      </c>
    </row>
    <row r="60" spans="1:6" ht="18" customHeight="1">
      <c r="A60" s="584" t="s">
        <v>382</v>
      </c>
      <c r="B60" s="583">
        <f>SUM(B36+B43+B58)</f>
        <v>2986363</v>
      </c>
      <c r="C60" s="583">
        <f>SUM(C36+C43+C58)</f>
        <v>51172</v>
      </c>
      <c r="D60" s="583">
        <f>SUM(D36+D43+D58)</f>
        <v>3037535</v>
      </c>
      <c r="E60" s="583">
        <f>SUM(E36+E43+E58)</f>
        <v>0</v>
      </c>
      <c r="F60" s="583">
        <f>SUM(F36+F43+F58)</f>
        <v>3037535</v>
      </c>
    </row>
    <row r="61" spans="2:3" ht="12.75">
      <c r="B61" s="4">
        <f>SUM(B60:C60)</f>
        <v>3037535</v>
      </c>
      <c r="C6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37">
      <selection activeCell="E37" sqref="E37"/>
    </sheetView>
  </sheetViews>
  <sheetFormatPr defaultColWidth="9.00390625" defaultRowHeight="12.75"/>
  <cols>
    <col min="1" max="1" width="35.00390625" style="0" customWidth="1"/>
    <col min="2" max="2" width="10.00390625" style="0" customWidth="1"/>
    <col min="4" max="4" width="10.375" style="0" customWidth="1"/>
    <col min="6" max="6" width="12.00390625" style="0" customWidth="1"/>
  </cols>
  <sheetData>
    <row r="1" spans="1:6" ht="30" customHeight="1">
      <c r="A1" s="585" t="s">
        <v>398</v>
      </c>
      <c r="B1" s="591" t="s">
        <v>383</v>
      </c>
      <c r="C1" s="591" t="s">
        <v>384</v>
      </c>
      <c r="D1" s="591" t="s">
        <v>447</v>
      </c>
      <c r="E1" s="591" t="s">
        <v>386</v>
      </c>
      <c r="F1" s="591" t="s">
        <v>448</v>
      </c>
    </row>
    <row r="2" spans="1:6" ht="15.75">
      <c r="A2" s="577" t="s">
        <v>390</v>
      </c>
      <c r="B2" s="578">
        <f>SUM(B3:B4)</f>
        <v>180638</v>
      </c>
      <c r="C2" s="578">
        <f>SUM(C3:C4)</f>
        <v>37884</v>
      </c>
      <c r="D2" s="578">
        <f>SUM(D3:D4)</f>
        <v>218522</v>
      </c>
      <c r="E2" s="578">
        <f>SUM(E3:E4)</f>
        <v>0</v>
      </c>
      <c r="F2" s="578">
        <f>SUM(F3:F4)</f>
        <v>218522</v>
      </c>
    </row>
    <row r="3" spans="1:6" s="19" customFormat="1" ht="15.75">
      <c r="A3" s="581" t="s">
        <v>399</v>
      </c>
      <c r="B3" s="587">
        <v>125438</v>
      </c>
      <c r="C3" s="587">
        <v>8139</v>
      </c>
      <c r="D3" s="587">
        <f>SUM(B3:C3)</f>
        <v>133577</v>
      </c>
      <c r="E3" s="587">
        <v>0</v>
      </c>
      <c r="F3" s="587">
        <f>SUM(D3:E3)</f>
        <v>133577</v>
      </c>
    </row>
    <row r="4" spans="1:6" s="19" customFormat="1" ht="15.75">
      <c r="A4" s="581" t="s">
        <v>400</v>
      </c>
      <c r="B4" s="587">
        <v>55200</v>
      </c>
      <c r="C4" s="587">
        <v>29745</v>
      </c>
      <c r="D4" s="587">
        <f>SUM(B4:C4)</f>
        <v>84945</v>
      </c>
      <c r="E4" s="587">
        <v>0</v>
      </c>
      <c r="F4" s="587">
        <f>SUM(D4:E4)</f>
        <v>84945</v>
      </c>
    </row>
    <row r="5" spans="1:6" ht="15.75">
      <c r="A5" s="577" t="s">
        <v>391</v>
      </c>
      <c r="B5" s="578">
        <f>SUM(B6:B9)</f>
        <v>123447</v>
      </c>
      <c r="C5" s="578">
        <f>SUM(C6:C9)</f>
        <v>5877</v>
      </c>
      <c r="D5" s="578">
        <f>SUM(D6:D9)</f>
        <v>129324</v>
      </c>
      <c r="E5" s="578">
        <f>SUM(E6:E9)</f>
        <v>0</v>
      </c>
      <c r="F5" s="578">
        <f>SUM(F6:F9)</f>
        <v>129324</v>
      </c>
    </row>
    <row r="6" spans="1:6" ht="15.75">
      <c r="A6" s="579" t="s">
        <v>401</v>
      </c>
      <c r="B6" s="580">
        <v>59080</v>
      </c>
      <c r="C6" s="580">
        <v>268</v>
      </c>
      <c r="D6" s="580">
        <f>B6+C6</f>
        <v>59348</v>
      </c>
      <c r="E6" s="580">
        <v>0</v>
      </c>
      <c r="F6" s="580">
        <f>SUM(D6:E6)</f>
        <v>59348</v>
      </c>
    </row>
    <row r="7" spans="1:6" ht="15.75">
      <c r="A7" s="581" t="s">
        <v>402</v>
      </c>
      <c r="B7" s="580">
        <v>3278</v>
      </c>
      <c r="C7" s="580">
        <v>169</v>
      </c>
      <c r="D7" s="580">
        <f>B7+C7</f>
        <v>3447</v>
      </c>
      <c r="E7" s="580">
        <v>0</v>
      </c>
      <c r="F7" s="580">
        <f>SUM(D7:E7)</f>
        <v>3447</v>
      </c>
    </row>
    <row r="8" spans="1:6" ht="15.75">
      <c r="A8" s="579" t="s">
        <v>403</v>
      </c>
      <c r="B8" s="580">
        <v>1755</v>
      </c>
      <c r="C8" s="580">
        <v>0</v>
      </c>
      <c r="D8" s="580">
        <f>B8+C8</f>
        <v>1755</v>
      </c>
      <c r="E8" s="580">
        <v>0</v>
      </c>
      <c r="F8" s="580">
        <f>SUM(D8:E8)</f>
        <v>1755</v>
      </c>
    </row>
    <row r="9" spans="1:6" ht="15.75">
      <c r="A9" s="579" t="s">
        <v>404</v>
      </c>
      <c r="B9" s="580">
        <v>59334</v>
      </c>
      <c r="C9" s="580">
        <v>5440</v>
      </c>
      <c r="D9" s="580">
        <f>B9+C9</f>
        <v>64774</v>
      </c>
      <c r="E9" s="580">
        <v>0</v>
      </c>
      <c r="F9" s="580">
        <f>SUM(D9:E9)</f>
        <v>64774</v>
      </c>
    </row>
    <row r="10" spans="1:6" ht="13.5" customHeight="1">
      <c r="A10" s="577" t="s">
        <v>392</v>
      </c>
      <c r="B10" s="578">
        <f>SUM(B11:B14)</f>
        <v>469244</v>
      </c>
      <c r="C10" s="578">
        <f>SUM(C11:C14)</f>
        <v>277713</v>
      </c>
      <c r="D10" s="578">
        <f>SUM(D11:D14)</f>
        <v>746957</v>
      </c>
      <c r="E10" s="578">
        <f>SUM(E11:E14)</f>
        <v>0</v>
      </c>
      <c r="F10" s="578">
        <f>SUM(F11:F14)</f>
        <v>746957</v>
      </c>
    </row>
    <row r="11" spans="1:6" s="19" customFormat="1" ht="13.5" customHeight="1">
      <c r="A11" s="581" t="s">
        <v>405</v>
      </c>
      <c r="B11" s="587">
        <v>340501</v>
      </c>
      <c r="C11" s="587">
        <v>200108</v>
      </c>
      <c r="D11" s="587">
        <f>SUM(B11:C11)</f>
        <v>540609</v>
      </c>
      <c r="E11" s="587">
        <v>0</v>
      </c>
      <c r="F11" s="587">
        <f>SUM(D11:E11)</f>
        <v>540609</v>
      </c>
    </row>
    <row r="12" spans="1:6" s="19" customFormat="1" ht="13.5" customHeight="1">
      <c r="A12" s="581" t="s">
        <v>406</v>
      </c>
      <c r="B12" s="587">
        <v>110140</v>
      </c>
      <c r="C12" s="587">
        <v>66167</v>
      </c>
      <c r="D12" s="587">
        <f>SUM(B12:C12)</f>
        <v>176307</v>
      </c>
      <c r="E12" s="587">
        <v>0</v>
      </c>
      <c r="F12" s="587">
        <f>SUM(D12:E12)</f>
        <v>176307</v>
      </c>
    </row>
    <row r="13" spans="1:6" s="19" customFormat="1" ht="13.5" customHeight="1">
      <c r="A13" s="581" t="s">
        <v>407</v>
      </c>
      <c r="B13" s="587">
        <v>3347</v>
      </c>
      <c r="C13" s="587">
        <v>1169</v>
      </c>
      <c r="D13" s="587">
        <f>SUM(B13:C13)</f>
        <v>4516</v>
      </c>
      <c r="E13" s="587">
        <v>0</v>
      </c>
      <c r="F13" s="587">
        <f>SUM(D13:E13)</f>
        <v>4516</v>
      </c>
    </row>
    <row r="14" spans="1:6" s="19" customFormat="1" ht="13.5" customHeight="1">
      <c r="A14" s="581" t="s">
        <v>408</v>
      </c>
      <c r="B14" s="587">
        <v>15256</v>
      </c>
      <c r="C14" s="587">
        <v>10269</v>
      </c>
      <c r="D14" s="587">
        <f>SUM(B14:C14)</f>
        <v>25525</v>
      </c>
      <c r="E14" s="587">
        <v>0</v>
      </c>
      <c r="F14" s="587">
        <f>SUM(D14:E14)</f>
        <v>25525</v>
      </c>
    </row>
    <row r="15" spans="1:6" ht="15.75">
      <c r="A15" s="577" t="s">
        <v>393</v>
      </c>
      <c r="B15" s="578">
        <f>SUM(B16)</f>
        <v>3018</v>
      </c>
      <c r="C15" s="578">
        <f>SUM(C16)</f>
        <v>0</v>
      </c>
      <c r="D15" s="578">
        <f>SUM(D16)</f>
        <v>3018</v>
      </c>
      <c r="E15" s="578">
        <f>SUM(E16)</f>
        <v>0</v>
      </c>
      <c r="F15" s="578">
        <f>SUM(F16)</f>
        <v>3018</v>
      </c>
    </row>
    <row r="16" spans="1:6" ht="15.75">
      <c r="A16" s="579" t="s">
        <v>409</v>
      </c>
      <c r="B16" s="580">
        <v>3018</v>
      </c>
      <c r="C16" s="580">
        <v>0</v>
      </c>
      <c r="D16" s="580">
        <f>B16+C16</f>
        <v>3018</v>
      </c>
      <c r="E16" s="580">
        <v>0</v>
      </c>
      <c r="F16" s="580">
        <f>SUM(D16:E16)</f>
        <v>3018</v>
      </c>
    </row>
    <row r="17" spans="1:6" ht="15.75">
      <c r="A17" s="577" t="s">
        <v>394</v>
      </c>
      <c r="B17" s="578">
        <f>SUM(B18:B19)</f>
        <v>90281</v>
      </c>
      <c r="C17" s="578">
        <f>SUM(C18:C19)</f>
        <v>0</v>
      </c>
      <c r="D17" s="578">
        <f>SUM(D18:D19)</f>
        <v>90281</v>
      </c>
      <c r="E17" s="578">
        <f>SUM(E18:E19)</f>
        <v>0</v>
      </c>
      <c r="F17" s="578">
        <f>SUM(F18:F19)</f>
        <v>90281</v>
      </c>
    </row>
    <row r="18" spans="1:6" s="19" customFormat="1" ht="15.75">
      <c r="A18" s="581" t="s">
        <v>410</v>
      </c>
      <c r="B18" s="587">
        <v>73853</v>
      </c>
      <c r="C18" s="587">
        <v>0</v>
      </c>
      <c r="D18" s="587">
        <f>SUM(B18:C18)</f>
        <v>73853</v>
      </c>
      <c r="E18" s="587">
        <v>0</v>
      </c>
      <c r="F18" s="587">
        <f>SUM(D18:E18)</f>
        <v>73853</v>
      </c>
    </row>
    <row r="19" spans="1:6" s="19" customFormat="1" ht="15.75">
      <c r="A19" s="581" t="s">
        <v>411</v>
      </c>
      <c r="B19" s="587">
        <v>16428</v>
      </c>
      <c r="C19" s="587">
        <v>0</v>
      </c>
      <c r="D19" s="587">
        <f>SUM(B19:C19)</f>
        <v>16428</v>
      </c>
      <c r="E19" s="587">
        <v>0</v>
      </c>
      <c r="F19" s="587">
        <f>SUM(D19:E19)</f>
        <v>16428</v>
      </c>
    </row>
    <row r="20" spans="1:6" ht="15.75">
      <c r="A20" s="577" t="s">
        <v>439</v>
      </c>
      <c r="B20" s="578">
        <f>SUM(B21:B22)</f>
        <v>127968</v>
      </c>
      <c r="C20" s="578">
        <f>SUM(C21:C22)</f>
        <v>23061</v>
      </c>
      <c r="D20" s="578">
        <f>SUM(D21:D22)</f>
        <v>151029</v>
      </c>
      <c r="E20" s="578">
        <f>SUM(E21:E22)</f>
        <v>0</v>
      </c>
      <c r="F20" s="578">
        <f>SUM(F21:F22)</f>
        <v>151029</v>
      </c>
    </row>
    <row r="21" spans="1:6" s="19" customFormat="1" ht="15.75">
      <c r="A21" s="581" t="s">
        <v>412</v>
      </c>
      <c r="B21" s="587">
        <v>103384</v>
      </c>
      <c r="C21" s="587">
        <v>1470</v>
      </c>
      <c r="D21" s="587">
        <f>SUM(B21:C21)</f>
        <v>104854</v>
      </c>
      <c r="E21" s="587">
        <v>0</v>
      </c>
      <c r="F21" s="587">
        <f>SUM(D21:E21)</f>
        <v>104854</v>
      </c>
    </row>
    <row r="22" spans="1:6" s="19" customFormat="1" ht="15.75">
      <c r="A22" s="581" t="s">
        <v>413</v>
      </c>
      <c r="B22" s="587">
        <v>24584</v>
      </c>
      <c r="C22" s="587">
        <v>21591</v>
      </c>
      <c r="D22" s="587">
        <f>SUM(B22:C22)</f>
        <v>46175</v>
      </c>
      <c r="E22" s="587">
        <v>0</v>
      </c>
      <c r="F22" s="587">
        <f>SUM(D22:E22)</f>
        <v>46175</v>
      </c>
    </row>
    <row r="23" spans="1:6" ht="15.75">
      <c r="A23" s="577" t="s">
        <v>395</v>
      </c>
      <c r="B23" s="578">
        <f>SUM(B24:B26)</f>
        <v>9729</v>
      </c>
      <c r="C23" s="578">
        <f>SUM(C24:C26)</f>
        <v>628</v>
      </c>
      <c r="D23" s="578">
        <f>SUM(D24:D26)</f>
        <v>10357</v>
      </c>
      <c r="E23" s="578">
        <f>SUM(E24:E26)</f>
        <v>0</v>
      </c>
      <c r="F23" s="578">
        <f>SUM(F24:F26)</f>
        <v>10357</v>
      </c>
    </row>
    <row r="24" spans="1:6" ht="15.75">
      <c r="A24" s="579" t="s">
        <v>414</v>
      </c>
      <c r="B24" s="580">
        <v>928</v>
      </c>
      <c r="C24" s="580">
        <v>0</v>
      </c>
      <c r="D24" s="580">
        <f>B24+C24</f>
        <v>928</v>
      </c>
      <c r="E24" s="580">
        <v>0</v>
      </c>
      <c r="F24" s="580">
        <f>SUM(D24:E24)</f>
        <v>928</v>
      </c>
    </row>
    <row r="25" spans="1:6" ht="15.75">
      <c r="A25" s="579" t="s">
        <v>415</v>
      </c>
      <c r="B25" s="580">
        <v>2</v>
      </c>
      <c r="C25" s="580">
        <v>0</v>
      </c>
      <c r="D25" s="580">
        <f>B25+C25</f>
        <v>2</v>
      </c>
      <c r="E25" s="580">
        <v>0</v>
      </c>
      <c r="F25" s="580">
        <f>SUM(D25:E25)</f>
        <v>2</v>
      </c>
    </row>
    <row r="26" spans="1:6" ht="15.75">
      <c r="A26" s="579" t="s">
        <v>416</v>
      </c>
      <c r="B26" s="580">
        <v>8799</v>
      </c>
      <c r="C26" s="580">
        <v>628</v>
      </c>
      <c r="D26" s="580">
        <f>B26+C26</f>
        <v>9427</v>
      </c>
      <c r="E26" s="580">
        <v>0</v>
      </c>
      <c r="F26" s="580">
        <f>SUM(D26:E26)</f>
        <v>9427</v>
      </c>
    </row>
    <row r="27" spans="1:6" ht="15.75">
      <c r="A27" s="577" t="s">
        <v>396</v>
      </c>
      <c r="B27" s="578">
        <v>0</v>
      </c>
      <c r="C27" s="578">
        <v>0</v>
      </c>
      <c r="D27" s="578">
        <v>0</v>
      </c>
      <c r="E27" s="578">
        <v>0</v>
      </c>
      <c r="F27" s="578">
        <v>0</v>
      </c>
    </row>
    <row r="28" spans="1:6" ht="15.75">
      <c r="A28" s="577" t="s">
        <v>397</v>
      </c>
      <c r="B28" s="578">
        <f>SUM(B29:B31)</f>
        <v>30585</v>
      </c>
      <c r="C28" s="578">
        <f>SUM(C29:C31)</f>
        <v>1660</v>
      </c>
      <c r="D28" s="578">
        <f>SUM(D29:D31)</f>
        <v>32245</v>
      </c>
      <c r="E28" s="578">
        <f>SUM(E29:E31)</f>
        <v>0</v>
      </c>
      <c r="F28" s="578">
        <f>SUM(F29:F31)</f>
        <v>32245</v>
      </c>
    </row>
    <row r="29" spans="1:6" ht="15.75">
      <c r="A29" s="579" t="s">
        <v>440</v>
      </c>
      <c r="B29" s="580">
        <v>19508</v>
      </c>
      <c r="C29" s="580">
        <v>0</v>
      </c>
      <c r="D29" s="580">
        <f>B29+C29</f>
        <v>19508</v>
      </c>
      <c r="E29" s="580">
        <v>0</v>
      </c>
      <c r="F29" s="580">
        <f>SUM(D29:E29)</f>
        <v>19508</v>
      </c>
    </row>
    <row r="30" spans="1:6" ht="15.75">
      <c r="A30" s="579" t="s">
        <v>441</v>
      </c>
      <c r="B30" s="580">
        <v>11077</v>
      </c>
      <c r="C30" s="580">
        <v>0</v>
      </c>
      <c r="D30" s="580">
        <f>B30+C30</f>
        <v>11077</v>
      </c>
      <c r="E30" s="580">
        <v>0</v>
      </c>
      <c r="F30" s="580">
        <f>SUM(D30:E30)</f>
        <v>11077</v>
      </c>
    </row>
    <row r="31" spans="1:6" ht="15.75">
      <c r="A31" s="579" t="s">
        <v>417</v>
      </c>
      <c r="B31" s="580">
        <v>0</v>
      </c>
      <c r="C31" s="580">
        <v>1660</v>
      </c>
      <c r="D31" s="580">
        <f>B31+C31</f>
        <v>1660</v>
      </c>
      <c r="E31" s="580">
        <v>0</v>
      </c>
      <c r="F31" s="580">
        <f>SUM(D31:E31)</f>
        <v>1660</v>
      </c>
    </row>
    <row r="32" spans="1:6" ht="15.75">
      <c r="A32" s="582" t="s">
        <v>418</v>
      </c>
      <c r="B32" s="583">
        <f>B2+B5+B10+B15+B17+B20+B23+B27+B28</f>
        <v>1034910</v>
      </c>
      <c r="C32" s="583">
        <f>C2+C5+C10+C15+C17+C20+C23+C27+C28</f>
        <v>346823</v>
      </c>
      <c r="D32" s="583">
        <f>D2+D5+D10+D15+D17+D20+D23+D27+D28</f>
        <v>1381733</v>
      </c>
      <c r="E32" s="583">
        <f>E2+E5+E10+E15+E17+E20+E23+E27+E28</f>
        <v>0</v>
      </c>
      <c r="F32" s="583">
        <f>F2+F5+F10+F15+F17+F20+F23+F27+F28</f>
        <v>1381733</v>
      </c>
    </row>
    <row r="33" ht="12.75">
      <c r="C33" s="4">
        <f>SUM(B32:C32)</f>
        <v>1381733</v>
      </c>
    </row>
    <row r="34" spans="1:6" ht="27.75" customHeight="1">
      <c r="A34" s="585" t="s">
        <v>419</v>
      </c>
      <c r="B34" s="591" t="s">
        <v>383</v>
      </c>
      <c r="C34" s="591" t="s">
        <v>384</v>
      </c>
      <c r="D34" s="591" t="s">
        <v>447</v>
      </c>
      <c r="E34" s="591" t="s">
        <v>386</v>
      </c>
      <c r="F34" s="591" t="s">
        <v>448</v>
      </c>
    </row>
    <row r="35" spans="1:6" ht="15.75">
      <c r="A35" s="577" t="s">
        <v>420</v>
      </c>
      <c r="B35" s="578">
        <f>SUM(B36:B36)</f>
        <v>39282</v>
      </c>
      <c r="C35" s="578">
        <f>SUM(C36:C36)</f>
        <v>485</v>
      </c>
      <c r="D35" s="578">
        <f>SUM(D36:D36)</f>
        <v>39767</v>
      </c>
      <c r="E35" s="578">
        <f>SUM(E36:E36)</f>
        <v>0</v>
      </c>
      <c r="F35" s="578">
        <f>SUM(F36:F36)</f>
        <v>39767</v>
      </c>
    </row>
    <row r="36" spans="1:6" ht="15.75">
      <c r="A36" s="581" t="s">
        <v>421</v>
      </c>
      <c r="B36" s="587">
        <v>39282</v>
      </c>
      <c r="C36" s="587">
        <v>485</v>
      </c>
      <c r="D36" s="587">
        <f>SUM(B36:C36)</f>
        <v>39767</v>
      </c>
      <c r="E36" s="587">
        <v>0</v>
      </c>
      <c r="F36" s="587">
        <f>SUM(D36:E36)</f>
        <v>39767</v>
      </c>
    </row>
    <row r="37" spans="1:6" ht="15.75">
      <c r="A37" s="577" t="s">
        <v>422</v>
      </c>
      <c r="B37" s="578">
        <f>SUM(B38:B38)</f>
        <v>6081</v>
      </c>
      <c r="C37" s="578">
        <f>SUM(C38:C38)</f>
        <v>0</v>
      </c>
      <c r="D37" s="578">
        <f>SUM(D38:D38)</f>
        <v>6081</v>
      </c>
      <c r="E37" s="578">
        <f>SUM(E38:E38)</f>
        <v>0</v>
      </c>
      <c r="F37" s="578">
        <f>SUM(F38:F38)</f>
        <v>6081</v>
      </c>
    </row>
    <row r="38" spans="1:6" ht="15.75">
      <c r="A38" s="579" t="s">
        <v>423</v>
      </c>
      <c r="B38" s="580">
        <v>6081</v>
      </c>
      <c r="C38" s="580">
        <v>0</v>
      </c>
      <c r="D38" s="580">
        <f>B38+C38</f>
        <v>6081</v>
      </c>
      <c r="E38" s="580">
        <v>0</v>
      </c>
      <c r="F38" s="580">
        <f>SUM(D38:E38)</f>
        <v>6081</v>
      </c>
    </row>
    <row r="39" spans="1:6" ht="15.75">
      <c r="A39" s="577" t="s">
        <v>424</v>
      </c>
      <c r="B39" s="578">
        <f>SUM(B40:B41)</f>
        <v>715752</v>
      </c>
      <c r="C39" s="578">
        <f>SUM(C40:C41)</f>
        <v>0</v>
      </c>
      <c r="D39" s="578">
        <f>SUM(D40:D41)</f>
        <v>715752</v>
      </c>
      <c r="E39" s="578">
        <f>SUM(E40:E41)</f>
        <v>0</v>
      </c>
      <c r="F39" s="578">
        <f>SUM(F40:F41)</f>
        <v>715752</v>
      </c>
    </row>
    <row r="40" spans="1:6" ht="15.75">
      <c r="A40" s="581" t="s">
        <v>425</v>
      </c>
      <c r="B40" s="587">
        <v>692652</v>
      </c>
      <c r="C40" s="587">
        <v>0</v>
      </c>
      <c r="D40" s="587">
        <f>SUM(B40:C40)</f>
        <v>692652</v>
      </c>
      <c r="E40" s="587">
        <v>0</v>
      </c>
      <c r="F40" s="587">
        <f>SUM(D40:E40)</f>
        <v>692652</v>
      </c>
    </row>
    <row r="41" spans="1:6" ht="15.75">
      <c r="A41" s="581" t="s">
        <v>426</v>
      </c>
      <c r="B41" s="587">
        <v>23100</v>
      </c>
      <c r="C41" s="587">
        <v>0</v>
      </c>
      <c r="D41" s="587">
        <f>SUM(B41:C41)</f>
        <v>23100</v>
      </c>
      <c r="E41" s="587">
        <v>0</v>
      </c>
      <c r="F41" s="587">
        <f>SUM(D41:E41)</f>
        <v>23100</v>
      </c>
    </row>
    <row r="42" spans="1:6" ht="15.75">
      <c r="A42" s="577" t="s">
        <v>427</v>
      </c>
      <c r="B42" s="578">
        <f>SUM(B43:B46)</f>
        <v>148791</v>
      </c>
      <c r="C42" s="578">
        <f>SUM(C43:C46)</f>
        <v>1175</v>
      </c>
      <c r="D42" s="578">
        <f>SUM(D43:D46)</f>
        <v>149966</v>
      </c>
      <c r="E42" s="578">
        <f>SUM(E43:E46)</f>
        <v>0</v>
      </c>
      <c r="F42" s="578">
        <f>SUM(F43:F46)</f>
        <v>149966</v>
      </c>
    </row>
    <row r="43" spans="1:6" s="19" customFormat="1" ht="15.75">
      <c r="A43" s="581" t="s">
        <v>428</v>
      </c>
      <c r="B43" s="587">
        <v>25656</v>
      </c>
      <c r="C43" s="587">
        <v>0</v>
      </c>
      <c r="D43" s="587">
        <f>SUM(B43:C43)</f>
        <v>25656</v>
      </c>
      <c r="E43" s="587">
        <v>0</v>
      </c>
      <c r="F43" s="587">
        <f>SUM(D43:E43)</f>
        <v>25656</v>
      </c>
    </row>
    <row r="44" spans="1:6" ht="15.75">
      <c r="A44" s="579" t="s">
        <v>429</v>
      </c>
      <c r="B44" s="580">
        <v>750</v>
      </c>
      <c r="C44" s="580">
        <v>0</v>
      </c>
      <c r="D44" s="587">
        <f>SUM(B44:C44)</f>
        <v>750</v>
      </c>
      <c r="E44" s="580">
        <v>0</v>
      </c>
      <c r="F44" s="580">
        <f>SUM(D44:E44)</f>
        <v>750</v>
      </c>
    </row>
    <row r="45" spans="1:6" ht="15.75">
      <c r="A45" s="579" t="s">
        <v>430</v>
      </c>
      <c r="B45" s="580">
        <v>70</v>
      </c>
      <c r="C45" s="580">
        <v>0</v>
      </c>
      <c r="D45" s="587">
        <f>SUM(B45:C45)</f>
        <v>70</v>
      </c>
      <c r="E45" s="580">
        <v>0</v>
      </c>
      <c r="F45" s="580">
        <f>SUM(D45:E45)</f>
        <v>70</v>
      </c>
    </row>
    <row r="46" spans="1:6" ht="15.75">
      <c r="A46" s="579" t="s">
        <v>427</v>
      </c>
      <c r="B46" s="580">
        <v>122315</v>
      </c>
      <c r="C46" s="580">
        <v>1175</v>
      </c>
      <c r="D46" s="587">
        <f>SUM(B46:C46)</f>
        <v>123490</v>
      </c>
      <c r="E46" s="580">
        <v>0</v>
      </c>
      <c r="F46" s="580">
        <f>SUM(D46:E46)</f>
        <v>123490</v>
      </c>
    </row>
    <row r="47" spans="1:6" ht="15.75">
      <c r="A47" s="577" t="s">
        <v>431</v>
      </c>
      <c r="B47" s="578">
        <f>SUM(B48:B48)</f>
        <v>15402</v>
      </c>
      <c r="C47" s="578">
        <f>SUM(C48:C48)</f>
        <v>7635</v>
      </c>
      <c r="D47" s="578">
        <f>SUM(D48:D48)</f>
        <v>23037</v>
      </c>
      <c r="E47" s="578">
        <f>SUM(E48:E48)</f>
        <v>0</v>
      </c>
      <c r="F47" s="578">
        <f>SUM(F48:F48)</f>
        <v>23037</v>
      </c>
    </row>
    <row r="48" spans="1:6" ht="15.75">
      <c r="A48" s="581" t="s">
        <v>432</v>
      </c>
      <c r="B48" s="587">
        <v>15402</v>
      </c>
      <c r="C48" s="587">
        <v>7635</v>
      </c>
      <c r="D48" s="587">
        <f>SUM(B48:C48)</f>
        <v>23037</v>
      </c>
      <c r="E48" s="587">
        <v>0</v>
      </c>
      <c r="F48" s="587">
        <f>SUM(D48:E48)</f>
        <v>23037</v>
      </c>
    </row>
    <row r="49" spans="1:6" ht="15.75">
      <c r="A49" s="577" t="s">
        <v>433</v>
      </c>
      <c r="B49" s="578">
        <f>SUM(B50:B51)</f>
        <v>3694</v>
      </c>
      <c r="C49" s="578">
        <f>SUM(C50:C51)</f>
        <v>24</v>
      </c>
      <c r="D49" s="578">
        <f>SUM(D50:D51)</f>
        <v>3718</v>
      </c>
      <c r="E49" s="578">
        <f>SUM(E50:E51)</f>
        <v>0</v>
      </c>
      <c r="F49" s="578">
        <f>SUM(F50:F51)</f>
        <v>3718</v>
      </c>
    </row>
    <row r="50" spans="1:6" ht="15.75">
      <c r="A50" s="579" t="s">
        <v>414</v>
      </c>
      <c r="B50" s="580">
        <v>3692</v>
      </c>
      <c r="C50" s="580">
        <v>24</v>
      </c>
      <c r="D50" s="580">
        <f>B50+C50</f>
        <v>3716</v>
      </c>
      <c r="E50" s="580">
        <v>0</v>
      </c>
      <c r="F50" s="580">
        <f>SUM(D50:E50)</f>
        <v>3716</v>
      </c>
    </row>
    <row r="51" spans="1:6" ht="15.75">
      <c r="A51" s="579" t="s">
        <v>434</v>
      </c>
      <c r="B51" s="580">
        <v>2</v>
      </c>
      <c r="C51" s="580">
        <v>0</v>
      </c>
      <c r="D51" s="580">
        <f>B51+C51</f>
        <v>2</v>
      </c>
      <c r="E51" s="580">
        <v>0</v>
      </c>
      <c r="F51" s="580">
        <f>SUM(D51:E51)</f>
        <v>2</v>
      </c>
    </row>
    <row r="52" spans="1:6" ht="15.75">
      <c r="A52" s="577" t="s">
        <v>435</v>
      </c>
      <c r="B52" s="578">
        <v>0</v>
      </c>
      <c r="C52" s="578">
        <v>0</v>
      </c>
      <c r="D52" s="578">
        <v>0</v>
      </c>
      <c r="E52" s="578">
        <v>0</v>
      </c>
      <c r="F52" s="578">
        <v>0</v>
      </c>
    </row>
    <row r="53" spans="1:6" ht="15.75">
      <c r="A53" s="577" t="s">
        <v>436</v>
      </c>
      <c r="B53" s="578">
        <f>SUM(B54:B59)</f>
        <v>113657</v>
      </c>
      <c r="C53" s="578">
        <f>SUM(C54:C59)</f>
        <v>327889</v>
      </c>
      <c r="D53" s="578">
        <f>SUM(D54:D59)</f>
        <v>441546</v>
      </c>
      <c r="E53" s="578">
        <f>SUM(E54:E59)</f>
        <v>0</v>
      </c>
      <c r="F53" s="578">
        <f>SUM(F54:F59)</f>
        <v>441546</v>
      </c>
    </row>
    <row r="54" spans="1:6" ht="15.75">
      <c r="A54" s="579" t="s">
        <v>437</v>
      </c>
      <c r="B54" s="580">
        <v>0</v>
      </c>
      <c r="C54" s="580">
        <v>18178</v>
      </c>
      <c r="D54" s="580">
        <f aca="true" t="shared" si="0" ref="D54:D59">B54+C54</f>
        <v>18178</v>
      </c>
      <c r="E54" s="580">
        <v>0</v>
      </c>
      <c r="F54" s="580">
        <f aca="true" t="shared" si="1" ref="F54:F59">SUM(D54:E54)</f>
        <v>18178</v>
      </c>
    </row>
    <row r="55" spans="1:6" ht="15.75">
      <c r="A55" s="579" t="s">
        <v>442</v>
      </c>
      <c r="B55" s="580">
        <v>93259</v>
      </c>
      <c r="C55" s="580">
        <v>306911</v>
      </c>
      <c r="D55" s="580">
        <f t="shared" si="0"/>
        <v>400170</v>
      </c>
      <c r="E55" s="580">
        <v>0</v>
      </c>
      <c r="F55" s="580">
        <f t="shared" si="1"/>
        <v>400170</v>
      </c>
    </row>
    <row r="56" spans="1:6" ht="15.75">
      <c r="A56" s="579" t="s">
        <v>443</v>
      </c>
      <c r="B56" s="580">
        <v>12118</v>
      </c>
      <c r="C56" s="580">
        <v>1470</v>
      </c>
      <c r="D56" s="580">
        <f t="shared" si="0"/>
        <v>13588</v>
      </c>
      <c r="E56" s="580">
        <v>0</v>
      </c>
      <c r="F56" s="580">
        <f t="shared" si="1"/>
        <v>13588</v>
      </c>
    </row>
    <row r="57" spans="1:6" ht="15.75">
      <c r="A57" s="579" t="s">
        <v>444</v>
      </c>
      <c r="B57" s="580">
        <v>1250</v>
      </c>
      <c r="C57" s="580">
        <v>1330</v>
      </c>
      <c r="D57" s="580">
        <f t="shared" si="0"/>
        <v>2580</v>
      </c>
      <c r="E57" s="580">
        <v>0</v>
      </c>
      <c r="F57" s="580">
        <f t="shared" si="1"/>
        <v>2580</v>
      </c>
    </row>
    <row r="58" spans="1:6" ht="15.75">
      <c r="A58" s="579" t="s">
        <v>445</v>
      </c>
      <c r="B58" s="580">
        <v>4040</v>
      </c>
      <c r="C58" s="580">
        <v>0</v>
      </c>
      <c r="D58" s="580">
        <f t="shared" si="0"/>
        <v>4040</v>
      </c>
      <c r="E58" s="580">
        <v>0</v>
      </c>
      <c r="F58" s="580">
        <f t="shared" si="1"/>
        <v>4040</v>
      </c>
    </row>
    <row r="59" spans="1:6" ht="15.75">
      <c r="A59" s="579" t="s">
        <v>446</v>
      </c>
      <c r="B59" s="580">
        <v>2990</v>
      </c>
      <c r="C59" s="580">
        <v>0</v>
      </c>
      <c r="D59" s="580">
        <f t="shared" si="0"/>
        <v>2990</v>
      </c>
      <c r="E59" s="580">
        <v>0</v>
      </c>
      <c r="F59" s="580">
        <f t="shared" si="1"/>
        <v>2990</v>
      </c>
    </row>
    <row r="60" spans="1:6" ht="15.75">
      <c r="A60" s="582" t="s">
        <v>438</v>
      </c>
      <c r="B60" s="583">
        <f>B35+B37+B39+B42+B47+B49+B52+B53</f>
        <v>1042659</v>
      </c>
      <c r="C60" s="583">
        <f>C35+C37+C39+C42+C47+C49+C52+C53</f>
        <v>337208</v>
      </c>
      <c r="D60" s="583">
        <f>D35+D37+D39+D42+D47+D49+D52+D53</f>
        <v>1379867</v>
      </c>
      <c r="E60" s="583">
        <f>E35+E37+E39+E42+E47+E49+E52+E53</f>
        <v>0</v>
      </c>
      <c r="F60" s="583">
        <f>F35+F37+F39+F42+F47+F49+F52+F53</f>
        <v>1379867</v>
      </c>
    </row>
    <row r="61" spans="1:6" ht="15.75">
      <c r="A61" s="577" t="s">
        <v>340</v>
      </c>
      <c r="B61" s="578">
        <f>B60-B32</f>
        <v>7749</v>
      </c>
      <c r="C61" s="578">
        <f>C60-C32</f>
        <v>-9615</v>
      </c>
      <c r="D61" s="578">
        <f>D60-D32</f>
        <v>-1866</v>
      </c>
      <c r="E61" s="578">
        <f>E60-E32</f>
        <v>0</v>
      </c>
      <c r="F61" s="578">
        <f>F60-F32</f>
        <v>-1866</v>
      </c>
    </row>
    <row r="62" ht="12.75">
      <c r="C62" s="4">
        <f>SUM(B60:C60)</f>
        <v>1379867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Tkacik</dc:creator>
  <cp:keywords/>
  <dc:description/>
  <cp:lastModifiedBy>Dane</cp:lastModifiedBy>
  <cp:lastPrinted>2010-05-26T06:37:47Z</cp:lastPrinted>
  <dcterms:created xsi:type="dcterms:W3CDTF">2007-12-02T16:29:08Z</dcterms:created>
  <dcterms:modified xsi:type="dcterms:W3CDTF">2010-01-29T11:59:43Z</dcterms:modified>
  <cp:category/>
  <cp:version/>
  <cp:contentType/>
  <cp:contentStatus/>
</cp:coreProperties>
</file>