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2"/>
  </bookViews>
  <sheets>
    <sheet name="opatrenia" sheetId="8" r:id="rId1"/>
    <sheet name="úpravy" sheetId="3" r:id="rId2"/>
    <sheet name="7.zmena" sheetId="16" r:id="rId3"/>
    <sheet name="6.zmena" sheetId="15" r:id="rId4"/>
    <sheet name="5.zmena" sheetId="13" r:id="rId5"/>
    <sheet name="4.zmena" sheetId="12" r:id="rId6"/>
    <sheet name="3.zmena" sheetId="11" r:id="rId7"/>
    <sheet name="2.zmena" sheetId="10" r:id="rId8"/>
    <sheet name="1.zmena" sheetId="7" r:id="rId9"/>
    <sheet name="2017" sheetId="6" r:id="rId10"/>
    <sheet name="17-19" sheetId="2" r:id="rId11"/>
    <sheet name="ESA" sheetId="14" r:id="rId12"/>
  </sheets>
  <calcPr calcId="152511"/>
</workbook>
</file>

<file path=xl/calcChain.xml><?xml version="1.0" encoding="utf-8"?>
<calcChain xmlns="http://schemas.openxmlformats.org/spreadsheetml/2006/main">
  <c r="J95" i="16" l="1"/>
  <c r="J93" i="16"/>
  <c r="J159" i="16"/>
  <c r="D173" i="16"/>
  <c r="E173" i="16"/>
  <c r="F173" i="16"/>
  <c r="G173" i="16"/>
  <c r="H173" i="16"/>
  <c r="I173" i="16"/>
  <c r="J173" i="16"/>
  <c r="K173" i="16"/>
  <c r="K28" i="16"/>
  <c r="J174" i="16"/>
  <c r="L175" i="16"/>
  <c r="C11" i="3"/>
  <c r="C28" i="3" l="1"/>
  <c r="J176" i="16"/>
  <c r="J28" i="16"/>
  <c r="L29" i="16" l="1"/>
  <c r="J105" i="16"/>
  <c r="J107" i="16"/>
  <c r="C43" i="3"/>
  <c r="K153" i="16"/>
  <c r="J124" i="16"/>
  <c r="M200" i="16"/>
  <c r="N174" i="16"/>
  <c r="N177" i="16"/>
  <c r="N178" i="16"/>
  <c r="N180" i="16"/>
  <c r="N181" i="16"/>
  <c r="N141" i="16"/>
  <c r="M141" i="16"/>
  <c r="N134" i="16"/>
  <c r="C32" i="3"/>
  <c r="J64" i="16"/>
  <c r="J63" i="16"/>
  <c r="K48" i="16"/>
  <c r="K41" i="16"/>
  <c r="I16" i="16"/>
  <c r="I40" i="15"/>
  <c r="I16" i="15"/>
  <c r="J41" i="16"/>
  <c r="I41" i="16"/>
  <c r="N31" i="16"/>
  <c r="N32" i="16"/>
  <c r="N17" i="16"/>
  <c r="J31" i="16"/>
  <c r="J26" i="16"/>
  <c r="J16" i="16"/>
  <c r="M17" i="16" s="1"/>
  <c r="J15" i="16"/>
  <c r="N11" i="16"/>
  <c r="M11" i="16"/>
  <c r="J5" i="16"/>
  <c r="D27" i="3"/>
  <c r="D23" i="3"/>
  <c r="D50" i="3"/>
  <c r="D47" i="3"/>
  <c r="D38" i="3"/>
  <c r="C54" i="3"/>
  <c r="D52" i="3" l="1"/>
  <c r="C13" i="3"/>
  <c r="D54" i="3" l="1"/>
  <c r="D55" i="3" s="1"/>
  <c r="D20" i="3"/>
  <c r="D7" i="3" s="1"/>
  <c r="D31" i="3" s="1"/>
  <c r="D34" i="3" s="1"/>
  <c r="D56" i="3" l="1"/>
  <c r="C38" i="3" l="1"/>
  <c r="E38" i="3" s="1"/>
  <c r="K122" i="16" l="1"/>
  <c r="J108" i="16" l="1"/>
  <c r="J73" i="16"/>
  <c r="J61" i="16"/>
  <c r="J42" i="16"/>
  <c r="J39" i="16"/>
  <c r="J36" i="16"/>
  <c r="L141" i="16" l="1"/>
  <c r="L146" i="16"/>
  <c r="L150" i="16"/>
  <c r="L155" i="16"/>
  <c r="L156" i="16"/>
  <c r="L161" i="16"/>
  <c r="L164" i="16"/>
  <c r="L166" i="16"/>
  <c r="L174" i="16"/>
  <c r="L181" i="16"/>
  <c r="L73" i="16"/>
  <c r="L74" i="16"/>
  <c r="L86" i="16"/>
  <c r="L88" i="16"/>
  <c r="L97" i="16"/>
  <c r="L107" i="16"/>
  <c r="L108" i="16"/>
  <c r="L113" i="16"/>
  <c r="L118" i="16"/>
  <c r="L119" i="16"/>
  <c r="L122" i="16"/>
  <c r="L124" i="16"/>
  <c r="J59" i="16"/>
  <c r="L5" i="16"/>
  <c r="L7" i="16"/>
  <c r="L8" i="16"/>
  <c r="L9" i="16"/>
  <c r="L10" i="16"/>
  <c r="L11" i="16"/>
  <c r="L13" i="16"/>
  <c r="L14" i="16"/>
  <c r="L15" i="16"/>
  <c r="L16" i="16"/>
  <c r="L17" i="16"/>
  <c r="L18" i="16"/>
  <c r="L20" i="16"/>
  <c r="L21" i="16"/>
  <c r="L23" i="16"/>
  <c r="L24" i="16"/>
  <c r="L25" i="16"/>
  <c r="L26" i="16"/>
  <c r="L27" i="16"/>
  <c r="L28" i="16"/>
  <c r="L31" i="16"/>
  <c r="L32" i="16"/>
  <c r="L34" i="16"/>
  <c r="L36" i="16"/>
  <c r="L37" i="16"/>
  <c r="L38" i="16"/>
  <c r="L39" i="16"/>
  <c r="L42" i="16"/>
  <c r="L46" i="16"/>
  <c r="L47" i="16"/>
  <c r="L48" i="16"/>
  <c r="L49" i="16"/>
  <c r="L52" i="16"/>
  <c r="L53" i="16"/>
  <c r="L54" i="16"/>
  <c r="L56" i="16"/>
  <c r="L59" i="16"/>
  <c r="L60" i="16"/>
  <c r="L61" i="16"/>
  <c r="L64" i="16"/>
  <c r="K179" i="16"/>
  <c r="K194" i="16" s="1"/>
  <c r="J179" i="16"/>
  <c r="I179" i="16"/>
  <c r="H179" i="16"/>
  <c r="H194" i="16" s="1"/>
  <c r="G179" i="16"/>
  <c r="G194" i="16" s="1"/>
  <c r="F179" i="16"/>
  <c r="F194" i="16" s="1"/>
  <c r="E179" i="16"/>
  <c r="E194" i="16" s="1"/>
  <c r="D179" i="16"/>
  <c r="D194" i="16" s="1"/>
  <c r="C179" i="16"/>
  <c r="C194" i="16" s="1"/>
  <c r="G178" i="16"/>
  <c r="F178" i="16"/>
  <c r="E178" i="16"/>
  <c r="D178" i="16"/>
  <c r="C178" i="16"/>
  <c r="L176" i="16"/>
  <c r="I176" i="16"/>
  <c r="H176" i="16"/>
  <c r="G176" i="16"/>
  <c r="F176" i="16"/>
  <c r="E176" i="16"/>
  <c r="E193" i="16" s="1"/>
  <c r="E195" i="16" s="1"/>
  <c r="D176" i="16"/>
  <c r="C176" i="16"/>
  <c r="C173" i="16" s="1"/>
  <c r="J167" i="16"/>
  <c r="L167" i="16" s="1"/>
  <c r="I167" i="16"/>
  <c r="H167" i="16"/>
  <c r="G165" i="16"/>
  <c r="F165" i="16"/>
  <c r="E165" i="16"/>
  <c r="J162" i="16"/>
  <c r="L162" i="16" s="1"/>
  <c r="I162" i="16"/>
  <c r="H162" i="16"/>
  <c r="G162" i="16"/>
  <c r="L159" i="16"/>
  <c r="I159" i="16"/>
  <c r="H159" i="16"/>
  <c r="G159" i="16"/>
  <c r="G158" i="16"/>
  <c r="J154" i="16"/>
  <c r="L154" i="16" s="1"/>
  <c r="I154" i="16"/>
  <c r="H154" i="16"/>
  <c r="J153" i="16"/>
  <c r="I153" i="16"/>
  <c r="H153" i="16"/>
  <c r="G153" i="16"/>
  <c r="F153" i="16"/>
  <c r="E153" i="16"/>
  <c r="J152" i="16"/>
  <c r="L152" i="16" s="1"/>
  <c r="I152" i="16"/>
  <c r="H152" i="16"/>
  <c r="G152" i="16"/>
  <c r="G147" i="16"/>
  <c r="F147" i="16"/>
  <c r="G144" i="16"/>
  <c r="F144" i="16"/>
  <c r="E144" i="16"/>
  <c r="K142" i="16"/>
  <c r="K191" i="16" s="1"/>
  <c r="D142" i="16"/>
  <c r="D191" i="16" s="1"/>
  <c r="C142" i="16"/>
  <c r="C191" i="16" s="1"/>
  <c r="G139" i="16"/>
  <c r="F139" i="16"/>
  <c r="E139" i="16"/>
  <c r="G137" i="16"/>
  <c r="F137" i="16"/>
  <c r="E137" i="16"/>
  <c r="D137" i="16"/>
  <c r="D132" i="16" s="1"/>
  <c r="D190" i="16" s="1"/>
  <c r="D192" i="16" s="1"/>
  <c r="G135" i="16"/>
  <c r="F135" i="16"/>
  <c r="E135" i="16"/>
  <c r="J134" i="16"/>
  <c r="I134" i="16"/>
  <c r="H134" i="16"/>
  <c r="H132" i="16" s="1"/>
  <c r="H190" i="16" s="1"/>
  <c r="K132" i="16"/>
  <c r="J132" i="16"/>
  <c r="I132" i="16"/>
  <c r="I190" i="16" s="1"/>
  <c r="C132" i="16"/>
  <c r="C190" i="16" s="1"/>
  <c r="G124" i="16"/>
  <c r="F124" i="16"/>
  <c r="E124" i="16"/>
  <c r="D124" i="16"/>
  <c r="C124" i="16"/>
  <c r="K121" i="16"/>
  <c r="C121" i="16"/>
  <c r="C123" i="16" s="1"/>
  <c r="J117" i="16"/>
  <c r="L117" i="16" s="1"/>
  <c r="I117" i="16"/>
  <c r="H117" i="16"/>
  <c r="G117" i="16"/>
  <c r="F117" i="16"/>
  <c r="E117" i="16"/>
  <c r="D117" i="16"/>
  <c r="C117" i="16"/>
  <c r="J116" i="16"/>
  <c r="L116" i="16" s="1"/>
  <c r="I116" i="16"/>
  <c r="H116" i="16"/>
  <c r="G116" i="16"/>
  <c r="F116" i="16"/>
  <c r="E116" i="16"/>
  <c r="D116" i="16"/>
  <c r="C116" i="16"/>
  <c r="J115" i="16"/>
  <c r="L115" i="16" s="1"/>
  <c r="I115" i="16"/>
  <c r="H115" i="16"/>
  <c r="H114" i="16" s="1"/>
  <c r="G115" i="16"/>
  <c r="G114" i="16" s="1"/>
  <c r="F115" i="16"/>
  <c r="E115" i="16"/>
  <c r="D115" i="16"/>
  <c r="D114" i="16" s="1"/>
  <c r="C115" i="16"/>
  <c r="K114" i="16"/>
  <c r="I114" i="16"/>
  <c r="J112" i="16"/>
  <c r="L112" i="16" s="1"/>
  <c r="I112" i="16"/>
  <c r="H112" i="16"/>
  <c r="G112" i="16"/>
  <c r="F112" i="16"/>
  <c r="E112" i="16"/>
  <c r="D112" i="16"/>
  <c r="C112" i="16"/>
  <c r="J111" i="16"/>
  <c r="L111" i="16" s="1"/>
  <c r="I111" i="16"/>
  <c r="H111" i="16"/>
  <c r="J110" i="16"/>
  <c r="L110" i="16" s="1"/>
  <c r="I110" i="16"/>
  <c r="H110" i="16"/>
  <c r="J109" i="16"/>
  <c r="L109" i="16" s="1"/>
  <c r="I109" i="16"/>
  <c r="H109" i="16"/>
  <c r="I108" i="16"/>
  <c r="H108" i="16"/>
  <c r="G108" i="16"/>
  <c r="F108" i="16"/>
  <c r="E108" i="16"/>
  <c r="D108" i="16"/>
  <c r="C108" i="16"/>
  <c r="I107" i="16"/>
  <c r="H107" i="16"/>
  <c r="G107" i="16"/>
  <c r="F107" i="16"/>
  <c r="E107" i="16"/>
  <c r="D107" i="16"/>
  <c r="K106" i="16"/>
  <c r="C106" i="16"/>
  <c r="L105" i="16"/>
  <c r="I105" i="16"/>
  <c r="I100" i="16" s="1"/>
  <c r="H105" i="16"/>
  <c r="G105" i="16"/>
  <c r="F105" i="16"/>
  <c r="E105" i="16"/>
  <c r="J104" i="16"/>
  <c r="L104" i="16" s="1"/>
  <c r="I104" i="16"/>
  <c r="H104" i="16"/>
  <c r="G104" i="16"/>
  <c r="F104" i="16"/>
  <c r="E104" i="16"/>
  <c r="D104" i="16"/>
  <c r="C104" i="16"/>
  <c r="J103" i="16"/>
  <c r="L103" i="16" s="1"/>
  <c r="I103" i="16"/>
  <c r="H103" i="16"/>
  <c r="G103" i="16"/>
  <c r="F103" i="16"/>
  <c r="E103" i="16"/>
  <c r="D103" i="16"/>
  <c r="C103" i="16"/>
  <c r="J102" i="16"/>
  <c r="L102" i="16" s="1"/>
  <c r="I102" i="16"/>
  <c r="H102" i="16"/>
  <c r="G102" i="16"/>
  <c r="F102" i="16"/>
  <c r="E102" i="16"/>
  <c r="D102" i="16"/>
  <c r="C102" i="16"/>
  <c r="J101" i="16"/>
  <c r="L101" i="16" s="1"/>
  <c r="I101" i="16"/>
  <c r="H101" i="16"/>
  <c r="G101" i="16"/>
  <c r="F101" i="16"/>
  <c r="E101" i="16"/>
  <c r="D101" i="16"/>
  <c r="C101" i="16"/>
  <c r="K100" i="16"/>
  <c r="D100" i="16"/>
  <c r="C100" i="16"/>
  <c r="J99" i="16"/>
  <c r="L99" i="16" s="1"/>
  <c r="I99" i="16"/>
  <c r="H99" i="16"/>
  <c r="G99" i="16"/>
  <c r="J98" i="16"/>
  <c r="J96" i="16" s="1"/>
  <c r="I98" i="16"/>
  <c r="I96" i="16" s="1"/>
  <c r="H98" i="16"/>
  <c r="G98" i="16"/>
  <c r="G96" i="16" s="1"/>
  <c r="F98" i="16"/>
  <c r="F96" i="16" s="1"/>
  <c r="E98" i="16"/>
  <c r="E96" i="16" s="1"/>
  <c r="D98" i="16"/>
  <c r="D96" i="16" s="1"/>
  <c r="K96" i="16"/>
  <c r="C96" i="16"/>
  <c r="L95" i="16"/>
  <c r="I95" i="16"/>
  <c r="H95" i="16"/>
  <c r="G95" i="16"/>
  <c r="F95" i="16"/>
  <c r="E95" i="16"/>
  <c r="D95" i="16"/>
  <c r="C95" i="16"/>
  <c r="J94" i="16"/>
  <c r="L94" i="16" s="1"/>
  <c r="I94" i="16"/>
  <c r="H94" i="16"/>
  <c r="G94" i="16"/>
  <c r="J92" i="16"/>
  <c r="I93" i="16"/>
  <c r="H93" i="16"/>
  <c r="G93" i="16"/>
  <c r="G92" i="16" s="1"/>
  <c r="F93" i="16"/>
  <c r="F92" i="16" s="1"/>
  <c r="E93" i="16"/>
  <c r="D93" i="16"/>
  <c r="D92" i="16" s="1"/>
  <c r="K92" i="16"/>
  <c r="C92" i="16"/>
  <c r="J91" i="16"/>
  <c r="L91" i="16" s="1"/>
  <c r="I91" i="16"/>
  <c r="H91" i="16"/>
  <c r="G91" i="16"/>
  <c r="F91" i="16"/>
  <c r="E91" i="16"/>
  <c r="D91" i="16"/>
  <c r="C91" i="16"/>
  <c r="J90" i="16"/>
  <c r="L90" i="16" s="1"/>
  <c r="I90" i="16"/>
  <c r="H90" i="16"/>
  <c r="J89" i="16"/>
  <c r="L89" i="16" s="1"/>
  <c r="I89" i="16"/>
  <c r="H89" i="16"/>
  <c r="J88" i="16"/>
  <c r="I88" i="16"/>
  <c r="H88" i="16"/>
  <c r="G88" i="16"/>
  <c r="F88" i="16"/>
  <c r="E88" i="16"/>
  <c r="D88" i="16"/>
  <c r="D87" i="16" s="1"/>
  <c r="C88" i="16"/>
  <c r="K87" i="16"/>
  <c r="J85" i="16"/>
  <c r="L85" i="16" s="1"/>
  <c r="I85" i="16"/>
  <c r="H85" i="16"/>
  <c r="G85" i="16"/>
  <c r="J84" i="16"/>
  <c r="L84" i="16" s="1"/>
  <c r="I84" i="16"/>
  <c r="H84" i="16"/>
  <c r="G84" i="16"/>
  <c r="J83" i="16"/>
  <c r="L83" i="16" s="1"/>
  <c r="I83" i="16"/>
  <c r="H83" i="16"/>
  <c r="H82" i="16" s="1"/>
  <c r="G83" i="16"/>
  <c r="G82" i="16" s="1"/>
  <c r="F83" i="16"/>
  <c r="E83" i="16"/>
  <c r="E82" i="16" s="1"/>
  <c r="D83" i="16"/>
  <c r="D82" i="16" s="1"/>
  <c r="C83" i="16"/>
  <c r="C82" i="16" s="1"/>
  <c r="K82" i="16"/>
  <c r="F82" i="16"/>
  <c r="J81" i="16"/>
  <c r="L81" i="16" s="1"/>
  <c r="I81" i="16"/>
  <c r="J80" i="16"/>
  <c r="L80" i="16" s="1"/>
  <c r="I80" i="16"/>
  <c r="H80" i="16"/>
  <c r="G80" i="16"/>
  <c r="G79" i="16" s="1"/>
  <c r="F80" i="16"/>
  <c r="F79" i="16" s="1"/>
  <c r="K79" i="16"/>
  <c r="H79" i="16"/>
  <c r="E79" i="16"/>
  <c r="D79" i="16"/>
  <c r="C79" i="16"/>
  <c r="J78" i="16"/>
  <c r="L78" i="16" s="1"/>
  <c r="I78" i="16"/>
  <c r="H78" i="16"/>
  <c r="H77" i="16" s="1"/>
  <c r="G78" i="16"/>
  <c r="G77" i="16" s="1"/>
  <c r="F78" i="16"/>
  <c r="F77" i="16" s="1"/>
  <c r="E78" i="16"/>
  <c r="E77" i="16" s="1"/>
  <c r="D78" i="16"/>
  <c r="D77" i="16" s="1"/>
  <c r="K77" i="16"/>
  <c r="J77" i="16"/>
  <c r="C77" i="16"/>
  <c r="J76" i="16"/>
  <c r="L76" i="16" s="1"/>
  <c r="I76" i="16"/>
  <c r="H76" i="16"/>
  <c r="J75" i="16"/>
  <c r="L75" i="16" s="1"/>
  <c r="I75" i="16"/>
  <c r="H75" i="16"/>
  <c r="G75" i="16"/>
  <c r="F75" i="16"/>
  <c r="E75" i="16"/>
  <c r="E71" i="16" s="1"/>
  <c r="D75" i="16"/>
  <c r="C75" i="16"/>
  <c r="I73" i="16"/>
  <c r="H73" i="16"/>
  <c r="G73" i="16"/>
  <c r="F73" i="16"/>
  <c r="E73" i="16"/>
  <c r="D73" i="16"/>
  <c r="C73" i="16"/>
  <c r="J72" i="16"/>
  <c r="L72" i="16" s="1"/>
  <c r="I72" i="16"/>
  <c r="H72" i="16"/>
  <c r="G72" i="16"/>
  <c r="F72" i="16"/>
  <c r="E72" i="16"/>
  <c r="D72" i="16"/>
  <c r="C72" i="16"/>
  <c r="K71" i="16"/>
  <c r="K65" i="16"/>
  <c r="C65" i="16"/>
  <c r="J65" i="16"/>
  <c r="I63" i="16"/>
  <c r="I65" i="16" s="1"/>
  <c r="H63" i="16"/>
  <c r="H65" i="16" s="1"/>
  <c r="G63" i="16"/>
  <c r="G65" i="16" s="1"/>
  <c r="F63" i="16"/>
  <c r="F65" i="16" s="1"/>
  <c r="E63" i="16"/>
  <c r="E65" i="16" s="1"/>
  <c r="D63" i="16"/>
  <c r="I61" i="16"/>
  <c r="H61" i="16"/>
  <c r="G61" i="16"/>
  <c r="F61" i="16"/>
  <c r="E61" i="16"/>
  <c r="D61" i="16"/>
  <c r="I59" i="16"/>
  <c r="H59" i="16"/>
  <c r="G59" i="16"/>
  <c r="F59" i="16"/>
  <c r="E59" i="16"/>
  <c r="D59" i="16"/>
  <c r="J58" i="16"/>
  <c r="L58" i="16" s="1"/>
  <c r="I58" i="16"/>
  <c r="H58" i="16"/>
  <c r="G58" i="16"/>
  <c r="J57" i="16"/>
  <c r="L57" i="16" s="1"/>
  <c r="I57" i="16"/>
  <c r="H57" i="16"/>
  <c r="G57" i="16"/>
  <c r="F57" i="16"/>
  <c r="E57" i="16"/>
  <c r="D57" i="16"/>
  <c r="C57" i="16"/>
  <c r="C43" i="16" s="1"/>
  <c r="J55" i="16"/>
  <c r="L55" i="16" s="1"/>
  <c r="I55" i="16"/>
  <c r="H55" i="16"/>
  <c r="G55" i="16"/>
  <c r="J51" i="16"/>
  <c r="L51" i="16" s="1"/>
  <c r="I51" i="16"/>
  <c r="H51" i="16"/>
  <c r="G51" i="16"/>
  <c r="J50" i="16"/>
  <c r="L50" i="16" s="1"/>
  <c r="I50" i="16"/>
  <c r="H50" i="16"/>
  <c r="J45" i="16"/>
  <c r="L45" i="16" s="1"/>
  <c r="I45" i="16"/>
  <c r="H45" i="16"/>
  <c r="J44" i="16"/>
  <c r="I44" i="16"/>
  <c r="H44" i="16"/>
  <c r="G44" i="16"/>
  <c r="K43" i="16"/>
  <c r="K35" i="16"/>
  <c r="L41" i="16"/>
  <c r="H41" i="16"/>
  <c r="F41" i="16"/>
  <c r="J40" i="16"/>
  <c r="L40" i="16" s="1"/>
  <c r="I40" i="16"/>
  <c r="H40" i="16"/>
  <c r="H35" i="16" s="1"/>
  <c r="G40" i="16"/>
  <c r="G35" i="16" s="1"/>
  <c r="F40" i="16"/>
  <c r="E40" i="16"/>
  <c r="E35" i="16" s="1"/>
  <c r="D40" i="16"/>
  <c r="D35" i="16" s="1"/>
  <c r="F37" i="16"/>
  <c r="J35" i="16"/>
  <c r="C35" i="16"/>
  <c r="K33" i="16"/>
  <c r="J33" i="16"/>
  <c r="I33" i="16"/>
  <c r="H33" i="16"/>
  <c r="G33" i="16"/>
  <c r="F33" i="16"/>
  <c r="E33" i="16"/>
  <c r="D33" i="16"/>
  <c r="C33" i="16"/>
  <c r="J30" i="16"/>
  <c r="L30" i="16" s="1"/>
  <c r="I30" i="16"/>
  <c r="H30" i="16"/>
  <c r="I26" i="16"/>
  <c r="H26" i="16"/>
  <c r="J22" i="16"/>
  <c r="J12" i="16" s="1"/>
  <c r="I22" i="16"/>
  <c r="H22" i="16"/>
  <c r="G22" i="16"/>
  <c r="H16" i="16"/>
  <c r="G16" i="16"/>
  <c r="F16" i="16"/>
  <c r="F12" i="16" s="1"/>
  <c r="E16" i="16"/>
  <c r="D16" i="16"/>
  <c r="I15" i="16"/>
  <c r="H15" i="16"/>
  <c r="G15" i="16"/>
  <c r="F15" i="16"/>
  <c r="E15" i="16"/>
  <c r="D15" i="16"/>
  <c r="K12" i="16"/>
  <c r="C12" i="16"/>
  <c r="J6" i="16"/>
  <c r="L6" i="16" s="1"/>
  <c r="I6" i="16"/>
  <c r="H6" i="16"/>
  <c r="I5" i="16"/>
  <c r="H5" i="16"/>
  <c r="G5" i="16"/>
  <c r="F5" i="16"/>
  <c r="K4" i="16"/>
  <c r="J4" i="16"/>
  <c r="G4" i="16"/>
  <c r="F4" i="16"/>
  <c r="E4" i="16"/>
  <c r="D4" i="16"/>
  <c r="C4" i="16"/>
  <c r="C20" i="3"/>
  <c r="C7" i="3" s="1"/>
  <c r="E7" i="3" s="1"/>
  <c r="C50" i="3"/>
  <c r="C47" i="3"/>
  <c r="C27" i="3"/>
  <c r="C23" i="3"/>
  <c r="I12" i="16" l="1"/>
  <c r="L33" i="16"/>
  <c r="F43" i="16"/>
  <c r="H121" i="16"/>
  <c r="H123" i="16" s="1"/>
  <c r="H125" i="16" s="1"/>
  <c r="L65" i="16"/>
  <c r="E100" i="16"/>
  <c r="J190" i="16"/>
  <c r="M190" i="16" s="1"/>
  <c r="N132" i="16"/>
  <c r="J194" i="16"/>
  <c r="N179" i="16"/>
  <c r="N173" i="16"/>
  <c r="N176" i="16"/>
  <c r="F193" i="16"/>
  <c r="F195" i="16" s="1"/>
  <c r="E12" i="16"/>
  <c r="H43" i="16"/>
  <c r="E43" i="16"/>
  <c r="C87" i="16"/>
  <c r="G87" i="16"/>
  <c r="E87" i="16"/>
  <c r="H100" i="16"/>
  <c r="L132" i="16"/>
  <c r="D193" i="16"/>
  <c r="D195" i="16" s="1"/>
  <c r="H193" i="16"/>
  <c r="H195" i="16" s="1"/>
  <c r="L134" i="16"/>
  <c r="M134" i="16"/>
  <c r="H87" i="16"/>
  <c r="I142" i="16"/>
  <c r="I191" i="16" s="1"/>
  <c r="I192" i="16" s="1"/>
  <c r="L153" i="16"/>
  <c r="C62" i="16"/>
  <c r="C66" i="16" s="1"/>
  <c r="C187" i="16" s="1"/>
  <c r="L22" i="16"/>
  <c r="M32" i="16"/>
  <c r="M31" i="16"/>
  <c r="C71" i="16"/>
  <c r="G71" i="16"/>
  <c r="L96" i="16"/>
  <c r="L93" i="16"/>
  <c r="H4" i="16"/>
  <c r="D12" i="16"/>
  <c r="F35" i="16"/>
  <c r="J43" i="16"/>
  <c r="L43" i="16" s="1"/>
  <c r="G121" i="16"/>
  <c r="G123" i="16" s="1"/>
  <c r="G125" i="16" s="1"/>
  <c r="D71" i="16"/>
  <c r="L77" i="16"/>
  <c r="I79" i="16"/>
  <c r="G132" i="16"/>
  <c r="G190" i="16" s="1"/>
  <c r="C193" i="16"/>
  <c r="C195" i="16" s="1"/>
  <c r="G193" i="16"/>
  <c r="G195" i="16" s="1"/>
  <c r="L98" i="16"/>
  <c r="E62" i="16"/>
  <c r="E66" i="16" s="1"/>
  <c r="E187" i="16" s="1"/>
  <c r="J71" i="16"/>
  <c r="L71" i="16" s="1"/>
  <c r="E92" i="16"/>
  <c r="G142" i="16"/>
  <c r="G191" i="16" s="1"/>
  <c r="E142" i="16"/>
  <c r="E191" i="16" s="1"/>
  <c r="I4" i="16"/>
  <c r="E121" i="16"/>
  <c r="E123" i="16" s="1"/>
  <c r="E125" i="16" s="1"/>
  <c r="G100" i="16"/>
  <c r="H106" i="16"/>
  <c r="C192" i="16"/>
  <c r="F142" i="16"/>
  <c r="F191" i="16" s="1"/>
  <c r="L63" i="16"/>
  <c r="H92" i="16"/>
  <c r="L44" i="16"/>
  <c r="F71" i="16"/>
  <c r="H96" i="16"/>
  <c r="G106" i="16"/>
  <c r="D106" i="16"/>
  <c r="D120" i="16" s="1"/>
  <c r="D126" i="16" s="1"/>
  <c r="D188" i="16" s="1"/>
  <c r="D199" i="16" s="1"/>
  <c r="D202" i="16" s="1"/>
  <c r="E114" i="16"/>
  <c r="H142" i="16"/>
  <c r="H191" i="16" s="1"/>
  <c r="H192" i="16" s="1"/>
  <c r="L179" i="16"/>
  <c r="D43" i="16"/>
  <c r="D62" i="16" s="1"/>
  <c r="D121" i="16"/>
  <c r="D123" i="16" s="1"/>
  <c r="D125" i="16" s="1"/>
  <c r="D65" i="16"/>
  <c r="J82" i="16"/>
  <c r="L82" i="16" s="1"/>
  <c r="L92" i="16"/>
  <c r="F106" i="16"/>
  <c r="C114" i="16"/>
  <c r="C125" i="16"/>
  <c r="J193" i="16"/>
  <c r="L4" i="16"/>
  <c r="L35" i="16"/>
  <c r="L12" i="16"/>
  <c r="K120" i="16"/>
  <c r="C31" i="3"/>
  <c r="G43" i="16"/>
  <c r="I92" i="16"/>
  <c r="G12" i="16"/>
  <c r="G62" i="16" s="1"/>
  <c r="G66" i="16" s="1"/>
  <c r="G187" i="16" s="1"/>
  <c r="I71" i="16"/>
  <c r="H71" i="16"/>
  <c r="K62" i="16"/>
  <c r="K66" i="16" s="1"/>
  <c r="H12" i="16"/>
  <c r="I35" i="16"/>
  <c r="I43" i="16"/>
  <c r="I121" i="16"/>
  <c r="I77" i="16"/>
  <c r="E132" i="16"/>
  <c r="E190" i="16" s="1"/>
  <c r="F62" i="16"/>
  <c r="F66" i="16" s="1"/>
  <c r="F187" i="16" s="1"/>
  <c r="F121" i="16"/>
  <c r="F123" i="16" s="1"/>
  <c r="F125" i="16" s="1"/>
  <c r="J121" i="16"/>
  <c r="J79" i="16"/>
  <c r="L79" i="16" s="1"/>
  <c r="I82" i="16"/>
  <c r="F87" i="16"/>
  <c r="J87" i="16"/>
  <c r="L87" i="16" s="1"/>
  <c r="I87" i="16"/>
  <c r="J106" i="16"/>
  <c r="L106" i="16" s="1"/>
  <c r="F114" i="16"/>
  <c r="J114" i="16"/>
  <c r="L114" i="16" s="1"/>
  <c r="K123" i="16"/>
  <c r="F132" i="16"/>
  <c r="F190" i="16" s="1"/>
  <c r="F192" i="16" s="1"/>
  <c r="I194" i="16"/>
  <c r="F100" i="16"/>
  <c r="J100" i="16"/>
  <c r="L100" i="16" s="1"/>
  <c r="E106" i="16"/>
  <c r="I106" i="16"/>
  <c r="K190" i="16"/>
  <c r="K192" i="16" s="1"/>
  <c r="J142" i="16"/>
  <c r="K193" i="16"/>
  <c r="K195" i="16" s="1"/>
  <c r="C52" i="3"/>
  <c r="I92" i="15"/>
  <c r="I88" i="15"/>
  <c r="I60" i="15"/>
  <c r="I44" i="15"/>
  <c r="I26" i="15"/>
  <c r="I75" i="15"/>
  <c r="I107" i="15"/>
  <c r="I79" i="15"/>
  <c r="C71" i="3"/>
  <c r="I193" i="16" l="1"/>
  <c r="G192" i="16"/>
  <c r="M193" i="16"/>
  <c r="H62" i="16"/>
  <c r="H66" i="16" s="1"/>
  <c r="H187" i="16" s="1"/>
  <c r="H189" i="16" s="1"/>
  <c r="H196" i="16" s="1"/>
  <c r="J191" i="16"/>
  <c r="M191" i="16" s="1"/>
  <c r="N142" i="16"/>
  <c r="E120" i="16"/>
  <c r="J62" i="16"/>
  <c r="J66" i="16" s="1"/>
  <c r="C120" i="16"/>
  <c r="C126" i="16" s="1"/>
  <c r="C188" i="16" s="1"/>
  <c r="C199" i="16" s="1"/>
  <c r="C202" i="16" s="1"/>
  <c r="M194" i="16"/>
  <c r="C34" i="3"/>
  <c r="E34" i="3" s="1"/>
  <c r="E31" i="3"/>
  <c r="C55" i="3"/>
  <c r="E52" i="3"/>
  <c r="G120" i="16"/>
  <c r="G126" i="16" s="1"/>
  <c r="G188" i="16" s="1"/>
  <c r="G199" i="16" s="1"/>
  <c r="G202" i="16" s="1"/>
  <c r="C198" i="16"/>
  <c r="C201" i="16" s="1"/>
  <c r="L173" i="16"/>
  <c r="E192" i="16"/>
  <c r="E126" i="16"/>
  <c r="E188" i="16" s="1"/>
  <c r="E199" i="16" s="1"/>
  <c r="E202" i="16" s="1"/>
  <c r="F120" i="16"/>
  <c r="F126" i="16" s="1"/>
  <c r="F188" i="16" s="1"/>
  <c r="F199" i="16" s="1"/>
  <c r="F202" i="16" s="1"/>
  <c r="J195" i="16"/>
  <c r="H120" i="16"/>
  <c r="H126" i="16" s="1"/>
  <c r="H188" i="16" s="1"/>
  <c r="H199" i="16" s="1"/>
  <c r="H202" i="16" s="1"/>
  <c r="L142" i="16"/>
  <c r="D66" i="16"/>
  <c r="D187" i="16" s="1"/>
  <c r="J123" i="16"/>
  <c r="L121" i="16"/>
  <c r="J120" i="16"/>
  <c r="H198" i="16"/>
  <c r="H201" i="16" s="1"/>
  <c r="E189" i="16"/>
  <c r="E196" i="16" s="1"/>
  <c r="F198" i="16"/>
  <c r="F201" i="16" s="1"/>
  <c r="I195" i="16"/>
  <c r="E198" i="16"/>
  <c r="E201" i="16" s="1"/>
  <c r="I62" i="16"/>
  <c r="G198" i="16"/>
  <c r="G201" i="16" s="1"/>
  <c r="K125" i="16"/>
  <c r="I123" i="16"/>
  <c r="I125" i="16" s="1"/>
  <c r="I120" i="16"/>
  <c r="I80" i="15"/>
  <c r="M195" i="16" l="1"/>
  <c r="J192" i="16"/>
  <c r="M192" i="16" s="1"/>
  <c r="G189" i="16"/>
  <c r="G196" i="16" s="1"/>
  <c r="L62" i="16"/>
  <c r="C189" i="16"/>
  <c r="C196" i="16" s="1"/>
  <c r="C56" i="3"/>
  <c r="E55" i="3"/>
  <c r="M62" i="16"/>
  <c r="I66" i="16"/>
  <c r="M66" i="16" s="1"/>
  <c r="F189" i="16"/>
  <c r="F196" i="16" s="1"/>
  <c r="D198" i="16"/>
  <c r="D201" i="16" s="1"/>
  <c r="D189" i="16"/>
  <c r="D196" i="16" s="1"/>
  <c r="J125" i="16"/>
  <c r="J126" i="16" s="1"/>
  <c r="L123" i="16"/>
  <c r="M120" i="16"/>
  <c r="L120" i="16"/>
  <c r="J187" i="16"/>
  <c r="L66" i="16"/>
  <c r="I126" i="16"/>
  <c r="K126" i="16"/>
  <c r="K187" i="16"/>
  <c r="M174" i="15"/>
  <c r="M175" i="15"/>
  <c r="M177" i="15"/>
  <c r="M178" i="15"/>
  <c r="K174" i="15"/>
  <c r="K178" i="15"/>
  <c r="K140" i="15"/>
  <c r="K145" i="15"/>
  <c r="K149" i="15"/>
  <c r="K154" i="15"/>
  <c r="K155" i="15"/>
  <c r="K160" i="15"/>
  <c r="K163" i="15"/>
  <c r="K165" i="15"/>
  <c r="K73" i="15"/>
  <c r="K75" i="15"/>
  <c r="K79" i="15"/>
  <c r="K80" i="15"/>
  <c r="K85" i="15"/>
  <c r="K88" i="15"/>
  <c r="K90" i="15"/>
  <c r="K92" i="15"/>
  <c r="K96" i="15"/>
  <c r="K107" i="15"/>
  <c r="K109" i="15"/>
  <c r="K110" i="15"/>
  <c r="K111" i="15"/>
  <c r="K112" i="15"/>
  <c r="K115" i="15"/>
  <c r="K116" i="15"/>
  <c r="K117" i="15"/>
  <c r="K118" i="15"/>
  <c r="K123" i="15"/>
  <c r="K7" i="15"/>
  <c r="K8" i="15"/>
  <c r="K9" i="15"/>
  <c r="K10" i="15"/>
  <c r="K11" i="15"/>
  <c r="K13" i="15"/>
  <c r="K14" i="15"/>
  <c r="K16" i="15"/>
  <c r="K17" i="15"/>
  <c r="K18" i="15"/>
  <c r="K20" i="15"/>
  <c r="K21" i="15"/>
  <c r="K22" i="15"/>
  <c r="K23" i="15"/>
  <c r="K24" i="15"/>
  <c r="K25" i="15"/>
  <c r="K26" i="15"/>
  <c r="K27" i="15"/>
  <c r="K28" i="15"/>
  <c r="K30" i="15"/>
  <c r="K31" i="15"/>
  <c r="K33" i="15"/>
  <c r="K35" i="15"/>
  <c r="K36" i="15"/>
  <c r="K37" i="15"/>
  <c r="K38" i="15"/>
  <c r="K41" i="15"/>
  <c r="K44" i="15"/>
  <c r="K45" i="15"/>
  <c r="K46" i="15"/>
  <c r="K47" i="15"/>
  <c r="K48" i="15"/>
  <c r="K51" i="15"/>
  <c r="K52" i="15"/>
  <c r="K53" i="15"/>
  <c r="K55" i="15"/>
  <c r="K59" i="15"/>
  <c r="K60" i="15"/>
  <c r="K63" i="15"/>
  <c r="I71" i="15"/>
  <c r="I72" i="15"/>
  <c r="K72" i="15" s="1"/>
  <c r="I74" i="15"/>
  <c r="K74" i="15" s="1"/>
  <c r="I77" i="15"/>
  <c r="I76" i="15" s="1"/>
  <c r="I78" i="15"/>
  <c r="I82" i="15"/>
  <c r="I81" i="15" s="1"/>
  <c r="I83" i="15"/>
  <c r="K83" i="15" s="1"/>
  <c r="I84" i="15"/>
  <c r="K84" i="15" s="1"/>
  <c r="I87" i="15"/>
  <c r="I89" i="15"/>
  <c r="K89" i="15" s="1"/>
  <c r="I90" i="15"/>
  <c r="I93" i="15"/>
  <c r="K93" i="15" s="1"/>
  <c r="I94" i="15"/>
  <c r="I91" i="15" s="1"/>
  <c r="I97" i="15"/>
  <c r="I95" i="15" s="1"/>
  <c r="I98" i="15"/>
  <c r="K98" i="15" s="1"/>
  <c r="I100" i="15"/>
  <c r="I101" i="15"/>
  <c r="K101" i="15" s="1"/>
  <c r="I102" i="15"/>
  <c r="K102" i="15" s="1"/>
  <c r="I103" i="15"/>
  <c r="K103" i="15" s="1"/>
  <c r="I104" i="15"/>
  <c r="K104" i="15" s="1"/>
  <c r="I106" i="15"/>
  <c r="K106" i="15" s="1"/>
  <c r="I108" i="15"/>
  <c r="K108" i="15" s="1"/>
  <c r="I109" i="15"/>
  <c r="I110" i="15"/>
  <c r="I111" i="15"/>
  <c r="I114" i="15"/>
  <c r="K114" i="15" s="1"/>
  <c r="I115" i="15"/>
  <c r="I116" i="15"/>
  <c r="I133" i="15"/>
  <c r="I151" i="15"/>
  <c r="K151" i="15" s="1"/>
  <c r="I152" i="15"/>
  <c r="I153" i="15"/>
  <c r="K153" i="15" s="1"/>
  <c r="I158" i="15"/>
  <c r="K158" i="15" s="1"/>
  <c r="I161" i="15"/>
  <c r="K161" i="15" s="1"/>
  <c r="I166" i="15"/>
  <c r="K166" i="15" s="1"/>
  <c r="I191" i="15"/>
  <c r="I173" i="15"/>
  <c r="I172" i="15" s="1"/>
  <c r="I190" i="15" s="1"/>
  <c r="I176" i="15"/>
  <c r="I5" i="15"/>
  <c r="I6" i="15"/>
  <c r="K6" i="15" s="1"/>
  <c r="I15" i="15"/>
  <c r="K15" i="15" s="1"/>
  <c r="I22" i="15"/>
  <c r="I29" i="15"/>
  <c r="I32" i="15"/>
  <c r="I39" i="15"/>
  <c r="I43" i="15"/>
  <c r="K43" i="15" s="1"/>
  <c r="I49" i="15"/>
  <c r="K49" i="15" s="1"/>
  <c r="I50" i="15"/>
  <c r="K50" i="15" s="1"/>
  <c r="I54" i="15"/>
  <c r="K54" i="15" s="1"/>
  <c r="I56" i="15"/>
  <c r="K56" i="15" s="1"/>
  <c r="I57" i="15"/>
  <c r="K57" i="15" s="1"/>
  <c r="I58" i="15"/>
  <c r="K58" i="15" s="1"/>
  <c r="I62" i="15"/>
  <c r="I120" i="15" s="1"/>
  <c r="I122" i="15" s="1"/>
  <c r="I124" i="15" s="1"/>
  <c r="I64" i="15"/>
  <c r="C99" i="3"/>
  <c r="C96" i="3"/>
  <c r="C88" i="3"/>
  <c r="C78" i="3"/>
  <c r="C74" i="3"/>
  <c r="C67" i="3"/>
  <c r="J176" i="15"/>
  <c r="K176" i="15" s="1"/>
  <c r="H176" i="15"/>
  <c r="M176" i="15" s="1"/>
  <c r="G176" i="15"/>
  <c r="G191" i="15" s="1"/>
  <c r="F176" i="15"/>
  <c r="F191" i="15" s="1"/>
  <c r="E176" i="15"/>
  <c r="E191" i="15" s="1"/>
  <c r="D176" i="15"/>
  <c r="D191" i="15" s="1"/>
  <c r="C176" i="15"/>
  <c r="C191" i="15" s="1"/>
  <c r="G175" i="15"/>
  <c r="F175" i="15"/>
  <c r="E175" i="15"/>
  <c r="D175" i="15"/>
  <c r="C175" i="15"/>
  <c r="H173" i="15"/>
  <c r="H172" i="15" s="1"/>
  <c r="H190" i="15" s="1"/>
  <c r="G173" i="15"/>
  <c r="F173" i="15"/>
  <c r="E173" i="15"/>
  <c r="D173" i="15"/>
  <c r="C173" i="15"/>
  <c r="J172" i="15"/>
  <c r="J190" i="15" s="1"/>
  <c r="F172" i="15"/>
  <c r="F190" i="15" s="1"/>
  <c r="H166" i="15"/>
  <c r="G164" i="15"/>
  <c r="F164" i="15"/>
  <c r="E164" i="15"/>
  <c r="H161" i="15"/>
  <c r="G161" i="15"/>
  <c r="H158" i="15"/>
  <c r="G158" i="15"/>
  <c r="G157" i="15"/>
  <c r="H153" i="15"/>
  <c r="J152" i="15"/>
  <c r="J141" i="15" s="1"/>
  <c r="J188" i="15" s="1"/>
  <c r="H152" i="15"/>
  <c r="G152" i="15"/>
  <c r="F152" i="15"/>
  <c r="E152" i="15"/>
  <c r="H151" i="15"/>
  <c r="G151" i="15"/>
  <c r="G146" i="15"/>
  <c r="F146" i="15"/>
  <c r="G143" i="15"/>
  <c r="G141" i="15" s="1"/>
  <c r="G188" i="15" s="1"/>
  <c r="F143" i="15"/>
  <c r="E143" i="15"/>
  <c r="D141" i="15"/>
  <c r="D188" i="15" s="1"/>
  <c r="C141" i="15"/>
  <c r="C188" i="15" s="1"/>
  <c r="G138" i="15"/>
  <c r="F138" i="15"/>
  <c r="F131" i="15" s="1"/>
  <c r="F187" i="15" s="1"/>
  <c r="E138" i="15"/>
  <c r="E131" i="15" s="1"/>
  <c r="E187" i="15" s="1"/>
  <c r="G136" i="15"/>
  <c r="F136" i="15"/>
  <c r="E136" i="15"/>
  <c r="D136" i="15"/>
  <c r="D131" i="15" s="1"/>
  <c r="D187" i="15" s="1"/>
  <c r="D189" i="15" s="1"/>
  <c r="G134" i="15"/>
  <c r="G131" i="15" s="1"/>
  <c r="G187" i="15" s="1"/>
  <c r="F134" i="15"/>
  <c r="E134" i="15"/>
  <c r="H133" i="15"/>
  <c r="H131" i="15" s="1"/>
  <c r="J131" i="15"/>
  <c r="C131" i="15"/>
  <c r="C187" i="15" s="1"/>
  <c r="G123" i="15"/>
  <c r="F123" i="15"/>
  <c r="E123" i="15"/>
  <c r="D123" i="15"/>
  <c r="C123" i="15"/>
  <c r="J121" i="15"/>
  <c r="K121" i="15" s="1"/>
  <c r="J120" i="15"/>
  <c r="C120" i="15"/>
  <c r="C122" i="15" s="1"/>
  <c r="H116" i="15"/>
  <c r="G116" i="15"/>
  <c r="F116" i="15"/>
  <c r="E116" i="15"/>
  <c r="D116" i="15"/>
  <c r="C116" i="15"/>
  <c r="H115" i="15"/>
  <c r="G115" i="15"/>
  <c r="F115" i="15"/>
  <c r="E115" i="15"/>
  <c r="E113" i="15" s="1"/>
  <c r="D115" i="15"/>
  <c r="C115" i="15"/>
  <c r="H114" i="15"/>
  <c r="G114" i="15"/>
  <c r="F114" i="15"/>
  <c r="E114" i="15"/>
  <c r="D114" i="15"/>
  <c r="C114" i="15"/>
  <c r="J113" i="15"/>
  <c r="H111" i="15"/>
  <c r="G111" i="15"/>
  <c r="F111" i="15"/>
  <c r="E111" i="15"/>
  <c r="D111" i="15"/>
  <c r="C111" i="15"/>
  <c r="H110" i="15"/>
  <c r="H109" i="15"/>
  <c r="H108" i="15"/>
  <c r="H107" i="15"/>
  <c r="G107" i="15"/>
  <c r="F107" i="15"/>
  <c r="E107" i="15"/>
  <c r="D107" i="15"/>
  <c r="C107" i="15"/>
  <c r="H106" i="15"/>
  <c r="G106" i="15"/>
  <c r="F106" i="15"/>
  <c r="E106" i="15"/>
  <c r="D106" i="15"/>
  <c r="J105" i="15"/>
  <c r="C105" i="15"/>
  <c r="H104" i="15"/>
  <c r="G104" i="15"/>
  <c r="F104" i="15"/>
  <c r="E104" i="15"/>
  <c r="H103" i="15"/>
  <c r="G103" i="15"/>
  <c r="F103" i="15"/>
  <c r="E103" i="15"/>
  <c r="D103" i="15"/>
  <c r="C103" i="15"/>
  <c r="H102" i="15"/>
  <c r="G102" i="15"/>
  <c r="F102" i="15"/>
  <c r="E102" i="15"/>
  <c r="D102" i="15"/>
  <c r="C102" i="15"/>
  <c r="H101" i="15"/>
  <c r="G101" i="15"/>
  <c r="F101" i="15"/>
  <c r="E101" i="15"/>
  <c r="D101" i="15"/>
  <c r="C101" i="15"/>
  <c r="H100" i="15"/>
  <c r="G100" i="15"/>
  <c r="F100" i="15"/>
  <c r="E100" i="15"/>
  <c r="D100" i="15"/>
  <c r="C100" i="15"/>
  <c r="J99" i="15"/>
  <c r="H98" i="15"/>
  <c r="G98" i="15"/>
  <c r="H97" i="15"/>
  <c r="H95" i="15" s="1"/>
  <c r="G97" i="15"/>
  <c r="F97" i="15"/>
  <c r="E97" i="15"/>
  <c r="D97" i="15"/>
  <c r="J95" i="15"/>
  <c r="F95" i="15"/>
  <c r="E95" i="15"/>
  <c r="D95" i="15"/>
  <c r="C95" i="15"/>
  <c r="H94" i="15"/>
  <c r="G94" i="15"/>
  <c r="F94" i="15"/>
  <c r="E94" i="15"/>
  <c r="D94" i="15"/>
  <c r="C94" i="15"/>
  <c r="C91" i="15" s="1"/>
  <c r="H93" i="15"/>
  <c r="G93" i="15"/>
  <c r="H92" i="15"/>
  <c r="G92" i="15"/>
  <c r="F92" i="15"/>
  <c r="E92" i="15"/>
  <c r="E91" i="15" s="1"/>
  <c r="D92" i="15"/>
  <c r="J91" i="15"/>
  <c r="H91" i="15"/>
  <c r="H90" i="15"/>
  <c r="G90" i="15"/>
  <c r="F90" i="15"/>
  <c r="E90" i="15"/>
  <c r="D90" i="15"/>
  <c r="C90" i="15"/>
  <c r="H89" i="15"/>
  <c r="H88" i="15"/>
  <c r="H87" i="15"/>
  <c r="G87" i="15"/>
  <c r="F87" i="15"/>
  <c r="E87" i="15"/>
  <c r="E86" i="15" s="1"/>
  <c r="D87" i="15"/>
  <c r="D86" i="15" s="1"/>
  <c r="C87" i="15"/>
  <c r="J86" i="15"/>
  <c r="H84" i="15"/>
  <c r="G84" i="15"/>
  <c r="H83" i="15"/>
  <c r="G83" i="15"/>
  <c r="H82" i="15"/>
  <c r="H81" i="15" s="1"/>
  <c r="G82" i="15"/>
  <c r="F82" i="15"/>
  <c r="E82" i="15"/>
  <c r="D82" i="15"/>
  <c r="D81" i="15" s="1"/>
  <c r="C82" i="15"/>
  <c r="C81" i="15" s="1"/>
  <c r="J81" i="15"/>
  <c r="F81" i="15"/>
  <c r="E81" i="15"/>
  <c r="H79" i="15"/>
  <c r="G79" i="15"/>
  <c r="F79" i="15"/>
  <c r="F78" i="15" s="1"/>
  <c r="J78" i="15"/>
  <c r="H78" i="15"/>
  <c r="G78" i="15"/>
  <c r="E78" i="15"/>
  <c r="D78" i="15"/>
  <c r="C78" i="15"/>
  <c r="H77" i="15"/>
  <c r="G77" i="15"/>
  <c r="G76" i="15" s="1"/>
  <c r="F77" i="15"/>
  <c r="E77" i="15"/>
  <c r="D77" i="15"/>
  <c r="D76" i="15" s="1"/>
  <c r="J76" i="15"/>
  <c r="K76" i="15" s="1"/>
  <c r="F76" i="15"/>
  <c r="E76" i="15"/>
  <c r="C76" i="15"/>
  <c r="H75" i="15"/>
  <c r="H74" i="15"/>
  <c r="G74" i="15"/>
  <c r="F74" i="15"/>
  <c r="E74" i="15"/>
  <c r="D74" i="15"/>
  <c r="C74" i="15"/>
  <c r="H72" i="15"/>
  <c r="G72" i="15"/>
  <c r="F72" i="15"/>
  <c r="E72" i="15"/>
  <c r="D72" i="15"/>
  <c r="C72" i="15"/>
  <c r="H71" i="15"/>
  <c r="G71" i="15"/>
  <c r="F71" i="15"/>
  <c r="E71" i="15"/>
  <c r="D71" i="15"/>
  <c r="C71" i="15"/>
  <c r="J70" i="15"/>
  <c r="J64" i="15"/>
  <c r="C64" i="15"/>
  <c r="H62" i="15"/>
  <c r="H64" i="15" s="1"/>
  <c r="G62" i="15"/>
  <c r="G64" i="15" s="1"/>
  <c r="F62" i="15"/>
  <c r="F64" i="15" s="1"/>
  <c r="E62" i="15"/>
  <c r="E64" i="15" s="1"/>
  <c r="D62" i="15"/>
  <c r="D64" i="15" s="1"/>
  <c r="H60" i="15"/>
  <c r="G60" i="15"/>
  <c r="G120" i="15" s="1"/>
  <c r="G122" i="15" s="1"/>
  <c r="G124" i="15" s="1"/>
  <c r="F60" i="15"/>
  <c r="F120" i="15" s="1"/>
  <c r="F122" i="15" s="1"/>
  <c r="F124" i="15" s="1"/>
  <c r="E60" i="15"/>
  <c r="D60" i="15"/>
  <c r="H58" i="15"/>
  <c r="G58" i="15"/>
  <c r="F58" i="15"/>
  <c r="E58" i="15"/>
  <c r="D58" i="15"/>
  <c r="H57" i="15"/>
  <c r="G57" i="15"/>
  <c r="H56" i="15"/>
  <c r="G56" i="15"/>
  <c r="F56" i="15"/>
  <c r="F42" i="15" s="1"/>
  <c r="E56" i="15"/>
  <c r="D56" i="15"/>
  <c r="C56" i="15"/>
  <c r="C42" i="15" s="1"/>
  <c r="H54" i="15"/>
  <c r="G54" i="15"/>
  <c r="H50" i="15"/>
  <c r="G50" i="15"/>
  <c r="H49" i="15"/>
  <c r="H44" i="15"/>
  <c r="H43" i="15"/>
  <c r="G43" i="15"/>
  <c r="J42" i="15"/>
  <c r="J40" i="15"/>
  <c r="K40" i="15" s="1"/>
  <c r="H40" i="15"/>
  <c r="F40" i="15"/>
  <c r="H39" i="15"/>
  <c r="G39" i="15"/>
  <c r="G34" i="15" s="1"/>
  <c r="F39" i="15"/>
  <c r="E39" i="15"/>
  <c r="E34" i="15" s="1"/>
  <c r="D39" i="15"/>
  <c r="F36" i="15"/>
  <c r="J34" i="15"/>
  <c r="D34" i="15"/>
  <c r="C34" i="15"/>
  <c r="J32" i="15"/>
  <c r="H32" i="15"/>
  <c r="G32" i="15"/>
  <c r="F32" i="15"/>
  <c r="E32" i="15"/>
  <c r="D32" i="15"/>
  <c r="C32" i="15"/>
  <c r="L31" i="15"/>
  <c r="H29" i="15"/>
  <c r="H26" i="15"/>
  <c r="H22" i="15"/>
  <c r="M31" i="15" s="1"/>
  <c r="G22" i="15"/>
  <c r="L17" i="15"/>
  <c r="H16" i="15"/>
  <c r="G16" i="15"/>
  <c r="F16" i="15"/>
  <c r="E16" i="15"/>
  <c r="D16" i="15"/>
  <c r="H15" i="15"/>
  <c r="G15" i="15"/>
  <c r="F15" i="15"/>
  <c r="E15" i="15"/>
  <c r="E12" i="15" s="1"/>
  <c r="D15" i="15"/>
  <c r="J12" i="15"/>
  <c r="C12" i="15"/>
  <c r="H6" i="15"/>
  <c r="H5" i="15"/>
  <c r="G5" i="15"/>
  <c r="G4" i="15" s="1"/>
  <c r="F5" i="15"/>
  <c r="F4" i="15" s="1"/>
  <c r="J4" i="15"/>
  <c r="E4" i="15"/>
  <c r="D4" i="15"/>
  <c r="C4" i="15"/>
  <c r="M125" i="16" l="1"/>
  <c r="L125" i="16"/>
  <c r="J188" i="16"/>
  <c r="M188" i="16" s="1"/>
  <c r="M126" i="16"/>
  <c r="L126" i="16"/>
  <c r="J198" i="16"/>
  <c r="J201" i="16" s="1"/>
  <c r="J189" i="16"/>
  <c r="K173" i="15"/>
  <c r="K152" i="15"/>
  <c r="K32" i="15"/>
  <c r="F70" i="15"/>
  <c r="D105" i="15"/>
  <c r="C113" i="15"/>
  <c r="G113" i="15"/>
  <c r="C124" i="15"/>
  <c r="C172" i="15"/>
  <c r="C190" i="15" s="1"/>
  <c r="G172" i="15"/>
  <c r="G190" i="15" s="1"/>
  <c r="G192" i="15" s="1"/>
  <c r="H34" i="15"/>
  <c r="E120" i="15"/>
  <c r="E122" i="15" s="1"/>
  <c r="E124" i="15" s="1"/>
  <c r="C70" i="15"/>
  <c r="G70" i="15"/>
  <c r="E70" i="15"/>
  <c r="G81" i="15"/>
  <c r="H86" i="15"/>
  <c r="F99" i="15"/>
  <c r="G105" i="15"/>
  <c r="F141" i="15"/>
  <c r="F188" i="15" s="1"/>
  <c r="D172" i="15"/>
  <c r="D190" i="15" s="1"/>
  <c r="L190" i="15"/>
  <c r="K62" i="15"/>
  <c r="K77" i="15"/>
  <c r="K198" i="16"/>
  <c r="K201" i="16" s="1"/>
  <c r="I188" i="16"/>
  <c r="I187" i="16"/>
  <c r="M187" i="16" s="1"/>
  <c r="K188" i="16"/>
  <c r="K199" i="16" s="1"/>
  <c r="K202" i="16" s="1"/>
  <c r="F91" i="15"/>
  <c r="K82" i="15"/>
  <c r="F86" i="15"/>
  <c r="G91" i="15"/>
  <c r="D99" i="15"/>
  <c r="I131" i="15"/>
  <c r="I187" i="15" s="1"/>
  <c r="I189" i="15" s="1"/>
  <c r="K133" i="15"/>
  <c r="K97" i="15"/>
  <c r="K81" i="15"/>
  <c r="C86" i="15"/>
  <c r="G86" i="15"/>
  <c r="F189" i="15"/>
  <c r="K29" i="15"/>
  <c r="I12" i="15"/>
  <c r="K12" i="15" s="1"/>
  <c r="E105" i="15"/>
  <c r="I4" i="15"/>
  <c r="K4" i="15" s="1"/>
  <c r="I192" i="15"/>
  <c r="K91" i="15"/>
  <c r="I86" i="15"/>
  <c r="K86" i="15" s="1"/>
  <c r="I70" i="15"/>
  <c r="K70" i="15" s="1"/>
  <c r="M173" i="15"/>
  <c r="F34" i="15"/>
  <c r="K64" i="15"/>
  <c r="D91" i="15"/>
  <c r="E172" i="15"/>
  <c r="E190" i="15" s="1"/>
  <c r="I34" i="15"/>
  <c r="K34" i="15" s="1"/>
  <c r="I99" i="15"/>
  <c r="K99" i="15" s="1"/>
  <c r="K71" i="15"/>
  <c r="H4" i="15"/>
  <c r="D12" i="15"/>
  <c r="H12" i="15"/>
  <c r="D120" i="15"/>
  <c r="D122" i="15" s="1"/>
  <c r="D124" i="15" s="1"/>
  <c r="H120" i="15"/>
  <c r="K95" i="15"/>
  <c r="E99" i="15"/>
  <c r="E119" i="15" s="1"/>
  <c r="K105" i="15"/>
  <c r="D113" i="15"/>
  <c r="J122" i="15"/>
  <c r="J124" i="15" s="1"/>
  <c r="K124" i="15" s="1"/>
  <c r="E141" i="15"/>
  <c r="E188" i="15" s="1"/>
  <c r="E189" i="15" s="1"/>
  <c r="H141" i="15"/>
  <c r="H188" i="15" s="1"/>
  <c r="I141" i="15"/>
  <c r="I188" i="15" s="1"/>
  <c r="I105" i="15"/>
  <c r="K5" i="15"/>
  <c r="K87" i="15"/>
  <c r="K120" i="15"/>
  <c r="K172" i="15"/>
  <c r="G189" i="15"/>
  <c r="K78" i="15"/>
  <c r="K94" i="15"/>
  <c r="K141" i="15"/>
  <c r="F12" i="15"/>
  <c r="F61" i="15" s="1"/>
  <c r="F65" i="15" s="1"/>
  <c r="F184" i="15" s="1"/>
  <c r="F195" i="15" s="1"/>
  <c r="F198" i="15" s="1"/>
  <c r="D42" i="15"/>
  <c r="G95" i="15"/>
  <c r="F113" i="15"/>
  <c r="K39" i="15"/>
  <c r="J61" i="15"/>
  <c r="G12" i="15"/>
  <c r="E42" i="15"/>
  <c r="E61" i="15" s="1"/>
  <c r="E65" i="15" s="1"/>
  <c r="E184" i="15" s="1"/>
  <c r="E195" i="15" s="1"/>
  <c r="E198" i="15" s="1"/>
  <c r="E192" i="15"/>
  <c r="I42" i="15"/>
  <c r="K42" i="15" s="1"/>
  <c r="I113" i="15"/>
  <c r="K113" i="15" s="1"/>
  <c r="K100" i="15"/>
  <c r="M172" i="15"/>
  <c r="I119" i="15"/>
  <c r="C192" i="15"/>
  <c r="F192" i="15"/>
  <c r="C101" i="3"/>
  <c r="C103" i="3" s="1"/>
  <c r="C82" i="3"/>
  <c r="C84" i="3" s="1"/>
  <c r="J65" i="15"/>
  <c r="H187" i="15"/>
  <c r="C189" i="15"/>
  <c r="H191" i="15"/>
  <c r="L191" i="15" s="1"/>
  <c r="H42" i="15"/>
  <c r="D70" i="15"/>
  <c r="H76" i="15"/>
  <c r="G99" i="15"/>
  <c r="H105" i="15"/>
  <c r="F105" i="15"/>
  <c r="J191" i="15"/>
  <c r="J192" i="15" s="1"/>
  <c r="C61" i="15"/>
  <c r="C65" i="15" s="1"/>
  <c r="C184" i="15" s="1"/>
  <c r="G42" i="15"/>
  <c r="G61" i="15" s="1"/>
  <c r="G65" i="15" s="1"/>
  <c r="G184" i="15" s="1"/>
  <c r="H122" i="15"/>
  <c r="H124" i="15" s="1"/>
  <c r="L124" i="15" s="1"/>
  <c r="J187" i="15"/>
  <c r="J189" i="15" s="1"/>
  <c r="M17" i="15"/>
  <c r="H70" i="15"/>
  <c r="C99" i="15"/>
  <c r="J119" i="15"/>
  <c r="H99" i="15"/>
  <c r="H113" i="15"/>
  <c r="D192" i="15"/>
  <c r="C11" i="14"/>
  <c r="C9" i="14"/>
  <c r="H173" i="13"/>
  <c r="H116" i="13"/>
  <c r="H114" i="13"/>
  <c r="H92" i="13"/>
  <c r="C137" i="3"/>
  <c r="C156" i="3"/>
  <c r="J196" i="16" l="1"/>
  <c r="J199" i="16"/>
  <c r="M199" i="16" s="1"/>
  <c r="L187" i="15"/>
  <c r="K189" i="16"/>
  <c r="K196" i="16" s="1"/>
  <c r="I199" i="16"/>
  <c r="I189" i="16"/>
  <c r="M189" i="16" s="1"/>
  <c r="I198" i="16"/>
  <c r="M198" i="16" s="1"/>
  <c r="G119" i="15"/>
  <c r="G125" i="15" s="1"/>
  <c r="G185" i="15" s="1"/>
  <c r="G196" i="15" s="1"/>
  <c r="G199" i="15" s="1"/>
  <c r="C119" i="15"/>
  <c r="C125" i="15" s="1"/>
  <c r="C185" i="15" s="1"/>
  <c r="C196" i="15" s="1"/>
  <c r="C199" i="15" s="1"/>
  <c r="K122" i="15"/>
  <c r="D61" i="15"/>
  <c r="D65" i="15" s="1"/>
  <c r="D184" i="15" s="1"/>
  <c r="D195" i="15" s="1"/>
  <c r="D198" i="15" s="1"/>
  <c r="L188" i="15"/>
  <c r="D119" i="15"/>
  <c r="M141" i="15"/>
  <c r="M131" i="15"/>
  <c r="K131" i="15"/>
  <c r="I61" i="15"/>
  <c r="I65" i="15" s="1"/>
  <c r="F119" i="15"/>
  <c r="F125" i="15" s="1"/>
  <c r="F185" i="15" s="1"/>
  <c r="F196" i="15" s="1"/>
  <c r="F199" i="15" s="1"/>
  <c r="I125" i="15"/>
  <c r="I185" i="15" s="1"/>
  <c r="K119" i="15"/>
  <c r="K61" i="15"/>
  <c r="H61" i="15"/>
  <c r="H65" i="15" s="1"/>
  <c r="E125" i="15"/>
  <c r="E185" i="15" s="1"/>
  <c r="E196" i="15" s="1"/>
  <c r="E199" i="15" s="1"/>
  <c r="D125" i="15"/>
  <c r="D185" i="15" s="1"/>
  <c r="D196" i="15" s="1"/>
  <c r="D199" i="15" s="1"/>
  <c r="C104" i="3"/>
  <c r="C195" i="15"/>
  <c r="C198" i="15" s="1"/>
  <c r="C186" i="15"/>
  <c r="C193" i="15" s="1"/>
  <c r="J125" i="15"/>
  <c r="G195" i="15"/>
  <c r="G198" i="15" s="1"/>
  <c r="H192" i="15"/>
  <c r="L192" i="15" s="1"/>
  <c r="J184" i="15"/>
  <c r="H119" i="15"/>
  <c r="L119" i="15" s="1"/>
  <c r="D186" i="15"/>
  <c r="D193" i="15" s="1"/>
  <c r="H189" i="15"/>
  <c r="L189" i="15" s="1"/>
  <c r="C8" i="14"/>
  <c r="C7" i="14"/>
  <c r="C19" i="14"/>
  <c r="C16" i="14"/>
  <c r="C10" i="14"/>
  <c r="C5" i="14"/>
  <c r="J202" i="16" l="1"/>
  <c r="G186" i="15"/>
  <c r="G193" i="15" s="1"/>
  <c r="I202" i="16"/>
  <c r="I196" i="16"/>
  <c r="M196" i="16" s="1"/>
  <c r="I201" i="16"/>
  <c r="M201" i="16" s="1"/>
  <c r="K125" i="15"/>
  <c r="F186" i="15"/>
  <c r="F193" i="15" s="1"/>
  <c r="L61" i="15"/>
  <c r="I196" i="15"/>
  <c r="I184" i="15"/>
  <c r="L65" i="15"/>
  <c r="K65" i="15"/>
  <c r="H184" i="15"/>
  <c r="E186" i="15"/>
  <c r="E193" i="15" s="1"/>
  <c r="J195" i="15"/>
  <c r="J198" i="15" s="1"/>
  <c r="J185" i="15"/>
  <c r="J196" i="15" s="1"/>
  <c r="J199" i="15" s="1"/>
  <c r="H195" i="15"/>
  <c r="H125" i="15"/>
  <c r="C15" i="14"/>
  <c r="C22" i="14"/>
  <c r="C23" i="14"/>
  <c r="C14" i="14"/>
  <c r="H75" i="13"/>
  <c r="H44" i="13"/>
  <c r="H87" i="13"/>
  <c r="C153" i="3"/>
  <c r="C163" i="3"/>
  <c r="H111" i="13"/>
  <c r="H110" i="13"/>
  <c r="H109" i="13"/>
  <c r="H108" i="13"/>
  <c r="M202" i="16" l="1"/>
  <c r="H185" i="15"/>
  <c r="H196" i="15" s="1"/>
  <c r="L196" i="15" s="1"/>
  <c r="L125" i="15"/>
  <c r="L184" i="15"/>
  <c r="I195" i="15"/>
  <c r="I199" i="15"/>
  <c r="I186" i="15"/>
  <c r="J186" i="15"/>
  <c r="J193" i="15" s="1"/>
  <c r="H198" i="15"/>
  <c r="I121" i="13"/>
  <c r="H186" i="15" l="1"/>
  <c r="H193" i="15" s="1"/>
  <c r="L185" i="15"/>
  <c r="I198" i="15"/>
  <c r="L198" i="15" s="1"/>
  <c r="L195" i="15"/>
  <c r="L186" i="15"/>
  <c r="I193" i="15"/>
  <c r="H199" i="15"/>
  <c r="L199" i="15" s="1"/>
  <c r="I152" i="13"/>
  <c r="H89" i="13"/>
  <c r="H71" i="13"/>
  <c r="C148" i="3"/>
  <c r="I40" i="13"/>
  <c r="J173" i="13"/>
  <c r="J174" i="13"/>
  <c r="J178" i="13"/>
  <c r="H29" i="13" l="1"/>
  <c r="H40" i="13"/>
  <c r="C162" i="3" l="1"/>
  <c r="H107" i="13"/>
  <c r="H106" i="13"/>
  <c r="H103" i="13"/>
  <c r="H101" i="13"/>
  <c r="C158" i="3"/>
  <c r="H161" i="13"/>
  <c r="H153" i="13"/>
  <c r="H84" i="13"/>
  <c r="C149" i="3"/>
  <c r="H82" i="13"/>
  <c r="H72" i="13"/>
  <c r="H49" i="13"/>
  <c r="H60" i="13"/>
  <c r="H26" i="13"/>
  <c r="H22" i="13"/>
  <c r="C185" i="3"/>
  <c r="D88" i="3"/>
  <c r="C124" i="3"/>
  <c r="C118" i="3"/>
  <c r="D119" i="3"/>
  <c r="H88" i="13" l="1"/>
  <c r="L31" i="13" l="1"/>
  <c r="J140" i="13" l="1"/>
  <c r="J145" i="13"/>
  <c r="J149" i="13"/>
  <c r="J153" i="13"/>
  <c r="J154" i="13"/>
  <c r="J155" i="13"/>
  <c r="J160" i="13"/>
  <c r="J161" i="13"/>
  <c r="J163" i="13"/>
  <c r="J165" i="13"/>
  <c r="J71" i="13"/>
  <c r="J72" i="13"/>
  <c r="J73" i="13"/>
  <c r="J75" i="13"/>
  <c r="J80" i="13"/>
  <c r="J82" i="13"/>
  <c r="J84" i="13"/>
  <c r="J85" i="13"/>
  <c r="J87" i="13"/>
  <c r="J88" i="13"/>
  <c r="J89" i="13"/>
  <c r="J92" i="13"/>
  <c r="J96" i="13"/>
  <c r="J101" i="13"/>
  <c r="J103" i="13"/>
  <c r="J106" i="13"/>
  <c r="J107" i="13"/>
  <c r="J108" i="13"/>
  <c r="J109" i="13"/>
  <c r="J110" i="13"/>
  <c r="J111" i="13"/>
  <c r="J112" i="13"/>
  <c r="J114" i="13"/>
  <c r="J116" i="13"/>
  <c r="J117" i="13"/>
  <c r="J118" i="13"/>
  <c r="J121" i="13"/>
  <c r="J123" i="13"/>
  <c r="H98" i="13"/>
  <c r="J98" i="13" s="1"/>
  <c r="H166" i="13"/>
  <c r="J166" i="13" s="1"/>
  <c r="L197" i="13"/>
  <c r="C64" i="13"/>
  <c r="I120" i="13"/>
  <c r="I64" i="13"/>
  <c r="D123" i="13"/>
  <c r="E123" i="13"/>
  <c r="F123" i="13"/>
  <c r="G123" i="13"/>
  <c r="C123" i="13"/>
  <c r="C120" i="13"/>
  <c r="C122" i="13" s="1"/>
  <c r="J7" i="13"/>
  <c r="J8" i="13"/>
  <c r="J9" i="13"/>
  <c r="J10" i="13"/>
  <c r="J11" i="13"/>
  <c r="J13" i="13"/>
  <c r="J14" i="13"/>
  <c r="J17" i="13"/>
  <c r="J18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3" i="13"/>
  <c r="J35" i="13"/>
  <c r="J36" i="13"/>
  <c r="J37" i="13"/>
  <c r="J38" i="13"/>
  <c r="J40" i="13"/>
  <c r="J41" i="13"/>
  <c r="J44" i="13"/>
  <c r="J45" i="13"/>
  <c r="J46" i="13"/>
  <c r="J47" i="13"/>
  <c r="J48" i="13"/>
  <c r="J49" i="13"/>
  <c r="J51" i="13"/>
  <c r="J52" i="13"/>
  <c r="J53" i="13"/>
  <c r="J55" i="13"/>
  <c r="J59" i="13"/>
  <c r="J60" i="13"/>
  <c r="J63" i="13"/>
  <c r="H6" i="13"/>
  <c r="J6" i="13" s="1"/>
  <c r="I122" i="13" l="1"/>
  <c r="I124" i="13" s="1"/>
  <c r="C124" i="13"/>
  <c r="D62" i="13"/>
  <c r="D64" i="13" s="1"/>
  <c r="E62" i="13"/>
  <c r="E64" i="13" s="1"/>
  <c r="F62" i="13"/>
  <c r="F64" i="13" s="1"/>
  <c r="G62" i="13"/>
  <c r="G64" i="13" s="1"/>
  <c r="H62" i="13"/>
  <c r="H133" i="13"/>
  <c r="J133" i="13" s="1"/>
  <c r="H16" i="13"/>
  <c r="J16" i="13" s="1"/>
  <c r="H172" i="13"/>
  <c r="H190" i="13" s="1"/>
  <c r="H176" i="13"/>
  <c r="K176" i="13" s="1"/>
  <c r="H151" i="13"/>
  <c r="J151" i="13" s="1"/>
  <c r="H152" i="13"/>
  <c r="J152" i="13" s="1"/>
  <c r="H158" i="13"/>
  <c r="J158" i="13" s="1"/>
  <c r="H74" i="13"/>
  <c r="J74" i="13" s="1"/>
  <c r="H77" i="13"/>
  <c r="H79" i="13"/>
  <c r="H83" i="13"/>
  <c r="J83" i="13" s="1"/>
  <c r="H86" i="13"/>
  <c r="H90" i="13"/>
  <c r="J90" i="13" s="1"/>
  <c r="H93" i="13"/>
  <c r="J93" i="13" s="1"/>
  <c r="H94" i="13"/>
  <c r="J94" i="13" s="1"/>
  <c r="H97" i="13"/>
  <c r="J97" i="13" s="1"/>
  <c r="H100" i="13"/>
  <c r="H102" i="13"/>
  <c r="J102" i="13" s="1"/>
  <c r="H104" i="13"/>
  <c r="J104" i="13" s="1"/>
  <c r="H105" i="13"/>
  <c r="H115" i="13"/>
  <c r="J115" i="13" s="1"/>
  <c r="H5" i="13"/>
  <c r="H15" i="13"/>
  <c r="H32" i="13"/>
  <c r="H39" i="13"/>
  <c r="J39" i="13" s="1"/>
  <c r="H43" i="13"/>
  <c r="H50" i="13"/>
  <c r="J50" i="13" s="1"/>
  <c r="H54" i="13"/>
  <c r="J54" i="13" s="1"/>
  <c r="H56" i="13"/>
  <c r="J56" i="13" s="1"/>
  <c r="H57" i="13"/>
  <c r="J57" i="13" s="1"/>
  <c r="H58" i="13"/>
  <c r="J58" i="13" s="1"/>
  <c r="I176" i="13"/>
  <c r="G176" i="13"/>
  <c r="G191" i="13" s="1"/>
  <c r="F176" i="13"/>
  <c r="F191" i="13" s="1"/>
  <c r="E176" i="13"/>
  <c r="E191" i="13" s="1"/>
  <c r="D176" i="13"/>
  <c r="D191" i="13" s="1"/>
  <c r="C176" i="13"/>
  <c r="C191" i="13" s="1"/>
  <c r="G175" i="13"/>
  <c r="F175" i="13"/>
  <c r="F172" i="13" s="1"/>
  <c r="F190" i="13" s="1"/>
  <c r="E175" i="13"/>
  <c r="D175" i="13"/>
  <c r="C175" i="13"/>
  <c r="G173" i="13"/>
  <c r="G172" i="13" s="1"/>
  <c r="G190" i="13" s="1"/>
  <c r="F173" i="13"/>
  <c r="E173" i="13"/>
  <c r="D173" i="13"/>
  <c r="C173" i="13"/>
  <c r="C172" i="13" s="1"/>
  <c r="C190" i="13" s="1"/>
  <c r="I172" i="13"/>
  <c r="D172" i="13"/>
  <c r="D190" i="13" s="1"/>
  <c r="D192" i="13" s="1"/>
  <c r="G164" i="13"/>
  <c r="F164" i="13"/>
  <c r="E164" i="13"/>
  <c r="G161" i="13"/>
  <c r="G158" i="13"/>
  <c r="G157" i="13"/>
  <c r="G152" i="13"/>
  <c r="F152" i="13"/>
  <c r="E152" i="13"/>
  <c r="G151" i="13"/>
  <c r="G146" i="13"/>
  <c r="F146" i="13"/>
  <c r="G143" i="13"/>
  <c r="F143" i="13"/>
  <c r="E143" i="13"/>
  <c r="E141" i="13" s="1"/>
  <c r="E188" i="13" s="1"/>
  <c r="I141" i="13"/>
  <c r="D141" i="13"/>
  <c r="D188" i="13" s="1"/>
  <c r="C141" i="13"/>
  <c r="C188" i="13" s="1"/>
  <c r="G138" i="13"/>
  <c r="F138" i="13"/>
  <c r="E138" i="13"/>
  <c r="G136" i="13"/>
  <c r="F136" i="13"/>
  <c r="E136" i="13"/>
  <c r="D136" i="13"/>
  <c r="G134" i="13"/>
  <c r="F134" i="13"/>
  <c r="E134" i="13"/>
  <c r="I131" i="13"/>
  <c r="D131" i="13"/>
  <c r="D187" i="13" s="1"/>
  <c r="D189" i="13" s="1"/>
  <c r="C131" i="13"/>
  <c r="C187" i="13" s="1"/>
  <c r="C189" i="13" s="1"/>
  <c r="G116" i="13"/>
  <c r="F116" i="13"/>
  <c r="E116" i="13"/>
  <c r="D116" i="13"/>
  <c r="C116" i="13"/>
  <c r="G115" i="13"/>
  <c r="F115" i="13"/>
  <c r="E115" i="13"/>
  <c r="E113" i="13" s="1"/>
  <c r="D115" i="13"/>
  <c r="C115" i="13"/>
  <c r="G114" i="13"/>
  <c r="G113" i="13" s="1"/>
  <c r="F114" i="13"/>
  <c r="F113" i="13" s="1"/>
  <c r="E114" i="13"/>
  <c r="D114" i="13"/>
  <c r="C114" i="13"/>
  <c r="I113" i="13"/>
  <c r="C113" i="13"/>
  <c r="G111" i="13"/>
  <c r="F111" i="13"/>
  <c r="E111" i="13"/>
  <c r="D111" i="13"/>
  <c r="C111" i="13"/>
  <c r="C105" i="13" s="1"/>
  <c r="G107" i="13"/>
  <c r="F107" i="13"/>
  <c r="E107" i="13"/>
  <c r="D107" i="13"/>
  <c r="C107" i="13"/>
  <c r="G106" i="13"/>
  <c r="F106" i="13"/>
  <c r="F105" i="13" s="1"/>
  <c r="E106" i="13"/>
  <c r="D106" i="13"/>
  <c r="I105" i="13"/>
  <c r="G104" i="13"/>
  <c r="F104" i="13"/>
  <c r="E104" i="13"/>
  <c r="G103" i="13"/>
  <c r="F103" i="13"/>
  <c r="E103" i="13"/>
  <c r="D103" i="13"/>
  <c r="C103" i="13"/>
  <c r="G102" i="13"/>
  <c r="F102" i="13"/>
  <c r="E102" i="13"/>
  <c r="D102" i="13"/>
  <c r="C102" i="13"/>
  <c r="G101" i="13"/>
  <c r="F101" i="13"/>
  <c r="E101" i="13"/>
  <c r="D101" i="13"/>
  <c r="D99" i="13" s="1"/>
  <c r="C101" i="13"/>
  <c r="G100" i="13"/>
  <c r="F100" i="13"/>
  <c r="E100" i="13"/>
  <c r="E99" i="13" s="1"/>
  <c r="D100" i="13"/>
  <c r="C100" i="13"/>
  <c r="I99" i="13"/>
  <c r="F99" i="13"/>
  <c r="G98" i="13"/>
  <c r="G97" i="13"/>
  <c r="F97" i="13"/>
  <c r="F95" i="13" s="1"/>
  <c r="E97" i="13"/>
  <c r="D97" i="13"/>
  <c r="D95" i="13" s="1"/>
  <c r="I95" i="13"/>
  <c r="G95" i="13"/>
  <c r="E95" i="13"/>
  <c r="C95" i="13"/>
  <c r="G94" i="13"/>
  <c r="F94" i="13"/>
  <c r="F91" i="13" s="1"/>
  <c r="E94" i="13"/>
  <c r="D94" i="13"/>
  <c r="C94" i="13"/>
  <c r="G93" i="13"/>
  <c r="G91" i="13" s="1"/>
  <c r="G92" i="13"/>
  <c r="F92" i="13"/>
  <c r="E92" i="13"/>
  <c r="E91" i="13" s="1"/>
  <c r="D92" i="13"/>
  <c r="D91" i="13" s="1"/>
  <c r="I91" i="13"/>
  <c r="C91" i="13"/>
  <c r="G90" i="13"/>
  <c r="F90" i="13"/>
  <c r="E90" i="13"/>
  <c r="D90" i="13"/>
  <c r="D86" i="13" s="1"/>
  <c r="C90" i="13"/>
  <c r="G87" i="13"/>
  <c r="F87" i="13"/>
  <c r="E87" i="13"/>
  <c r="E86" i="13" s="1"/>
  <c r="D87" i="13"/>
  <c r="C87" i="13"/>
  <c r="C86" i="13" s="1"/>
  <c r="I86" i="13"/>
  <c r="F86" i="13"/>
  <c r="G84" i="13"/>
  <c r="G83" i="13"/>
  <c r="G82" i="13"/>
  <c r="F82" i="13"/>
  <c r="E82" i="13"/>
  <c r="E81" i="13" s="1"/>
  <c r="D82" i="13"/>
  <c r="C82" i="13"/>
  <c r="C81" i="13" s="1"/>
  <c r="I81" i="13"/>
  <c r="F81" i="13"/>
  <c r="D81" i="13"/>
  <c r="G79" i="13"/>
  <c r="G78" i="13" s="1"/>
  <c r="F79" i="13"/>
  <c r="I78" i="13"/>
  <c r="F78" i="13"/>
  <c r="E78" i="13"/>
  <c r="D78" i="13"/>
  <c r="C78" i="13"/>
  <c r="G77" i="13"/>
  <c r="F77" i="13"/>
  <c r="F76" i="13" s="1"/>
  <c r="E77" i="13"/>
  <c r="E76" i="13" s="1"/>
  <c r="D77" i="13"/>
  <c r="D76" i="13" s="1"/>
  <c r="I76" i="13"/>
  <c r="C76" i="13"/>
  <c r="G74" i="13"/>
  <c r="F74" i="13"/>
  <c r="E74" i="13"/>
  <c r="D74" i="13"/>
  <c r="C74" i="13"/>
  <c r="G72" i="13"/>
  <c r="F72" i="13"/>
  <c r="E72" i="13"/>
  <c r="D72" i="13"/>
  <c r="D70" i="13" s="1"/>
  <c r="C72" i="13"/>
  <c r="G71" i="13"/>
  <c r="G70" i="13" s="1"/>
  <c r="F71" i="13"/>
  <c r="E71" i="13"/>
  <c r="E70" i="13" s="1"/>
  <c r="D71" i="13"/>
  <c r="C71" i="13"/>
  <c r="I70" i="13"/>
  <c r="F70" i="13"/>
  <c r="G60" i="13"/>
  <c r="G120" i="13" s="1"/>
  <c r="G122" i="13" s="1"/>
  <c r="G124" i="13" s="1"/>
  <c r="F60" i="13"/>
  <c r="F120" i="13" s="1"/>
  <c r="F122" i="13" s="1"/>
  <c r="F124" i="13" s="1"/>
  <c r="E60" i="13"/>
  <c r="E120" i="13" s="1"/>
  <c r="D60" i="13"/>
  <c r="G58" i="13"/>
  <c r="F58" i="13"/>
  <c r="E58" i="13"/>
  <c r="E42" i="13" s="1"/>
  <c r="D58" i="13"/>
  <c r="G57" i="13"/>
  <c r="G56" i="13"/>
  <c r="F56" i="13"/>
  <c r="E56" i="13"/>
  <c r="D56" i="13"/>
  <c r="D42" i="13" s="1"/>
  <c r="C56" i="13"/>
  <c r="C42" i="13" s="1"/>
  <c r="G54" i="13"/>
  <c r="G50" i="13"/>
  <c r="G43" i="13"/>
  <c r="I42" i="13"/>
  <c r="F42" i="13"/>
  <c r="F40" i="13"/>
  <c r="G39" i="13"/>
  <c r="F39" i="13"/>
  <c r="E39" i="13"/>
  <c r="E34" i="13" s="1"/>
  <c r="D39" i="13"/>
  <c r="F36" i="13"/>
  <c r="F34" i="13" s="1"/>
  <c r="I34" i="13"/>
  <c r="D34" i="13"/>
  <c r="C34" i="13"/>
  <c r="I32" i="13"/>
  <c r="G32" i="13"/>
  <c r="F32" i="13"/>
  <c r="E32" i="13"/>
  <c r="D32" i="13"/>
  <c r="C32" i="13"/>
  <c r="K31" i="13"/>
  <c r="G22" i="13"/>
  <c r="K17" i="13"/>
  <c r="G16" i="13"/>
  <c r="F16" i="13"/>
  <c r="E16" i="13"/>
  <c r="E12" i="13" s="1"/>
  <c r="D16" i="13"/>
  <c r="G15" i="13"/>
  <c r="F15" i="13"/>
  <c r="E15" i="13"/>
  <c r="D15" i="13"/>
  <c r="D12" i="13" s="1"/>
  <c r="I12" i="13"/>
  <c r="F12" i="13"/>
  <c r="C12" i="13"/>
  <c r="G5" i="13"/>
  <c r="F5" i="13"/>
  <c r="F4" i="13" s="1"/>
  <c r="I4" i="13"/>
  <c r="G4" i="13"/>
  <c r="E4" i="13"/>
  <c r="D4" i="13"/>
  <c r="C4" i="13"/>
  <c r="C61" i="13" l="1"/>
  <c r="C65" i="13" s="1"/>
  <c r="C184" i="13" s="1"/>
  <c r="H76" i="13"/>
  <c r="J76" i="13" s="1"/>
  <c r="J77" i="13"/>
  <c r="H12" i="13"/>
  <c r="J15" i="13"/>
  <c r="L17" i="13"/>
  <c r="H99" i="13"/>
  <c r="J100" i="13"/>
  <c r="J78" i="13"/>
  <c r="H4" i="13"/>
  <c r="J5" i="13"/>
  <c r="H91" i="13"/>
  <c r="J91" i="13" s="1"/>
  <c r="H81" i="13"/>
  <c r="J81" i="13" s="1"/>
  <c r="H70" i="13"/>
  <c r="H141" i="13"/>
  <c r="H191" i="13"/>
  <c r="L191" i="13" s="1"/>
  <c r="E124" i="13"/>
  <c r="E122" i="13"/>
  <c r="J4" i="13"/>
  <c r="E105" i="13"/>
  <c r="D105" i="13"/>
  <c r="H42" i="13"/>
  <c r="J43" i="13"/>
  <c r="H113" i="13"/>
  <c r="H64" i="13"/>
  <c r="H120" i="13"/>
  <c r="J62" i="13"/>
  <c r="J32" i="13"/>
  <c r="D120" i="13"/>
  <c r="D122" i="13" s="1"/>
  <c r="D124" i="13" s="1"/>
  <c r="E131" i="13"/>
  <c r="E187" i="13" s="1"/>
  <c r="E189" i="13" s="1"/>
  <c r="F131" i="13"/>
  <c r="F187" i="13" s="1"/>
  <c r="F141" i="13"/>
  <c r="F188" i="13" s="1"/>
  <c r="E172" i="13"/>
  <c r="E190" i="13" s="1"/>
  <c r="H34" i="13"/>
  <c r="J34" i="13" s="1"/>
  <c r="H95" i="13"/>
  <c r="J95" i="13" s="1"/>
  <c r="H78" i="13"/>
  <c r="J79" i="13"/>
  <c r="H131" i="13"/>
  <c r="H187" i="13" s="1"/>
  <c r="J105" i="13"/>
  <c r="J113" i="13"/>
  <c r="J99" i="13"/>
  <c r="J86" i="13"/>
  <c r="I191" i="13"/>
  <c r="J176" i="13"/>
  <c r="J70" i="13"/>
  <c r="J42" i="13"/>
  <c r="J12" i="13"/>
  <c r="J172" i="13"/>
  <c r="K172" i="13"/>
  <c r="J141" i="13"/>
  <c r="H188" i="13"/>
  <c r="K141" i="13"/>
  <c r="J131" i="13"/>
  <c r="H192" i="13"/>
  <c r="L192" i="13" s="1"/>
  <c r="L190" i="13"/>
  <c r="H61" i="13"/>
  <c r="E61" i="13"/>
  <c r="F192" i="13"/>
  <c r="E192" i="13"/>
  <c r="F119" i="13"/>
  <c r="F125" i="13" s="1"/>
  <c r="F185" i="13" s="1"/>
  <c r="F196" i="13" s="1"/>
  <c r="F199" i="13" s="1"/>
  <c r="G12" i="13"/>
  <c r="I187" i="13"/>
  <c r="E119" i="13"/>
  <c r="G76" i="13"/>
  <c r="G105" i="13"/>
  <c r="G141" i="13"/>
  <c r="D61" i="13"/>
  <c r="D65" i="13" s="1"/>
  <c r="D184" i="13" s="1"/>
  <c r="F61" i="13"/>
  <c r="F65" i="13" s="1"/>
  <c r="F184" i="13" s="1"/>
  <c r="G34" i="13"/>
  <c r="G42" i="13"/>
  <c r="C195" i="13"/>
  <c r="C198" i="13" s="1"/>
  <c r="I119" i="13"/>
  <c r="G192" i="13"/>
  <c r="I61" i="13"/>
  <c r="I65" i="13" s="1"/>
  <c r="I184" i="13" s="1"/>
  <c r="F189" i="13"/>
  <c r="C70" i="13"/>
  <c r="G81" i="13"/>
  <c r="C99" i="13"/>
  <c r="D113" i="13"/>
  <c r="D119" i="13" s="1"/>
  <c r="C192" i="13"/>
  <c r="I190" i="13"/>
  <c r="I188" i="13"/>
  <c r="G86" i="13"/>
  <c r="G99" i="13"/>
  <c r="G131" i="13"/>
  <c r="C182" i="3"/>
  <c r="C168" i="3"/>
  <c r="C147" i="3"/>
  <c r="E123" i="3" s="1"/>
  <c r="C136" i="3"/>
  <c r="C127" i="3"/>
  <c r="C116" i="3"/>
  <c r="E92" i="3" s="1"/>
  <c r="H122" i="13" l="1"/>
  <c r="J120" i="13"/>
  <c r="D125" i="13"/>
  <c r="E125" i="13"/>
  <c r="E65" i="13"/>
  <c r="E184" i="13" s="1"/>
  <c r="E195" i="13" s="1"/>
  <c r="E198" i="13" s="1"/>
  <c r="E185" i="13"/>
  <c r="E196" i="13" s="1"/>
  <c r="E199" i="13" s="1"/>
  <c r="I192" i="13"/>
  <c r="H119" i="13"/>
  <c r="K131" i="13"/>
  <c r="D185" i="13"/>
  <c r="D186" i="13" s="1"/>
  <c r="D193" i="13" s="1"/>
  <c r="C119" i="13"/>
  <c r="C125" i="13" s="1"/>
  <c r="C185" i="13" s="1"/>
  <c r="C196" i="13" s="1"/>
  <c r="C199" i="13" s="1"/>
  <c r="H189" i="13"/>
  <c r="H65" i="13"/>
  <c r="J61" i="13"/>
  <c r="I125" i="13"/>
  <c r="J119" i="13"/>
  <c r="C184" i="3"/>
  <c r="C187" i="3" s="1"/>
  <c r="F195" i="13"/>
  <c r="F198" i="13" s="1"/>
  <c r="F186" i="13"/>
  <c r="F193" i="13" s="1"/>
  <c r="C186" i="13"/>
  <c r="C193" i="13" s="1"/>
  <c r="D195" i="13"/>
  <c r="D198" i="13" s="1"/>
  <c r="I189" i="13"/>
  <c r="G188" i="13"/>
  <c r="L188" i="13" s="1"/>
  <c r="E186" i="13"/>
  <c r="E193" i="13" s="1"/>
  <c r="G187" i="13"/>
  <c r="L187" i="13" s="1"/>
  <c r="G61" i="13"/>
  <c r="G65" i="13" s="1"/>
  <c r="G184" i="13" s="1"/>
  <c r="C140" i="3"/>
  <c r="C143" i="3" s="1"/>
  <c r="J180" i="12"/>
  <c r="J181" i="12"/>
  <c r="J182" i="12"/>
  <c r="J183" i="12"/>
  <c r="J184" i="12"/>
  <c r="J185" i="12"/>
  <c r="J186" i="12"/>
  <c r="J187" i="12"/>
  <c r="J188" i="12"/>
  <c r="J179" i="12"/>
  <c r="D196" i="13" l="1"/>
  <c r="D199" i="13" s="1"/>
  <c r="K61" i="13"/>
  <c r="J122" i="13"/>
  <c r="H124" i="13"/>
  <c r="J65" i="13"/>
  <c r="H184" i="13"/>
  <c r="I185" i="13"/>
  <c r="C188" i="3"/>
  <c r="G189" i="13"/>
  <c r="L189" i="13" s="1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26" i="12"/>
  <c r="I168" i="12"/>
  <c r="I169" i="12"/>
  <c r="I170" i="12"/>
  <c r="I171" i="12"/>
  <c r="I172" i="12"/>
  <c r="I173" i="12"/>
  <c r="I167" i="12"/>
  <c r="G112" i="12"/>
  <c r="G96" i="12"/>
  <c r="I71" i="12"/>
  <c r="I73" i="12"/>
  <c r="I78" i="12"/>
  <c r="I83" i="12"/>
  <c r="I86" i="12"/>
  <c r="I87" i="12"/>
  <c r="I94" i="12"/>
  <c r="I96" i="12"/>
  <c r="I106" i="12"/>
  <c r="I107" i="12"/>
  <c r="I108" i="12"/>
  <c r="I110" i="12"/>
  <c r="I115" i="12"/>
  <c r="I116" i="12"/>
  <c r="I119" i="12"/>
  <c r="I6" i="12"/>
  <c r="I7" i="12"/>
  <c r="I8" i="12"/>
  <c r="I9" i="12"/>
  <c r="I10" i="12"/>
  <c r="I11" i="12"/>
  <c r="I13" i="12"/>
  <c r="I14" i="12"/>
  <c r="I17" i="12"/>
  <c r="I18" i="12"/>
  <c r="I20" i="12"/>
  <c r="I21" i="12"/>
  <c r="I23" i="12"/>
  <c r="I24" i="12"/>
  <c r="I25" i="12"/>
  <c r="I26" i="12"/>
  <c r="I27" i="12"/>
  <c r="I28" i="12"/>
  <c r="I29" i="12"/>
  <c r="I30" i="12"/>
  <c r="I31" i="12"/>
  <c r="I33" i="12"/>
  <c r="I35" i="12"/>
  <c r="I36" i="12"/>
  <c r="I37" i="12"/>
  <c r="I38" i="12"/>
  <c r="I40" i="12"/>
  <c r="I41" i="12"/>
  <c r="I44" i="12"/>
  <c r="I45" i="12"/>
  <c r="I46" i="12"/>
  <c r="I48" i="12"/>
  <c r="I49" i="12"/>
  <c r="I51" i="12"/>
  <c r="I52" i="12"/>
  <c r="I53" i="12"/>
  <c r="I55" i="12"/>
  <c r="I59" i="12"/>
  <c r="G50" i="12"/>
  <c r="I50" i="12" s="1"/>
  <c r="G57" i="12"/>
  <c r="I57" i="12" s="1"/>
  <c r="G56" i="12"/>
  <c r="I56" i="12" s="1"/>
  <c r="F56" i="12"/>
  <c r="E56" i="12"/>
  <c r="D56" i="12"/>
  <c r="C56" i="12"/>
  <c r="H47" i="12"/>
  <c r="I47" i="12" s="1"/>
  <c r="G22" i="12"/>
  <c r="K31" i="12" s="1"/>
  <c r="G105" i="12"/>
  <c r="I105" i="12" s="1"/>
  <c r="G99" i="12"/>
  <c r="I99" i="12" s="1"/>
  <c r="G70" i="12"/>
  <c r="I70" i="12" s="1"/>
  <c r="G69" i="12"/>
  <c r="I69" i="12" s="1"/>
  <c r="J192" i="12"/>
  <c r="G147" i="12"/>
  <c r="G114" i="12"/>
  <c r="I114" i="12" s="1"/>
  <c r="I112" i="12"/>
  <c r="G102" i="12"/>
  <c r="I102" i="12" s="1"/>
  <c r="G91" i="12"/>
  <c r="I91" i="12" s="1"/>
  <c r="G88" i="12"/>
  <c r="I88" i="12" s="1"/>
  <c r="F88" i="12"/>
  <c r="G85" i="12"/>
  <c r="I85" i="12" s="1"/>
  <c r="G81" i="12"/>
  <c r="I81" i="12" s="1"/>
  <c r="G72" i="12"/>
  <c r="I72" i="12" s="1"/>
  <c r="F70" i="12"/>
  <c r="F69" i="12"/>
  <c r="F40" i="12"/>
  <c r="F36" i="12"/>
  <c r="G170" i="12"/>
  <c r="G43" i="12"/>
  <c r="I43" i="12" s="1"/>
  <c r="G16" i="12"/>
  <c r="I16" i="12" s="1"/>
  <c r="K124" i="13" l="1"/>
  <c r="J124" i="13"/>
  <c r="H125" i="13"/>
  <c r="L184" i="13"/>
  <c r="H195" i="13"/>
  <c r="G195" i="13"/>
  <c r="G198" i="13" s="1"/>
  <c r="I196" i="13"/>
  <c r="I199" i="13" s="1"/>
  <c r="I195" i="13"/>
  <c r="I198" i="13" s="1"/>
  <c r="I22" i="12"/>
  <c r="H185" i="13" l="1"/>
  <c r="J125" i="13"/>
  <c r="H198" i="13"/>
  <c r="L198" i="13" s="1"/>
  <c r="L195" i="13"/>
  <c r="I186" i="13"/>
  <c r="I193" i="13" s="1"/>
  <c r="C233" i="3"/>
  <c r="C236" i="3"/>
  <c r="C235" i="3"/>
  <c r="C254" i="3"/>
  <c r="G62" i="12"/>
  <c r="C209" i="3"/>
  <c r="C200" i="3" s="1"/>
  <c r="H196" i="13" l="1"/>
  <c r="H186" i="13"/>
  <c r="K198" i="13"/>
  <c r="D208" i="3"/>
  <c r="C294" i="3"/>
  <c r="F101" i="11"/>
  <c r="C298" i="3"/>
  <c r="F87" i="11"/>
  <c r="F68" i="11"/>
  <c r="F69" i="11"/>
  <c r="F111" i="11"/>
  <c r="F39" i="11"/>
  <c r="F35" i="11"/>
  <c r="H193" i="13" l="1"/>
  <c r="H199" i="13"/>
  <c r="C237" i="3"/>
  <c r="G152" i="12"/>
  <c r="G153" i="12"/>
  <c r="G82" i="12"/>
  <c r="I82" i="12" s="1"/>
  <c r="G54" i="12"/>
  <c r="I54" i="12" s="1"/>
  <c r="G5" i="12"/>
  <c r="G156" i="12"/>
  <c r="G146" i="12"/>
  <c r="G168" i="12"/>
  <c r="G171" i="12"/>
  <c r="G186" i="12" s="1"/>
  <c r="G129" i="12"/>
  <c r="G131" i="12"/>
  <c r="G133" i="12"/>
  <c r="G138" i="12"/>
  <c r="G141" i="12"/>
  <c r="G159" i="12"/>
  <c r="G75" i="12"/>
  <c r="G77" i="12"/>
  <c r="G80" i="12"/>
  <c r="I80" i="12" s="1"/>
  <c r="G90" i="12"/>
  <c r="I90" i="12" s="1"/>
  <c r="G92" i="12"/>
  <c r="I92" i="12" s="1"/>
  <c r="G95" i="12"/>
  <c r="G98" i="12"/>
  <c r="I98" i="12" s="1"/>
  <c r="G100" i="12"/>
  <c r="I100" i="12" s="1"/>
  <c r="G101" i="12"/>
  <c r="I101" i="12" s="1"/>
  <c r="G104" i="12"/>
  <c r="I104" i="12" s="1"/>
  <c r="G109" i="12"/>
  <c r="I109" i="12" s="1"/>
  <c r="G113" i="12"/>
  <c r="I113" i="12" s="1"/>
  <c r="G60" i="12"/>
  <c r="I60" i="12" s="1"/>
  <c r="G15" i="12"/>
  <c r="G32" i="12"/>
  <c r="G39" i="12"/>
  <c r="I39" i="12" s="1"/>
  <c r="G58" i="12"/>
  <c r="I58" i="12" s="1"/>
  <c r="H171" i="12"/>
  <c r="F171" i="12"/>
  <c r="F186" i="12" s="1"/>
  <c r="E171" i="12"/>
  <c r="E186" i="12" s="1"/>
  <c r="D171" i="12"/>
  <c r="D186" i="12" s="1"/>
  <c r="C171" i="12"/>
  <c r="C186" i="12" s="1"/>
  <c r="F170" i="12"/>
  <c r="E170" i="12"/>
  <c r="D170" i="12"/>
  <c r="C170" i="12"/>
  <c r="F168" i="12"/>
  <c r="E168" i="12"/>
  <c r="D168" i="12"/>
  <c r="C168" i="12"/>
  <c r="H167" i="12"/>
  <c r="F159" i="12"/>
  <c r="E159" i="12"/>
  <c r="F147" i="12"/>
  <c r="E147" i="12"/>
  <c r="F141" i="12"/>
  <c r="F138" i="12"/>
  <c r="E138" i="12"/>
  <c r="H136" i="12"/>
  <c r="D136" i="12"/>
  <c r="D183" i="12" s="1"/>
  <c r="C136" i="12"/>
  <c r="C183" i="12" s="1"/>
  <c r="F133" i="12"/>
  <c r="E133" i="12"/>
  <c r="F131" i="12"/>
  <c r="E131" i="12"/>
  <c r="D131" i="12"/>
  <c r="D126" i="12" s="1"/>
  <c r="D182" i="12" s="1"/>
  <c r="F129" i="12"/>
  <c r="E129" i="12"/>
  <c r="H126" i="12"/>
  <c r="H182" i="12" s="1"/>
  <c r="C126" i="12"/>
  <c r="C182" i="12" s="1"/>
  <c r="C118" i="12"/>
  <c r="C120" i="12" s="1"/>
  <c r="F114" i="12"/>
  <c r="E114" i="12"/>
  <c r="D114" i="12"/>
  <c r="C114" i="12"/>
  <c r="F113" i="12"/>
  <c r="E113" i="12"/>
  <c r="D113" i="12"/>
  <c r="C113" i="12"/>
  <c r="F112" i="12"/>
  <c r="E112" i="12"/>
  <c r="D112" i="12"/>
  <c r="C112" i="12"/>
  <c r="C111" i="12" s="1"/>
  <c r="H111" i="12"/>
  <c r="F109" i="12"/>
  <c r="E109" i="12"/>
  <c r="D109" i="12"/>
  <c r="C109" i="12"/>
  <c r="F105" i="12"/>
  <c r="E105" i="12"/>
  <c r="D105" i="12"/>
  <c r="C105" i="12"/>
  <c r="F104" i="12"/>
  <c r="E104" i="12"/>
  <c r="D104" i="12"/>
  <c r="H103" i="12"/>
  <c r="F102" i="12"/>
  <c r="E102" i="12"/>
  <c r="F101" i="12"/>
  <c r="E101" i="12"/>
  <c r="D101" i="12"/>
  <c r="C101" i="12"/>
  <c r="F100" i="12"/>
  <c r="E100" i="12"/>
  <c r="D100" i="12"/>
  <c r="C100" i="12"/>
  <c r="F99" i="12"/>
  <c r="E99" i="12"/>
  <c r="D99" i="12"/>
  <c r="C99" i="12"/>
  <c r="F98" i="12"/>
  <c r="E98" i="12"/>
  <c r="D98" i="12"/>
  <c r="C98" i="12"/>
  <c r="H97" i="12"/>
  <c r="F95" i="12"/>
  <c r="E95" i="12"/>
  <c r="E93" i="12" s="1"/>
  <c r="D95" i="12"/>
  <c r="D93" i="12" s="1"/>
  <c r="H93" i="12"/>
  <c r="C93" i="12"/>
  <c r="F92" i="12"/>
  <c r="E92" i="12"/>
  <c r="D92" i="12"/>
  <c r="C92" i="12"/>
  <c r="C89" i="12" s="1"/>
  <c r="F90" i="12"/>
  <c r="E90" i="12"/>
  <c r="D90" i="12"/>
  <c r="D89" i="12" s="1"/>
  <c r="H89" i="12"/>
  <c r="E88" i="12"/>
  <c r="D88" i="12"/>
  <c r="C88" i="12"/>
  <c r="F85" i="12"/>
  <c r="E85" i="12"/>
  <c r="D85" i="12"/>
  <c r="C85" i="12"/>
  <c r="H84" i="12"/>
  <c r="F80" i="12"/>
  <c r="E80" i="12"/>
  <c r="E79" i="12" s="1"/>
  <c r="D80" i="12"/>
  <c r="D79" i="12" s="1"/>
  <c r="C80" i="12"/>
  <c r="C79" i="12" s="1"/>
  <c r="H79" i="12"/>
  <c r="F77" i="12"/>
  <c r="H76" i="12"/>
  <c r="E76" i="12"/>
  <c r="D76" i="12"/>
  <c r="C76" i="12"/>
  <c r="F75" i="12"/>
  <c r="E75" i="12"/>
  <c r="E74" i="12" s="1"/>
  <c r="D75" i="12"/>
  <c r="D74" i="12" s="1"/>
  <c r="H74" i="12"/>
  <c r="C74" i="12"/>
  <c r="F72" i="12"/>
  <c r="E72" i="12"/>
  <c r="D72" i="12"/>
  <c r="C72" i="12"/>
  <c r="E70" i="12"/>
  <c r="D70" i="12"/>
  <c r="C70" i="12"/>
  <c r="E69" i="12"/>
  <c r="D69" i="12"/>
  <c r="C69" i="12"/>
  <c r="H68" i="12"/>
  <c r="H62" i="12"/>
  <c r="F62" i="12"/>
  <c r="E62" i="12"/>
  <c r="D62" i="12"/>
  <c r="F60" i="12"/>
  <c r="E60" i="12"/>
  <c r="D60" i="12"/>
  <c r="F58" i="12"/>
  <c r="E58" i="12"/>
  <c r="D58" i="12"/>
  <c r="C42" i="12"/>
  <c r="H42" i="12"/>
  <c r="F39" i="12"/>
  <c r="E39" i="12"/>
  <c r="E34" i="12" s="1"/>
  <c r="D39" i="12"/>
  <c r="D34" i="12" s="1"/>
  <c r="H34" i="12"/>
  <c r="F34" i="12"/>
  <c r="C34" i="12"/>
  <c r="H32" i="12"/>
  <c r="I32" i="12" s="1"/>
  <c r="F32" i="12"/>
  <c r="E32" i="12"/>
  <c r="D32" i="12"/>
  <c r="C32" i="12"/>
  <c r="J31" i="12"/>
  <c r="J17" i="12"/>
  <c r="F16" i="12"/>
  <c r="E16" i="12"/>
  <c r="D16" i="12"/>
  <c r="F15" i="12"/>
  <c r="E15" i="12"/>
  <c r="D15" i="12"/>
  <c r="H12" i="12"/>
  <c r="C12" i="12"/>
  <c r="F5" i="12"/>
  <c r="H4" i="12"/>
  <c r="E4" i="12"/>
  <c r="D4" i="12"/>
  <c r="C4" i="12"/>
  <c r="K199" i="13" l="1"/>
  <c r="D97" i="12"/>
  <c r="E111" i="12"/>
  <c r="D68" i="12"/>
  <c r="K17" i="12"/>
  <c r="I15" i="12"/>
  <c r="G93" i="12"/>
  <c r="I93" i="12" s="1"/>
  <c r="I95" i="12"/>
  <c r="G76" i="12"/>
  <c r="I76" i="12" s="1"/>
  <c r="I77" i="12"/>
  <c r="G4" i="12"/>
  <c r="I4" i="12" s="1"/>
  <c r="I5" i="12"/>
  <c r="I79" i="12"/>
  <c r="H118" i="12"/>
  <c r="H120" i="12" s="1"/>
  <c r="I62" i="12"/>
  <c r="G74" i="12"/>
  <c r="I74" i="12" s="1"/>
  <c r="I75" i="12"/>
  <c r="D184" i="12"/>
  <c r="F93" i="12"/>
  <c r="C184" i="12"/>
  <c r="C167" i="12"/>
  <c r="C185" i="12" s="1"/>
  <c r="C187" i="12" s="1"/>
  <c r="D42" i="12"/>
  <c r="E118" i="12"/>
  <c r="E120" i="12" s="1"/>
  <c r="C103" i="12"/>
  <c r="F4" i="12"/>
  <c r="F12" i="12"/>
  <c r="D12" i="12"/>
  <c r="D84" i="12"/>
  <c r="G34" i="12"/>
  <c r="I34" i="12" s="1"/>
  <c r="E12" i="12"/>
  <c r="E136" i="12"/>
  <c r="E183" i="12" s="1"/>
  <c r="D167" i="12"/>
  <c r="D185" i="12" s="1"/>
  <c r="D187" i="12" s="1"/>
  <c r="G118" i="12"/>
  <c r="G120" i="12" s="1"/>
  <c r="G79" i="12"/>
  <c r="E42" i="12"/>
  <c r="D103" i="12"/>
  <c r="E103" i="12"/>
  <c r="G111" i="12"/>
  <c r="I111" i="12" s="1"/>
  <c r="F89" i="12"/>
  <c r="F103" i="12"/>
  <c r="E167" i="12"/>
  <c r="E185" i="12" s="1"/>
  <c r="E187" i="12" s="1"/>
  <c r="E68" i="12"/>
  <c r="G97" i="12"/>
  <c r="I97" i="12" s="1"/>
  <c r="H117" i="12"/>
  <c r="C97" i="12"/>
  <c r="E126" i="12"/>
  <c r="E182" i="12" s="1"/>
  <c r="G42" i="12"/>
  <c r="I42" i="12" s="1"/>
  <c r="G12" i="12"/>
  <c r="I12" i="12" s="1"/>
  <c r="G84" i="12"/>
  <c r="I84" i="12" s="1"/>
  <c r="G167" i="12"/>
  <c r="C61" i="12"/>
  <c r="C63" i="12" s="1"/>
  <c r="C179" i="12" s="1"/>
  <c r="H61" i="12"/>
  <c r="E84" i="12"/>
  <c r="F136" i="12"/>
  <c r="F183" i="12" s="1"/>
  <c r="G126" i="12"/>
  <c r="F79" i="12"/>
  <c r="F97" i="12"/>
  <c r="E97" i="12"/>
  <c r="D111" i="12"/>
  <c r="G103" i="12"/>
  <c r="I103" i="12" s="1"/>
  <c r="G89" i="12"/>
  <c r="I89" i="12" s="1"/>
  <c r="G68" i="12"/>
  <c r="I68" i="12" s="1"/>
  <c r="G136" i="12"/>
  <c r="F76" i="12"/>
  <c r="C68" i="12"/>
  <c r="C84" i="12"/>
  <c r="E89" i="12"/>
  <c r="F118" i="12"/>
  <c r="F120" i="12" s="1"/>
  <c r="F42" i="12"/>
  <c r="D118" i="12"/>
  <c r="D120" i="12" s="1"/>
  <c r="F68" i="12"/>
  <c r="F74" i="12"/>
  <c r="F84" i="12"/>
  <c r="F111" i="12"/>
  <c r="F126" i="12"/>
  <c r="H185" i="12"/>
  <c r="H186" i="12"/>
  <c r="H183" i="12"/>
  <c r="H184" i="12" s="1"/>
  <c r="F167" i="12"/>
  <c r="I120" i="12" l="1"/>
  <c r="E184" i="12"/>
  <c r="H63" i="12"/>
  <c r="I118" i="12"/>
  <c r="D61" i="12"/>
  <c r="D63" i="12" s="1"/>
  <c r="D179" i="12" s="1"/>
  <c r="D190" i="12" s="1"/>
  <c r="D193" i="12" s="1"/>
  <c r="C190" i="12"/>
  <c r="C193" i="12" s="1"/>
  <c r="G182" i="12"/>
  <c r="J126" i="12"/>
  <c r="E61" i="12"/>
  <c r="E63" i="12" s="1"/>
  <c r="E179" i="12" s="1"/>
  <c r="E190" i="12" s="1"/>
  <c r="E193" i="12" s="1"/>
  <c r="G185" i="12"/>
  <c r="G187" i="12" s="1"/>
  <c r="J167" i="12"/>
  <c r="G183" i="12"/>
  <c r="J136" i="12"/>
  <c r="D117" i="12"/>
  <c r="D121" i="12" s="1"/>
  <c r="D180" i="12" s="1"/>
  <c r="D191" i="12" s="1"/>
  <c r="D194" i="12" s="1"/>
  <c r="G61" i="12"/>
  <c r="I61" i="12" s="1"/>
  <c r="G117" i="12"/>
  <c r="I117" i="12" s="1"/>
  <c r="E117" i="12"/>
  <c r="E121" i="12" s="1"/>
  <c r="E180" i="12" s="1"/>
  <c r="E191" i="12" s="1"/>
  <c r="E194" i="12" s="1"/>
  <c r="H187" i="12"/>
  <c r="G184" i="12"/>
  <c r="C117" i="12"/>
  <c r="C121" i="12" s="1"/>
  <c r="C180" i="12" s="1"/>
  <c r="C191" i="12" s="1"/>
  <c r="C194" i="12" s="1"/>
  <c r="F182" i="12"/>
  <c r="F184" i="12" s="1"/>
  <c r="H121" i="12"/>
  <c r="F185" i="12"/>
  <c r="F187" i="12" s="1"/>
  <c r="F117" i="12"/>
  <c r="F61" i="12"/>
  <c r="H179" i="12" l="1"/>
  <c r="H190" i="12" s="1"/>
  <c r="H193" i="12" s="1"/>
  <c r="J61" i="12"/>
  <c r="E181" i="12"/>
  <c r="E188" i="12" s="1"/>
  <c r="G63" i="12"/>
  <c r="G179" i="12" s="1"/>
  <c r="G190" i="12" s="1"/>
  <c r="G121" i="12"/>
  <c r="G180" i="12" s="1"/>
  <c r="G191" i="12" s="1"/>
  <c r="J117" i="12"/>
  <c r="C181" i="12"/>
  <c r="C188" i="12" s="1"/>
  <c r="D181" i="12"/>
  <c r="D188" i="12" s="1"/>
  <c r="F121" i="12"/>
  <c r="F180" i="12" s="1"/>
  <c r="F191" i="12" s="1"/>
  <c r="H180" i="12"/>
  <c r="F63" i="12"/>
  <c r="F98" i="11"/>
  <c r="C271" i="3"/>
  <c r="I63" i="12" l="1"/>
  <c r="I121" i="12"/>
  <c r="J191" i="12"/>
  <c r="G194" i="12"/>
  <c r="J194" i="12" s="1"/>
  <c r="G193" i="12"/>
  <c r="G181" i="12"/>
  <c r="G188" i="12" s="1"/>
  <c r="H191" i="12"/>
  <c r="H194" i="12" s="1"/>
  <c r="H181" i="12"/>
  <c r="H188" i="12" s="1"/>
  <c r="F179" i="12"/>
  <c r="F194" i="12"/>
  <c r="C251" i="3"/>
  <c r="C242" i="3"/>
  <c r="C227" i="3"/>
  <c r="C217" i="3"/>
  <c r="C213" i="3"/>
  <c r="H157" i="11"/>
  <c r="F89" i="11"/>
  <c r="H43" i="11"/>
  <c r="H53" i="11"/>
  <c r="G60" i="11"/>
  <c r="F190" i="12" l="1"/>
  <c r="J190" i="12" s="1"/>
  <c r="F181" i="12"/>
  <c r="F188" i="12" s="1"/>
  <c r="C253" i="3"/>
  <c r="C255" i="3" s="1"/>
  <c r="C221" i="3"/>
  <c r="C223" i="3" s="1"/>
  <c r="H142" i="11"/>
  <c r="G167" i="11"/>
  <c r="G163" i="11"/>
  <c r="G135" i="11"/>
  <c r="G126" i="11"/>
  <c r="G117" i="11"/>
  <c r="G119" i="11" s="1"/>
  <c r="G110" i="11"/>
  <c r="G102" i="11"/>
  <c r="G96" i="11"/>
  <c r="G92" i="11"/>
  <c r="G88" i="11"/>
  <c r="G83" i="11"/>
  <c r="G78" i="11"/>
  <c r="G75" i="11"/>
  <c r="G73" i="11"/>
  <c r="G67" i="11"/>
  <c r="G41" i="11"/>
  <c r="G33" i="11"/>
  <c r="G31" i="11"/>
  <c r="G12" i="11"/>
  <c r="G4" i="11"/>
  <c r="F193" i="12" l="1"/>
  <c r="J193" i="12" s="1"/>
  <c r="C256" i="3"/>
  <c r="G116" i="11"/>
  <c r="G120" i="11" s="1"/>
  <c r="G59" i="11"/>
  <c r="G61" i="11" s="1"/>
  <c r="C295" i="3" l="1"/>
  <c r="F166" i="11"/>
  <c r="H144" i="11"/>
  <c r="F5" i="11"/>
  <c r="H166" i="11" l="1"/>
  <c r="F140" i="11"/>
  <c r="H140" i="11" s="1"/>
  <c r="F76" i="11"/>
  <c r="H76" i="11" s="1"/>
  <c r="H165" i="11"/>
  <c r="H168" i="11"/>
  <c r="H169" i="11"/>
  <c r="H128" i="11"/>
  <c r="H130" i="11"/>
  <c r="H132" i="11"/>
  <c r="H134" i="11"/>
  <c r="H136" i="11"/>
  <c r="H138" i="11"/>
  <c r="H141" i="11"/>
  <c r="H145" i="11"/>
  <c r="H147" i="11"/>
  <c r="H148" i="11"/>
  <c r="H149" i="11"/>
  <c r="H150" i="11"/>
  <c r="H151" i="11"/>
  <c r="H152" i="11"/>
  <c r="H153" i="11"/>
  <c r="H154" i="11"/>
  <c r="H155" i="11"/>
  <c r="H70" i="11"/>
  <c r="H72" i="11"/>
  <c r="H77" i="11"/>
  <c r="H80" i="11"/>
  <c r="H81" i="11"/>
  <c r="H82" i="11"/>
  <c r="H85" i="11"/>
  <c r="H86" i="11"/>
  <c r="H90" i="11"/>
  <c r="H93" i="11"/>
  <c r="H95" i="11"/>
  <c r="H105" i="11"/>
  <c r="H106" i="11"/>
  <c r="H107" i="11"/>
  <c r="H109" i="11"/>
  <c r="H114" i="11"/>
  <c r="H115" i="11"/>
  <c r="H118" i="11"/>
  <c r="H5" i="11"/>
  <c r="H6" i="11"/>
  <c r="H7" i="11"/>
  <c r="H8" i="11"/>
  <c r="H9" i="11"/>
  <c r="H10" i="11"/>
  <c r="H11" i="11"/>
  <c r="H13" i="11"/>
  <c r="H14" i="11"/>
  <c r="H17" i="11"/>
  <c r="H18" i="11"/>
  <c r="H20" i="11"/>
  <c r="H21" i="11"/>
  <c r="H22" i="11"/>
  <c r="H23" i="11"/>
  <c r="H24" i="11"/>
  <c r="H25" i="11"/>
  <c r="H26" i="11"/>
  <c r="H27" i="11"/>
  <c r="H28" i="11"/>
  <c r="H29" i="11"/>
  <c r="H30" i="11"/>
  <c r="H32" i="11"/>
  <c r="H34" i="11"/>
  <c r="H35" i="11"/>
  <c r="H36" i="11"/>
  <c r="H37" i="11"/>
  <c r="H39" i="11"/>
  <c r="H40" i="11"/>
  <c r="H42" i="11"/>
  <c r="H44" i="11"/>
  <c r="H45" i="11"/>
  <c r="H46" i="11"/>
  <c r="H47" i="11"/>
  <c r="H48" i="11"/>
  <c r="H49" i="11"/>
  <c r="H50" i="11"/>
  <c r="H51" i="11"/>
  <c r="H52" i="11"/>
  <c r="H56" i="11"/>
  <c r="F164" i="11"/>
  <c r="H164" i="11" s="1"/>
  <c r="F167" i="11"/>
  <c r="F182" i="11" s="1"/>
  <c r="F129" i="11"/>
  <c r="F131" i="11"/>
  <c r="H131" i="11" s="1"/>
  <c r="F133" i="11"/>
  <c r="H133" i="11" s="1"/>
  <c r="F137" i="11"/>
  <c r="F146" i="11"/>
  <c r="H146" i="11" s="1"/>
  <c r="F156" i="11"/>
  <c r="H156" i="11" s="1"/>
  <c r="H69" i="11"/>
  <c r="F71" i="11"/>
  <c r="H71" i="11" s="1"/>
  <c r="F74" i="11"/>
  <c r="F73" i="11" s="1"/>
  <c r="H73" i="11" s="1"/>
  <c r="F79" i="11"/>
  <c r="F78" i="11" s="1"/>
  <c r="F84" i="11"/>
  <c r="H87" i="11"/>
  <c r="H89" i="11"/>
  <c r="F91" i="11"/>
  <c r="H91" i="11" s="1"/>
  <c r="F94" i="11"/>
  <c r="H94" i="11" s="1"/>
  <c r="F97" i="11"/>
  <c r="H98" i="11"/>
  <c r="F99" i="11"/>
  <c r="H99" i="11" s="1"/>
  <c r="F100" i="11"/>
  <c r="H100" i="11" s="1"/>
  <c r="H101" i="11"/>
  <c r="F103" i="11"/>
  <c r="H103" i="11" s="1"/>
  <c r="F104" i="11"/>
  <c r="H104" i="11" s="1"/>
  <c r="F108" i="11"/>
  <c r="H108" i="11" s="1"/>
  <c r="H111" i="11"/>
  <c r="F112" i="11"/>
  <c r="H112" i="11" s="1"/>
  <c r="F113" i="11"/>
  <c r="H113" i="11" s="1"/>
  <c r="F4" i="11"/>
  <c r="F15" i="11"/>
  <c r="F16" i="11"/>
  <c r="H16" i="11" s="1"/>
  <c r="F31" i="11"/>
  <c r="H31" i="11" s="1"/>
  <c r="F38" i="11"/>
  <c r="F33" i="11" s="1"/>
  <c r="H33" i="11" s="1"/>
  <c r="F55" i="11"/>
  <c r="H55" i="11" s="1"/>
  <c r="F57" i="11"/>
  <c r="H57" i="11" s="1"/>
  <c r="F58" i="11"/>
  <c r="H58" i="11" s="1"/>
  <c r="F60" i="11"/>
  <c r="H60" i="11" s="1"/>
  <c r="G182" i="11"/>
  <c r="E167" i="11"/>
  <c r="E182" i="11" s="1"/>
  <c r="D167" i="11"/>
  <c r="D182" i="11" s="1"/>
  <c r="C167" i="11"/>
  <c r="C182" i="11" s="1"/>
  <c r="E166" i="11"/>
  <c r="D166" i="11"/>
  <c r="C166" i="11"/>
  <c r="E164" i="11"/>
  <c r="D164" i="11"/>
  <c r="C164" i="11"/>
  <c r="G181" i="11"/>
  <c r="E156" i="11"/>
  <c r="E146" i="11"/>
  <c r="E137" i="11"/>
  <c r="G179" i="11"/>
  <c r="D135" i="11"/>
  <c r="D179" i="11" s="1"/>
  <c r="C135" i="11"/>
  <c r="C179" i="11" s="1"/>
  <c r="E133" i="11"/>
  <c r="E131" i="11"/>
  <c r="D131" i="11"/>
  <c r="D126" i="11" s="1"/>
  <c r="D178" i="11" s="1"/>
  <c r="E129" i="11"/>
  <c r="G178" i="11"/>
  <c r="C126" i="11"/>
  <c r="C178" i="11" s="1"/>
  <c r="C117" i="11"/>
  <c r="C119" i="11" s="1"/>
  <c r="E113" i="11"/>
  <c r="D113" i="11"/>
  <c r="C113" i="11"/>
  <c r="E112" i="11"/>
  <c r="D112" i="11"/>
  <c r="C112" i="11"/>
  <c r="E111" i="11"/>
  <c r="D111" i="11"/>
  <c r="C111" i="11"/>
  <c r="E108" i="11"/>
  <c r="D108" i="11"/>
  <c r="C108" i="11"/>
  <c r="E104" i="11"/>
  <c r="D104" i="11"/>
  <c r="C104" i="11"/>
  <c r="E103" i="11"/>
  <c r="D103" i="11"/>
  <c r="E101" i="11"/>
  <c r="E100" i="11"/>
  <c r="D100" i="11"/>
  <c r="C100" i="11"/>
  <c r="E99" i="11"/>
  <c r="D99" i="11"/>
  <c r="C99" i="11"/>
  <c r="E98" i="11"/>
  <c r="D98" i="11"/>
  <c r="C98" i="11"/>
  <c r="E97" i="11"/>
  <c r="D97" i="11"/>
  <c r="C97" i="11"/>
  <c r="E94" i="11"/>
  <c r="E92" i="11" s="1"/>
  <c r="D94" i="11"/>
  <c r="D92" i="11" s="1"/>
  <c r="C92" i="11"/>
  <c r="E91" i="11"/>
  <c r="D91" i="11"/>
  <c r="C91" i="11"/>
  <c r="C88" i="11" s="1"/>
  <c r="E89" i="11"/>
  <c r="D89" i="11"/>
  <c r="E87" i="11"/>
  <c r="D87" i="11"/>
  <c r="C87" i="11"/>
  <c r="E84" i="11"/>
  <c r="D84" i="11"/>
  <c r="C84" i="11"/>
  <c r="E79" i="11"/>
  <c r="E78" i="11" s="1"/>
  <c r="D79" i="11"/>
  <c r="D78" i="11" s="1"/>
  <c r="C79" i="11"/>
  <c r="C78" i="11" s="1"/>
  <c r="E75" i="11"/>
  <c r="D75" i="11"/>
  <c r="C75" i="11"/>
  <c r="E74" i="11"/>
  <c r="E73" i="11" s="1"/>
  <c r="D74" i="11"/>
  <c r="D73" i="11" s="1"/>
  <c r="C73" i="11"/>
  <c r="E71" i="11"/>
  <c r="D71" i="11"/>
  <c r="C71" i="11"/>
  <c r="E69" i="11"/>
  <c r="D69" i="11"/>
  <c r="C69" i="11"/>
  <c r="E68" i="11"/>
  <c r="D68" i="11"/>
  <c r="C68" i="11"/>
  <c r="E60" i="11"/>
  <c r="D60" i="11"/>
  <c r="E58" i="11"/>
  <c r="D58" i="11"/>
  <c r="E57" i="11"/>
  <c r="D57" i="11"/>
  <c r="E55" i="11"/>
  <c r="D55" i="11"/>
  <c r="C55" i="11"/>
  <c r="C41" i="11" s="1"/>
  <c r="E38" i="11"/>
  <c r="E33" i="11" s="1"/>
  <c r="D38" i="11"/>
  <c r="D33" i="11" s="1"/>
  <c r="C33" i="11"/>
  <c r="E31" i="11"/>
  <c r="D31" i="11"/>
  <c r="C31" i="11"/>
  <c r="I30" i="11"/>
  <c r="I17" i="11"/>
  <c r="E16" i="11"/>
  <c r="D16" i="11"/>
  <c r="E15" i="11"/>
  <c r="D15" i="11"/>
  <c r="C12" i="11"/>
  <c r="E4" i="11"/>
  <c r="D4" i="11"/>
  <c r="C4" i="11"/>
  <c r="C307" i="3"/>
  <c r="C300" i="3"/>
  <c r="C280" i="3"/>
  <c r="C276" i="3"/>
  <c r="C268" i="3"/>
  <c r="E88" i="11" l="1"/>
  <c r="D163" i="11"/>
  <c r="D181" i="11" s="1"/>
  <c r="D183" i="11" s="1"/>
  <c r="D41" i="11"/>
  <c r="E163" i="11"/>
  <c r="F126" i="11"/>
  <c r="D12" i="11"/>
  <c r="D59" i="11" s="1"/>
  <c r="D61" i="11" s="1"/>
  <c r="D175" i="11" s="1"/>
  <c r="D186" i="11" s="1"/>
  <c r="D189" i="11" s="1"/>
  <c r="H74" i="11"/>
  <c r="D67" i="11"/>
  <c r="D83" i="11"/>
  <c r="E102" i="11"/>
  <c r="E67" i="11"/>
  <c r="C59" i="11"/>
  <c r="C61" i="11" s="1"/>
  <c r="C175" i="11" s="1"/>
  <c r="E41" i="11"/>
  <c r="E117" i="11"/>
  <c r="E119" i="11" s="1"/>
  <c r="D102" i="11"/>
  <c r="C163" i="11"/>
  <c r="C181" i="11" s="1"/>
  <c r="C183" i="11" s="1"/>
  <c r="F102" i="11"/>
  <c r="H102" i="11" s="1"/>
  <c r="H4" i="11"/>
  <c r="F92" i="11"/>
  <c r="H92" i="11"/>
  <c r="D96" i="11"/>
  <c r="C110" i="11"/>
  <c r="E110" i="11"/>
  <c r="E135" i="11"/>
  <c r="E179" i="11" s="1"/>
  <c r="F117" i="11"/>
  <c r="F119" i="11" s="1"/>
  <c r="F110" i="11"/>
  <c r="H110" i="11" s="1"/>
  <c r="H78" i="11"/>
  <c r="D117" i="11"/>
  <c r="D119" i="11" s="1"/>
  <c r="D88" i="11"/>
  <c r="C102" i="11"/>
  <c r="F178" i="11"/>
  <c r="H79" i="11"/>
  <c r="H167" i="11"/>
  <c r="C96" i="11"/>
  <c r="F41" i="11"/>
  <c r="H41" i="11" s="1"/>
  <c r="F96" i="11"/>
  <c r="H96" i="11" s="1"/>
  <c r="C67" i="11"/>
  <c r="E83" i="11"/>
  <c r="D110" i="11"/>
  <c r="G183" i="11"/>
  <c r="F75" i="11"/>
  <c r="H75" i="11" s="1"/>
  <c r="F67" i="11"/>
  <c r="H67" i="11" s="1"/>
  <c r="H97" i="11"/>
  <c r="H68" i="11"/>
  <c r="H129" i="11"/>
  <c r="E126" i="11"/>
  <c r="I126" i="11" s="1"/>
  <c r="F12" i="11"/>
  <c r="H12" i="11" s="1"/>
  <c r="F88" i="11"/>
  <c r="H88" i="11" s="1"/>
  <c r="F135" i="11"/>
  <c r="H15" i="11"/>
  <c r="H137" i="11"/>
  <c r="G175" i="11"/>
  <c r="C83" i="11"/>
  <c r="F83" i="11"/>
  <c r="H83" i="11" s="1"/>
  <c r="H38" i="11"/>
  <c r="H84" i="11"/>
  <c r="H126" i="11"/>
  <c r="F163" i="11"/>
  <c r="I163" i="11" s="1"/>
  <c r="D180" i="11"/>
  <c r="C180" i="11"/>
  <c r="G180" i="11"/>
  <c r="E96" i="11"/>
  <c r="E12" i="11"/>
  <c r="E181" i="11"/>
  <c r="E183" i="11" s="1"/>
  <c r="C290" i="3"/>
  <c r="C309" i="3" s="1"/>
  <c r="C311" i="3" s="1"/>
  <c r="C284" i="3"/>
  <c r="C286" i="3" s="1"/>
  <c r="C344" i="3"/>
  <c r="E142" i="10"/>
  <c r="F59" i="11" l="1"/>
  <c r="F61" i="11" s="1"/>
  <c r="C186" i="11"/>
  <c r="C189" i="11" s="1"/>
  <c r="D116" i="11"/>
  <c r="D120" i="11" s="1"/>
  <c r="D176" i="11" s="1"/>
  <c r="D187" i="11" s="1"/>
  <c r="D190" i="11" s="1"/>
  <c r="H119" i="11"/>
  <c r="H117" i="11"/>
  <c r="G176" i="11"/>
  <c r="G187" i="11" s="1"/>
  <c r="G190" i="11" s="1"/>
  <c r="H135" i="11"/>
  <c r="I135" i="11"/>
  <c r="C116" i="11"/>
  <c r="C120" i="11" s="1"/>
  <c r="C176" i="11" s="1"/>
  <c r="E178" i="11"/>
  <c r="E180" i="11" s="1"/>
  <c r="F179" i="11"/>
  <c r="F180" i="11" s="1"/>
  <c r="F116" i="11"/>
  <c r="F120" i="11" s="1"/>
  <c r="F181" i="11"/>
  <c r="F183" i="11" s="1"/>
  <c r="H163" i="11"/>
  <c r="C312" i="3"/>
  <c r="H59" i="11"/>
  <c r="E116" i="11"/>
  <c r="E120" i="11" s="1"/>
  <c r="E176" i="11" s="1"/>
  <c r="E187" i="11" s="1"/>
  <c r="G186" i="11"/>
  <c r="G189" i="11" s="1"/>
  <c r="E59" i="11"/>
  <c r="E99" i="10"/>
  <c r="E96" i="10"/>
  <c r="C349" i="3"/>
  <c r="C345" i="3"/>
  <c r="C336" i="3"/>
  <c r="E162" i="10"/>
  <c r="E160" i="10"/>
  <c r="I59" i="11" l="1"/>
  <c r="D177" i="11"/>
  <c r="D184" i="11" s="1"/>
  <c r="H116" i="11"/>
  <c r="C343" i="3"/>
  <c r="C177" i="11"/>
  <c r="C184" i="11" s="1"/>
  <c r="C187" i="11"/>
  <c r="C190" i="11" s="1"/>
  <c r="I116" i="11"/>
  <c r="F176" i="11"/>
  <c r="F187" i="11" s="1"/>
  <c r="H120" i="11"/>
  <c r="F175" i="11"/>
  <c r="H61" i="11"/>
  <c r="E61" i="11"/>
  <c r="G177" i="11"/>
  <c r="G184" i="11" s="1"/>
  <c r="E190" i="11"/>
  <c r="G142" i="10"/>
  <c r="C329" i="3"/>
  <c r="E131" i="10"/>
  <c r="G131" i="10"/>
  <c r="E135" i="10"/>
  <c r="G135" i="10" s="1"/>
  <c r="E152" i="10"/>
  <c r="E127" i="10"/>
  <c r="C354" i="3"/>
  <c r="C326" i="3"/>
  <c r="G162" i="10"/>
  <c r="G164" i="10"/>
  <c r="G165" i="10"/>
  <c r="G161" i="10"/>
  <c r="G160" i="10"/>
  <c r="G126" i="10"/>
  <c r="G127" i="10"/>
  <c r="G128" i="10"/>
  <c r="G130" i="10"/>
  <c r="G132" i="10"/>
  <c r="G134" i="10"/>
  <c r="G136" i="10"/>
  <c r="G140" i="10"/>
  <c r="G139" i="10"/>
  <c r="G141" i="10"/>
  <c r="G144" i="10"/>
  <c r="G145" i="10"/>
  <c r="G146" i="10"/>
  <c r="G149" i="10"/>
  <c r="G147" i="10"/>
  <c r="G148" i="10"/>
  <c r="G150" i="10"/>
  <c r="G151" i="10"/>
  <c r="G152" i="10"/>
  <c r="G153" i="10"/>
  <c r="G68" i="10"/>
  <c r="G70" i="10"/>
  <c r="G74" i="10"/>
  <c r="G75" i="10"/>
  <c r="G78" i="10"/>
  <c r="G79" i="10"/>
  <c r="G80" i="10"/>
  <c r="G83" i="10"/>
  <c r="G84" i="10"/>
  <c r="G88" i="10"/>
  <c r="G91" i="10"/>
  <c r="G93" i="10"/>
  <c r="G99" i="10"/>
  <c r="G103" i="10"/>
  <c r="G104" i="10"/>
  <c r="G105" i="10"/>
  <c r="G107" i="10"/>
  <c r="G112" i="10"/>
  <c r="G113" i="10"/>
  <c r="G116" i="10"/>
  <c r="G5" i="10"/>
  <c r="G6" i="10"/>
  <c r="G7" i="10"/>
  <c r="G8" i="10"/>
  <c r="G9" i="10"/>
  <c r="G10" i="10"/>
  <c r="G11" i="10"/>
  <c r="G13" i="10"/>
  <c r="G14" i="10"/>
  <c r="G17" i="10"/>
  <c r="G18" i="10"/>
  <c r="G20" i="10"/>
  <c r="G21" i="10"/>
  <c r="G22" i="10"/>
  <c r="G23" i="10"/>
  <c r="G24" i="10"/>
  <c r="G25" i="10"/>
  <c r="G26" i="10"/>
  <c r="G27" i="10"/>
  <c r="G28" i="10"/>
  <c r="G29" i="10"/>
  <c r="G30" i="10"/>
  <c r="G32" i="10"/>
  <c r="G34" i="10"/>
  <c r="G35" i="10"/>
  <c r="G36" i="10"/>
  <c r="G37" i="10"/>
  <c r="G39" i="10"/>
  <c r="G40" i="10"/>
  <c r="G42" i="10"/>
  <c r="G43" i="10"/>
  <c r="G44" i="10"/>
  <c r="G45" i="10"/>
  <c r="G46" i="10"/>
  <c r="G47" i="10"/>
  <c r="G48" i="10"/>
  <c r="G49" i="10"/>
  <c r="G51" i="10"/>
  <c r="G54" i="10"/>
  <c r="E159" i="10"/>
  <c r="E163" i="10"/>
  <c r="E179" i="10" s="1"/>
  <c r="E129" i="10"/>
  <c r="E124" i="10" s="1"/>
  <c r="E66" i="10"/>
  <c r="E67" i="10"/>
  <c r="G67" i="10" s="1"/>
  <c r="E69" i="10"/>
  <c r="G69" i="10" s="1"/>
  <c r="E72" i="10"/>
  <c r="E71" i="10" s="1"/>
  <c r="E73" i="10"/>
  <c r="E77" i="10"/>
  <c r="G77" i="10" s="1"/>
  <c r="E82" i="10"/>
  <c r="E85" i="10"/>
  <c r="G85" i="10" s="1"/>
  <c r="E87" i="10"/>
  <c r="G87" i="10" s="1"/>
  <c r="E89" i="10"/>
  <c r="G89" i="10" s="1"/>
  <c r="E92" i="10"/>
  <c r="E90" i="10" s="1"/>
  <c r="E95" i="10"/>
  <c r="G96" i="10"/>
  <c r="E97" i="10"/>
  <c r="G97" i="10" s="1"/>
  <c r="E98" i="10"/>
  <c r="G98" i="10" s="1"/>
  <c r="E101" i="10"/>
  <c r="E102" i="10"/>
  <c r="G102" i="10" s="1"/>
  <c r="E106" i="10"/>
  <c r="G106" i="10" s="1"/>
  <c r="E109" i="10"/>
  <c r="E110" i="10"/>
  <c r="G110" i="10" s="1"/>
  <c r="E111" i="10"/>
  <c r="G111" i="10" s="1"/>
  <c r="E4" i="10"/>
  <c r="E15" i="10"/>
  <c r="G15" i="10" s="1"/>
  <c r="E16" i="10"/>
  <c r="G16" i="10" s="1"/>
  <c r="E31" i="10"/>
  <c r="E38" i="10"/>
  <c r="E33" i="10" s="1"/>
  <c r="E53" i="10"/>
  <c r="E55" i="10"/>
  <c r="G55" i="10" s="1"/>
  <c r="E56" i="10"/>
  <c r="G56" i="10" s="1"/>
  <c r="E58" i="10"/>
  <c r="G58" i="10" s="1"/>
  <c r="F190" i="11" l="1"/>
  <c r="I190" i="11" s="1"/>
  <c r="I187" i="11"/>
  <c r="F186" i="11"/>
  <c r="F177" i="11"/>
  <c r="F184" i="11" s="1"/>
  <c r="E175" i="11"/>
  <c r="G38" i="10"/>
  <c r="E178" i="10"/>
  <c r="G92" i="10"/>
  <c r="E41" i="10"/>
  <c r="E115" i="10"/>
  <c r="E117" i="10" s="1"/>
  <c r="E81" i="10"/>
  <c r="G72" i="10"/>
  <c r="E133" i="10"/>
  <c r="G53" i="10"/>
  <c r="E94" i="10"/>
  <c r="E76" i="10"/>
  <c r="E180" i="10"/>
  <c r="G95" i="10"/>
  <c r="E108" i="10"/>
  <c r="E65" i="10"/>
  <c r="G82" i="10"/>
  <c r="G66" i="10"/>
  <c r="E12" i="10"/>
  <c r="E100" i="10"/>
  <c r="E86" i="10"/>
  <c r="G109" i="10"/>
  <c r="G101" i="10"/>
  <c r="G129" i="10"/>
  <c r="E175" i="10"/>
  <c r="C361" i="3"/>
  <c r="C363" i="3" s="1"/>
  <c r="C366" i="3" s="1"/>
  <c r="C333" i="3"/>
  <c r="C325" i="3"/>
  <c r="F163" i="10"/>
  <c r="D163" i="10"/>
  <c r="D179" i="10" s="1"/>
  <c r="C163" i="10"/>
  <c r="C179" i="10" s="1"/>
  <c r="D162" i="10"/>
  <c r="C162" i="10"/>
  <c r="D160" i="10"/>
  <c r="C160" i="10"/>
  <c r="F159" i="10"/>
  <c r="F133" i="10"/>
  <c r="F176" i="10" s="1"/>
  <c r="D133" i="10"/>
  <c r="D176" i="10" s="1"/>
  <c r="C133" i="10"/>
  <c r="C176" i="10" s="1"/>
  <c r="D129" i="10"/>
  <c r="D124" i="10" s="1"/>
  <c r="D175" i="10" s="1"/>
  <c r="F124" i="10"/>
  <c r="F175" i="10" s="1"/>
  <c r="C124" i="10"/>
  <c r="C175" i="10" s="1"/>
  <c r="F115" i="10"/>
  <c r="C115" i="10"/>
  <c r="C117" i="10" s="1"/>
  <c r="D111" i="10"/>
  <c r="C111" i="10"/>
  <c r="D110" i="10"/>
  <c r="C110" i="10"/>
  <c r="D109" i="10"/>
  <c r="C109" i="10"/>
  <c r="F108" i="10"/>
  <c r="D106" i="10"/>
  <c r="C106" i="10"/>
  <c r="D102" i="10"/>
  <c r="C102" i="10"/>
  <c r="D101" i="10"/>
  <c r="D100" i="10" s="1"/>
  <c r="F100" i="10"/>
  <c r="D98" i="10"/>
  <c r="C98" i="10"/>
  <c r="D97" i="10"/>
  <c r="C97" i="10"/>
  <c r="D96" i="10"/>
  <c r="C96" i="10"/>
  <c r="D95" i="10"/>
  <c r="C95" i="10"/>
  <c r="F94" i="10"/>
  <c r="D92" i="10"/>
  <c r="D90" i="10" s="1"/>
  <c r="F90" i="10"/>
  <c r="G90" i="10" s="1"/>
  <c r="C90" i="10"/>
  <c r="D89" i="10"/>
  <c r="C89" i="10"/>
  <c r="C86" i="10" s="1"/>
  <c r="D87" i="10"/>
  <c r="F86" i="10"/>
  <c r="D85" i="10"/>
  <c r="C85" i="10"/>
  <c r="D82" i="10"/>
  <c r="C82" i="10"/>
  <c r="F81" i="10"/>
  <c r="G81" i="10" s="1"/>
  <c r="D77" i="10"/>
  <c r="D76" i="10" s="1"/>
  <c r="C77" i="10"/>
  <c r="C76" i="10" s="1"/>
  <c r="F76" i="10"/>
  <c r="G76" i="10" s="1"/>
  <c r="F73" i="10"/>
  <c r="G73" i="10" s="1"/>
  <c r="D73" i="10"/>
  <c r="C73" i="10"/>
  <c r="D72" i="10"/>
  <c r="D71" i="10" s="1"/>
  <c r="F71" i="10"/>
  <c r="G71" i="10" s="1"/>
  <c r="C71" i="10"/>
  <c r="D69" i="10"/>
  <c r="C69" i="10"/>
  <c r="D67" i="10"/>
  <c r="C67" i="10"/>
  <c r="D66" i="10"/>
  <c r="C66" i="10"/>
  <c r="F65" i="10"/>
  <c r="D58" i="10"/>
  <c r="D56" i="10"/>
  <c r="D55" i="10"/>
  <c r="D53" i="10"/>
  <c r="C53" i="10"/>
  <c r="C41" i="10" s="1"/>
  <c r="F41" i="10"/>
  <c r="D38" i="10"/>
  <c r="D33" i="10" s="1"/>
  <c r="F33" i="10"/>
  <c r="G33" i="10" s="1"/>
  <c r="C33" i="10"/>
  <c r="F31" i="10"/>
  <c r="G31" i="10" s="1"/>
  <c r="D31" i="10"/>
  <c r="C31" i="10"/>
  <c r="H30" i="10"/>
  <c r="H17" i="10"/>
  <c r="D16" i="10"/>
  <c r="D15" i="10"/>
  <c r="F12" i="10"/>
  <c r="G12" i="10" s="1"/>
  <c r="C12" i="10"/>
  <c r="F4" i="10"/>
  <c r="G4" i="10" s="1"/>
  <c r="D4" i="10"/>
  <c r="C4" i="10"/>
  <c r="F189" i="11" l="1"/>
  <c r="E186" i="11"/>
  <c r="I186" i="11" s="1"/>
  <c r="E177" i="11"/>
  <c r="E184" i="11" s="1"/>
  <c r="C159" i="10"/>
  <c r="C178" i="10" s="1"/>
  <c r="D65" i="10"/>
  <c r="D12" i="10"/>
  <c r="C108" i="10"/>
  <c r="D159" i="10"/>
  <c r="D178" i="10" s="1"/>
  <c r="D180" i="10" s="1"/>
  <c r="E57" i="10"/>
  <c r="G41" i="10"/>
  <c r="C81" i="10"/>
  <c r="G86" i="10"/>
  <c r="C100" i="10"/>
  <c r="E114" i="10"/>
  <c r="E118" i="10" s="1"/>
  <c r="E173" i="10" s="1"/>
  <c r="D115" i="10"/>
  <c r="D117" i="10" s="1"/>
  <c r="D41" i="10"/>
  <c r="C94" i="10"/>
  <c r="D177" i="10"/>
  <c r="D86" i="10"/>
  <c r="D94" i="10"/>
  <c r="G108" i="10"/>
  <c r="E176" i="10"/>
  <c r="E177" i="10" s="1"/>
  <c r="H133" i="10"/>
  <c r="H124" i="10"/>
  <c r="F179" i="10"/>
  <c r="G163" i="10"/>
  <c r="G65" i="10"/>
  <c r="G100" i="10"/>
  <c r="F117" i="10"/>
  <c r="G117" i="10" s="1"/>
  <c r="G115" i="10"/>
  <c r="F178" i="10"/>
  <c r="G159" i="10"/>
  <c r="G133" i="10"/>
  <c r="G124" i="10"/>
  <c r="C65" i="10"/>
  <c r="C114" i="10" s="1"/>
  <c r="C118" i="10" s="1"/>
  <c r="C173" i="10" s="1"/>
  <c r="C184" i="10" s="1"/>
  <c r="C187" i="10" s="1"/>
  <c r="D81" i="10"/>
  <c r="G94" i="10"/>
  <c r="D108" i="10"/>
  <c r="E59" i="10"/>
  <c r="C337" i="3"/>
  <c r="C339" i="3" s="1"/>
  <c r="C367" i="3" s="1"/>
  <c r="F177" i="10"/>
  <c r="F57" i="10"/>
  <c r="F59" i="10" s="1"/>
  <c r="F172" i="10" s="1"/>
  <c r="C180" i="10"/>
  <c r="F114" i="10"/>
  <c r="C57" i="10"/>
  <c r="C59" i="10" s="1"/>
  <c r="C172" i="10" s="1"/>
  <c r="C183" i="10" s="1"/>
  <c r="C186" i="10" s="1"/>
  <c r="C177" i="10"/>
  <c r="G17" i="7"/>
  <c r="F17" i="7"/>
  <c r="G30" i="7"/>
  <c r="F30" i="7"/>
  <c r="D56" i="7"/>
  <c r="D15" i="7"/>
  <c r="D16" i="7"/>
  <c r="E189" i="11" l="1"/>
  <c r="I189" i="11" s="1"/>
  <c r="D57" i="10"/>
  <c r="D59" i="10" s="1"/>
  <c r="D172" i="10" s="1"/>
  <c r="H159" i="10"/>
  <c r="F180" i="10"/>
  <c r="D114" i="10"/>
  <c r="D118" i="10" s="1"/>
  <c r="D173" i="10" s="1"/>
  <c r="D184" i="10" s="1"/>
  <c r="D187" i="10" s="1"/>
  <c r="E184" i="10"/>
  <c r="E187" i="10" s="1"/>
  <c r="F118" i="10"/>
  <c r="G114" i="10"/>
  <c r="G57" i="10"/>
  <c r="G59" i="10"/>
  <c r="E172" i="10"/>
  <c r="F183" i="10"/>
  <c r="F186" i="10" s="1"/>
  <c r="C174" i="10"/>
  <c r="C181" i="10" s="1"/>
  <c r="D183" i="10"/>
  <c r="D101" i="7"/>
  <c r="D158" i="7"/>
  <c r="D129" i="7"/>
  <c r="D102" i="7"/>
  <c r="D92" i="7"/>
  <c r="D87" i="7"/>
  <c r="D72" i="7"/>
  <c r="D71" i="7" s="1"/>
  <c r="D69" i="7"/>
  <c r="D66" i="7"/>
  <c r="D160" i="7"/>
  <c r="D161" i="7"/>
  <c r="E161" i="7"/>
  <c r="D124" i="7"/>
  <c r="E124" i="7"/>
  <c r="D133" i="7"/>
  <c r="E133" i="7"/>
  <c r="D67" i="7"/>
  <c r="E71" i="7"/>
  <c r="D73" i="7"/>
  <c r="E73" i="7"/>
  <c r="D77" i="7"/>
  <c r="D76" i="7" s="1"/>
  <c r="E76" i="7"/>
  <c r="D82" i="7"/>
  <c r="D85" i="7"/>
  <c r="D89" i="7"/>
  <c r="E86" i="7"/>
  <c r="D90" i="7"/>
  <c r="E90" i="7"/>
  <c r="D95" i="7"/>
  <c r="D96" i="7"/>
  <c r="D97" i="7"/>
  <c r="D98" i="7"/>
  <c r="D106" i="7"/>
  <c r="D109" i="7"/>
  <c r="D110" i="7"/>
  <c r="D111" i="7"/>
  <c r="E115" i="7"/>
  <c r="E117" i="7" s="1"/>
  <c r="D58" i="7"/>
  <c r="D115" i="7" s="1"/>
  <c r="D117" i="7" s="1"/>
  <c r="D55" i="7"/>
  <c r="D53" i="7"/>
  <c r="D38" i="7"/>
  <c r="D33" i="7" s="1"/>
  <c r="D4" i="7"/>
  <c r="D12" i="7"/>
  <c r="D31" i="7"/>
  <c r="H57" i="10" l="1"/>
  <c r="D174" i="10"/>
  <c r="D181" i="10" s="1"/>
  <c r="H114" i="10"/>
  <c r="H184" i="10"/>
  <c r="H187" i="10"/>
  <c r="F173" i="10"/>
  <c r="G118" i="10"/>
  <c r="E174" i="10"/>
  <c r="E181" i="10" s="1"/>
  <c r="E183" i="10"/>
  <c r="D186" i="10"/>
  <c r="D65" i="7"/>
  <c r="D157" i="7"/>
  <c r="E81" i="7"/>
  <c r="E157" i="7"/>
  <c r="E108" i="7"/>
  <c r="D94" i="7"/>
  <c r="D81" i="7"/>
  <c r="D108" i="7"/>
  <c r="E100" i="7"/>
  <c r="D86" i="7"/>
  <c r="D41" i="7"/>
  <c r="D57" i="7" s="1"/>
  <c r="D59" i="7" s="1"/>
  <c r="D170" i="7" s="1"/>
  <c r="D100" i="7"/>
  <c r="E94" i="7"/>
  <c r="E65" i="7"/>
  <c r="C412" i="3"/>
  <c r="C426" i="3"/>
  <c r="D363" i="3"/>
  <c r="E177" i="7"/>
  <c r="D177" i="7"/>
  <c r="C161" i="7"/>
  <c r="C177" i="7" s="1"/>
  <c r="C160" i="7"/>
  <c r="D176" i="7"/>
  <c r="C158" i="7"/>
  <c r="C157" i="7" s="1"/>
  <c r="C176" i="7" s="1"/>
  <c r="D174" i="7"/>
  <c r="C133" i="7"/>
  <c r="C174" i="7" s="1"/>
  <c r="D173" i="7"/>
  <c r="C124" i="7"/>
  <c r="C173" i="7" s="1"/>
  <c r="C115" i="7"/>
  <c r="C117" i="7" s="1"/>
  <c r="C111" i="7"/>
  <c r="C110" i="7"/>
  <c r="C109" i="7"/>
  <c r="C106" i="7"/>
  <c r="C102" i="7"/>
  <c r="C98" i="7"/>
  <c r="C97" i="7"/>
  <c r="C96" i="7"/>
  <c r="C95" i="7"/>
  <c r="C90" i="7"/>
  <c r="C89" i="7"/>
  <c r="C86" i="7" s="1"/>
  <c r="C85" i="7"/>
  <c r="C81" i="7" s="1"/>
  <c r="C82" i="7"/>
  <c r="C77" i="7"/>
  <c r="C76" i="7" s="1"/>
  <c r="C73" i="7"/>
  <c r="C71" i="7"/>
  <c r="C69" i="7"/>
  <c r="C67" i="7"/>
  <c r="C66" i="7"/>
  <c r="E41" i="7"/>
  <c r="C53" i="7"/>
  <c r="C41" i="7" s="1"/>
  <c r="E33" i="7"/>
  <c r="C33" i="7"/>
  <c r="E31" i="7"/>
  <c r="C31" i="7"/>
  <c r="E12" i="7"/>
  <c r="C12" i="7"/>
  <c r="E4" i="7"/>
  <c r="C4" i="7"/>
  <c r="E186" i="10" l="1"/>
  <c r="H186" i="10" s="1"/>
  <c r="H183" i="10"/>
  <c r="F184" i="10"/>
  <c r="F187" i="10" s="1"/>
  <c r="F174" i="10"/>
  <c r="F181" i="10" s="1"/>
  <c r="E114" i="7"/>
  <c r="E118" i="7" s="1"/>
  <c r="E171" i="7" s="1"/>
  <c r="D114" i="7"/>
  <c r="D118" i="7" s="1"/>
  <c r="C65" i="7"/>
  <c r="C108" i="7"/>
  <c r="C175" i="7"/>
  <c r="C94" i="7"/>
  <c r="D175" i="7"/>
  <c r="E57" i="7"/>
  <c r="E59" i="7" s="1"/>
  <c r="E170" i="7" s="1"/>
  <c r="C100" i="7"/>
  <c r="C57" i="7"/>
  <c r="C59" i="7" s="1"/>
  <c r="C170" i="7" s="1"/>
  <c r="C181" i="7" s="1"/>
  <c r="C184" i="7" s="1"/>
  <c r="D171" i="7"/>
  <c r="D181" i="7"/>
  <c r="E174" i="7"/>
  <c r="C178" i="7"/>
  <c r="D178" i="7"/>
  <c r="E173" i="7"/>
  <c r="E176" i="7"/>
  <c r="E178" i="7" s="1"/>
  <c r="C158" i="6"/>
  <c r="C161" i="6"/>
  <c r="C177" i="6" s="1"/>
  <c r="C160" i="6"/>
  <c r="C157" i="6" s="1"/>
  <c r="C176" i="6" s="1"/>
  <c r="C132" i="6"/>
  <c r="C174" i="6" s="1"/>
  <c r="C123" i="6"/>
  <c r="C173" i="6" s="1"/>
  <c r="C175" i="6" s="1"/>
  <c r="C114" i="6"/>
  <c r="C116" i="6" s="1"/>
  <c r="C110" i="6"/>
  <c r="C107" i="6" s="1"/>
  <c r="C109" i="6"/>
  <c r="C108" i="6"/>
  <c r="C105" i="6"/>
  <c r="C101" i="6"/>
  <c r="C97" i="6"/>
  <c r="C96" i="6"/>
  <c r="C95" i="6"/>
  <c r="C94" i="6"/>
  <c r="C89" i="6"/>
  <c r="C88" i="6"/>
  <c r="C85" i="6" s="1"/>
  <c r="C84" i="6"/>
  <c r="C80" i="6" s="1"/>
  <c r="C81" i="6"/>
  <c r="C76" i="6"/>
  <c r="C75" i="6"/>
  <c r="C72" i="6"/>
  <c r="C70" i="6"/>
  <c r="C68" i="6"/>
  <c r="C66" i="6"/>
  <c r="C65" i="6"/>
  <c r="C52" i="6"/>
  <c r="C40" i="6" s="1"/>
  <c r="C33" i="6"/>
  <c r="C31" i="6"/>
  <c r="C12" i="6"/>
  <c r="C4" i="6"/>
  <c r="C56" i="6" l="1"/>
  <c r="C58" i="6" s="1"/>
  <c r="C170" i="6" s="1"/>
  <c r="C64" i="6"/>
  <c r="C113" i="6" s="1"/>
  <c r="C117" i="6" s="1"/>
  <c r="C171" i="6" s="1"/>
  <c r="C93" i="6"/>
  <c r="C99" i="6"/>
  <c r="C114" i="7"/>
  <c r="C118" i="7" s="1"/>
  <c r="C171" i="7" s="1"/>
  <c r="E172" i="7"/>
  <c r="D184" i="7"/>
  <c r="G184" i="7" s="1"/>
  <c r="G181" i="7"/>
  <c r="C182" i="7"/>
  <c r="C185" i="7" s="1"/>
  <c r="C172" i="7"/>
  <c r="C179" i="7" s="1"/>
  <c r="D182" i="7"/>
  <c r="D172" i="7"/>
  <c r="D179" i="7" s="1"/>
  <c r="E175" i="7"/>
  <c r="E181" i="7"/>
  <c r="E184" i="7" s="1"/>
  <c r="E182" i="7"/>
  <c r="E185" i="7" s="1"/>
  <c r="C181" i="6"/>
  <c r="C184" i="6" s="1"/>
  <c r="C178" i="6"/>
  <c r="C182" i="6" l="1"/>
  <c r="C185" i="6" s="1"/>
  <c r="C172" i="6"/>
  <c r="E179" i="7"/>
  <c r="D185" i="7"/>
  <c r="G185" i="7" s="1"/>
  <c r="G182" i="7"/>
  <c r="C179" i="6"/>
  <c r="C423" i="3"/>
  <c r="C419" i="3"/>
  <c r="C408" i="3"/>
  <c r="C398" i="3"/>
  <c r="C395" i="3"/>
  <c r="C380" i="3"/>
  <c r="C425" i="3" l="1"/>
  <c r="C428" i="3" s="1"/>
  <c r="C402" i="3"/>
  <c r="C404" i="3" s="1"/>
  <c r="D160" i="2"/>
  <c r="E81" i="2"/>
  <c r="F81" i="2"/>
  <c r="D81" i="2"/>
  <c r="C429" i="3" l="1"/>
  <c r="D33" i="2"/>
  <c r="E33" i="2"/>
  <c r="F33" i="2"/>
  <c r="D12" i="2"/>
  <c r="E12" i="2"/>
  <c r="F12" i="2"/>
  <c r="D4" i="2"/>
  <c r="E4" i="2"/>
  <c r="F4" i="2"/>
  <c r="D123" i="2"/>
  <c r="E123" i="2"/>
  <c r="F123" i="2"/>
  <c r="D132" i="2"/>
  <c r="E132" i="2"/>
  <c r="F132" i="2"/>
  <c r="E157" i="2"/>
  <c r="F157" i="2"/>
  <c r="D161" i="2"/>
  <c r="E161" i="2"/>
  <c r="F161" i="2"/>
  <c r="D157" i="2"/>
  <c r="F105" i="2"/>
  <c r="E105" i="2"/>
  <c r="D105" i="2"/>
  <c r="G105" i="2" s="1"/>
  <c r="E68" i="2"/>
  <c r="F68" i="2"/>
  <c r="D68" i="2"/>
  <c r="E101" i="2"/>
  <c r="F101" i="2"/>
  <c r="D101" i="2"/>
  <c r="F88" i="2"/>
  <c r="E88" i="2"/>
  <c r="D88" i="2"/>
  <c r="E66" i="2"/>
  <c r="F66" i="2"/>
  <c r="D66" i="2"/>
  <c r="F65" i="2"/>
  <c r="E65" i="2"/>
  <c r="D65" i="2"/>
  <c r="F76" i="2" l="1"/>
  <c r="E76" i="2"/>
  <c r="D76" i="2"/>
  <c r="F84" i="2" l="1"/>
  <c r="E84" i="2"/>
  <c r="D84" i="2"/>
  <c r="F97" i="2"/>
  <c r="E97" i="2"/>
  <c r="D97" i="2"/>
  <c r="E96" i="2"/>
  <c r="F96" i="2"/>
  <c r="D96" i="2"/>
  <c r="E95" i="2"/>
  <c r="F95" i="2"/>
  <c r="D95" i="2"/>
  <c r="E94" i="2"/>
  <c r="F94" i="2"/>
  <c r="D94" i="2"/>
  <c r="E114" i="2"/>
  <c r="F114" i="2"/>
  <c r="D109" i="2" l="1"/>
  <c r="E110" i="2"/>
  <c r="F110" i="2"/>
  <c r="D110" i="2"/>
  <c r="E108" i="2"/>
  <c r="F108" i="2"/>
  <c r="D108" i="2"/>
  <c r="H30" i="2" l="1"/>
  <c r="G30" i="2"/>
  <c r="G17" i="2"/>
  <c r="E116" i="2" l="1"/>
  <c r="F116" i="2"/>
  <c r="C38" i="2" l="1"/>
  <c r="C161" i="2"/>
  <c r="C177" i="2" s="1"/>
  <c r="C158" i="2"/>
  <c r="C157" i="2" s="1"/>
  <c r="C176" i="2" s="1"/>
  <c r="C140" i="2"/>
  <c r="C132" i="2" s="1"/>
  <c r="C151" i="2"/>
  <c r="C125" i="2"/>
  <c r="C123" i="2" s="1"/>
  <c r="C173" i="2" s="1"/>
  <c r="C110" i="2"/>
  <c r="C109" i="2"/>
  <c r="C108" i="2"/>
  <c r="C105" i="2"/>
  <c r="C104" i="2"/>
  <c r="C103" i="2"/>
  <c r="C102" i="2"/>
  <c r="C101" i="2"/>
  <c r="C100" i="2"/>
  <c r="C98" i="2"/>
  <c r="C95" i="2"/>
  <c r="C92" i="2"/>
  <c r="C89" i="2" s="1"/>
  <c r="C87" i="2"/>
  <c r="C86" i="2"/>
  <c r="C84" i="2"/>
  <c r="C82" i="2"/>
  <c r="C81" i="2"/>
  <c r="C76" i="2"/>
  <c r="C75" i="2" s="1"/>
  <c r="C74" i="2"/>
  <c r="C73" i="2"/>
  <c r="C72" i="2" s="1"/>
  <c r="C71" i="2"/>
  <c r="C70" i="2" s="1"/>
  <c r="C68" i="2"/>
  <c r="C67" i="2"/>
  <c r="C66" i="2"/>
  <c r="C65" i="2"/>
  <c r="C57" i="2"/>
  <c r="C55" i="2"/>
  <c r="C54" i="2"/>
  <c r="C52" i="2"/>
  <c r="C46" i="2"/>
  <c r="C45" i="2"/>
  <c r="C44" i="2"/>
  <c r="C43" i="2"/>
  <c r="C37" i="2"/>
  <c r="C36" i="2"/>
  <c r="C32" i="2"/>
  <c r="C31" i="2" s="1"/>
  <c r="C27" i="2"/>
  <c r="C25" i="2"/>
  <c r="C23" i="2"/>
  <c r="C22" i="2"/>
  <c r="C21" i="2"/>
  <c r="C17" i="2"/>
  <c r="C16" i="2"/>
  <c r="C13" i="2"/>
  <c r="C5" i="2"/>
  <c r="C4" i="2" s="1"/>
  <c r="C178" i="2" l="1"/>
  <c r="C174" i="2"/>
  <c r="C175" i="2" s="1"/>
  <c r="C93" i="2"/>
  <c r="C114" i="2"/>
  <c r="C116" i="2" s="1"/>
  <c r="C85" i="2"/>
  <c r="C107" i="2"/>
  <c r="C99" i="2"/>
  <c r="C64" i="2"/>
  <c r="C12" i="2"/>
  <c r="C80" i="2"/>
  <c r="C40" i="2"/>
  <c r="C33" i="2"/>
  <c r="C56" i="2" l="1"/>
  <c r="C58" i="2" s="1"/>
  <c r="C170" i="2" s="1"/>
  <c r="C113" i="2"/>
  <c r="C117" i="2" s="1"/>
  <c r="C171" i="2" s="1"/>
  <c r="C182" i="2" s="1"/>
  <c r="C185" i="2" s="1"/>
  <c r="C172" i="2" l="1"/>
  <c r="C179" i="2" s="1"/>
  <c r="C181" i="2"/>
  <c r="C184" i="2" s="1"/>
  <c r="F177" i="2"/>
  <c r="E177" i="2"/>
  <c r="D177" i="2"/>
  <c r="F176" i="2"/>
  <c r="E176" i="2"/>
  <c r="F174" i="2"/>
  <c r="E174" i="2"/>
  <c r="D174" i="2"/>
  <c r="D173" i="2"/>
  <c r="F173" i="2"/>
  <c r="E173" i="2"/>
  <c r="E175" i="2" s="1"/>
  <c r="D114" i="2"/>
  <c r="D116" i="2" s="1"/>
  <c r="F107" i="2"/>
  <c r="E107" i="2"/>
  <c r="D107" i="2"/>
  <c r="F99" i="2"/>
  <c r="E99" i="2"/>
  <c r="D99" i="2"/>
  <c r="F93" i="2"/>
  <c r="E93" i="2"/>
  <c r="D93" i="2"/>
  <c r="F89" i="2"/>
  <c r="E89" i="2"/>
  <c r="D89" i="2"/>
  <c r="F85" i="2"/>
  <c r="E85" i="2"/>
  <c r="D85" i="2"/>
  <c r="F80" i="2"/>
  <c r="E80" i="2"/>
  <c r="D80" i="2"/>
  <c r="F75" i="2"/>
  <c r="E75" i="2"/>
  <c r="D75" i="2"/>
  <c r="F72" i="2"/>
  <c r="E72" i="2"/>
  <c r="D72" i="2"/>
  <c r="F70" i="2"/>
  <c r="E70" i="2"/>
  <c r="D70" i="2"/>
  <c r="F67" i="2"/>
  <c r="F64" i="2" s="1"/>
  <c r="E67" i="2"/>
  <c r="E64" i="2" s="1"/>
  <c r="D64" i="2"/>
  <c r="F52" i="2"/>
  <c r="F40" i="2" s="1"/>
  <c r="E52" i="2"/>
  <c r="E40" i="2" s="1"/>
  <c r="D52" i="2"/>
  <c r="D40" i="2" s="1"/>
  <c r="F32" i="2"/>
  <c r="F31" i="2" s="1"/>
  <c r="E32" i="2"/>
  <c r="E31" i="2" s="1"/>
  <c r="E56" i="2" s="1"/>
  <c r="E58" i="2" s="1"/>
  <c r="D31" i="2"/>
  <c r="F56" i="2" l="1"/>
  <c r="F58" i="2" s="1"/>
  <c r="D113" i="2"/>
  <c r="D117" i="2" s="1"/>
  <c r="D171" i="2" s="1"/>
  <c r="E113" i="2"/>
  <c r="E117" i="2" s="1"/>
  <c r="E171" i="2" s="1"/>
  <c r="D56" i="2"/>
  <c r="D58" i="2" s="1"/>
  <c r="F113" i="2"/>
  <c r="D176" i="2"/>
  <c r="D178" i="2" s="1"/>
  <c r="H132" i="2"/>
  <c r="F175" i="2"/>
  <c r="D175" i="2"/>
  <c r="E178" i="2"/>
  <c r="F117" i="2"/>
  <c r="F171" i="2" s="1"/>
  <c r="F178" i="2"/>
  <c r="E182" i="2" l="1"/>
  <c r="E185" i="2" s="1"/>
  <c r="D182" i="2"/>
  <c r="D185" i="2" s="1"/>
  <c r="D170" i="2"/>
  <c r="D181" i="2" s="1"/>
  <c r="D184" i="2" s="1"/>
  <c r="F170" i="2"/>
  <c r="F181" i="2" s="1"/>
  <c r="F184" i="2" s="1"/>
  <c r="E170" i="2"/>
  <c r="E181" i="2" s="1"/>
  <c r="E184" i="2" s="1"/>
  <c r="F182" i="2"/>
  <c r="F185" i="2" s="1"/>
  <c r="F172" i="2" l="1"/>
  <c r="F179" i="2" s="1"/>
  <c r="D172" i="2"/>
  <c r="D179" i="2" s="1"/>
  <c r="E172" i="2"/>
  <c r="E179" i="2" s="1"/>
  <c r="G119" i="13"/>
  <c r="G125" i="13" l="1"/>
  <c r="G185" i="13" s="1"/>
  <c r="L185" i="13" s="1"/>
  <c r="K119" i="13"/>
  <c r="G196" i="13"/>
  <c r="G186" i="13"/>
  <c r="L186" i="13" s="1"/>
  <c r="G199" i="13" l="1"/>
  <c r="L199" i="13" s="1"/>
  <c r="L196" i="13"/>
  <c r="G193" i="13"/>
  <c r="L193" i="13" s="1"/>
</calcChain>
</file>

<file path=xl/comments1.xml><?xml version="1.0" encoding="utf-8"?>
<comments xmlns="http://schemas.openxmlformats.org/spreadsheetml/2006/main">
  <authors>
    <author>Autor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  <comment ref="A8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  <comment ref="A13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  <comment ref="A22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  <comment ref="A28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  <comment ref="A33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  <comment ref="A40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B10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<sst xmlns="http://schemas.openxmlformats.org/spreadsheetml/2006/main" count="3007" uniqueCount="511">
  <si>
    <t>Bežný rozpočet - príjmy</t>
  </si>
  <si>
    <t>Názov položky</t>
  </si>
  <si>
    <t>daňové príjmy</t>
  </si>
  <si>
    <t>výnos dane pre územnú samosprávu</t>
  </si>
  <si>
    <t>daň z nehnuteľností - pozemky, stavby, byty</t>
  </si>
  <si>
    <t>daň za psa</t>
  </si>
  <si>
    <t>daň za nevýherné hracie prístroje</t>
  </si>
  <si>
    <t>daň z ubytovania</t>
  </si>
  <si>
    <t>daň za užívanie verejného priestranstva</t>
  </si>
  <si>
    <t>MP za zber a odvoz odpadu</t>
  </si>
  <si>
    <t>nedaňové príjmy</t>
  </si>
  <si>
    <t>prenájom pozemkov</t>
  </si>
  <si>
    <t>prenájom hrobového miesta</t>
  </si>
  <si>
    <t>prenájom bytov</t>
  </si>
  <si>
    <t xml:space="preserve">prenájom budov </t>
  </si>
  <si>
    <t xml:space="preserve">prenájom strojov,prístrojov,zariadení </t>
  </si>
  <si>
    <t xml:space="preserve">správne poplatky </t>
  </si>
  <si>
    <t>pokuty, sankcie</t>
  </si>
  <si>
    <t>ostatné príjmy /relácie,kopírovanie,fax,.../</t>
  </si>
  <si>
    <t>príjem za opatrovateľskú službu</t>
  </si>
  <si>
    <t>príjem zo vstupného, kult.činnosti, HDST</t>
  </si>
  <si>
    <t>príjem za separovaný zber</t>
  </si>
  <si>
    <t>poplatok za služby v Dome smútku</t>
  </si>
  <si>
    <t>poplatok za stočné</t>
  </si>
  <si>
    <t>poplatky za služby pri užívaní obec.nebyt.priestorov</t>
  </si>
  <si>
    <t>príjem za réžiu v ŠKJ</t>
  </si>
  <si>
    <t>príspevok rodičov na náklady zariadenia ZUŠ</t>
  </si>
  <si>
    <t>príspevok rodičov na náklady zariadenia MŠ</t>
  </si>
  <si>
    <t>príjem z predaja prebytočného majetku</t>
  </si>
  <si>
    <t>úroky</t>
  </si>
  <si>
    <t>úroky z bankových účtov</t>
  </si>
  <si>
    <t>ostatné príjmy</t>
  </si>
  <si>
    <t>príjem z náhrad poistného plnenia</t>
  </si>
  <si>
    <t>príjem z výťažkov lotérií a hazardných hier</t>
  </si>
  <si>
    <t>príjem z dobropisov a vratiek</t>
  </si>
  <si>
    <t>príjem z refundácie za skladníka CO z MV SR</t>
  </si>
  <si>
    <t>príjmy z refundácií</t>
  </si>
  <si>
    <t>príjmy z refundácie zo SF</t>
  </si>
  <si>
    <t>granty, dotácie, transfery</t>
  </si>
  <si>
    <t>Dotácia MV SR - voľby</t>
  </si>
  <si>
    <t>Dotácia UPSVR na deti v hm.núdzi /strava,šk.potreby/</t>
  </si>
  <si>
    <t>Dotácia UPSVR na osobitného príjemcu rod.prídavkov</t>
  </si>
  <si>
    <t>Transfer od obcí na SpU opatr.služby</t>
  </si>
  <si>
    <t>Transfer od ZŠ na SpU školstva</t>
  </si>
  <si>
    <t>Transfer od obcí na SpU stavebný</t>
  </si>
  <si>
    <t>Dotácia BBSKna FF Kolovrátok</t>
  </si>
  <si>
    <t>Dotácia z Recyklačného fondu</t>
  </si>
  <si>
    <t>Dotácia DPO SR na Dobr.hasič.zbor obce</t>
  </si>
  <si>
    <t>Dotácia z Fondu na podporu umenia</t>
  </si>
  <si>
    <t>Dotácia MV SR na matričnú čin., register obyv., adries</t>
  </si>
  <si>
    <t>Dotácia MDVRR,MŽP na stavebný úrad</t>
  </si>
  <si>
    <t>Dotácia OkU na výchovu,vzdelávanie v MŠ</t>
  </si>
  <si>
    <t>Transfer pre ZŠ - právny subjekt</t>
  </si>
  <si>
    <t>BEŽNÉ PRÍJMY obce:</t>
  </si>
  <si>
    <t>RO</t>
  </si>
  <si>
    <t>Vlastný príjem ZŠ</t>
  </si>
  <si>
    <t>BEŽNÉ PRÍJMY CELKOM:</t>
  </si>
  <si>
    <t>Bežný rozpočet - výdavky</t>
  </si>
  <si>
    <t>01 Všeobecné verejné služby</t>
  </si>
  <si>
    <t>0111</t>
  </si>
  <si>
    <t>Výkonné a zákonodarné orgány (OÚ, OZ, komisie)</t>
  </si>
  <si>
    <t>0112</t>
  </si>
  <si>
    <t>0131</t>
  </si>
  <si>
    <t>0133</t>
  </si>
  <si>
    <t>Všeobec.služby (Matrika,REGOB,evidencie, správa)</t>
  </si>
  <si>
    <t>0160</t>
  </si>
  <si>
    <t>Všeob.verejné služby (Voľby)</t>
  </si>
  <si>
    <t>02 Obrana</t>
  </si>
  <si>
    <t>0220</t>
  </si>
  <si>
    <t>Civilná ochrana (Skladník CO, evidencie)</t>
  </si>
  <si>
    <t>03 Verejný poriadok a bezpečnosť</t>
  </si>
  <si>
    <t>0320</t>
  </si>
  <si>
    <t>Ochrana pred požiarmi (Prevádzka dobr.hasič.zboru)</t>
  </si>
  <si>
    <t>0360</t>
  </si>
  <si>
    <t>Bezpečnosť (Kamer.systém, bezpečn. projekt)</t>
  </si>
  <si>
    <t>04 Ekonomická oblasť</t>
  </si>
  <si>
    <t>0412</t>
  </si>
  <si>
    <t>Prac.oblasť (Správa prac.záležitostí, BOZP, spolupr.VS)</t>
  </si>
  <si>
    <t>0443</t>
  </si>
  <si>
    <t>Výstavba (Spoločný stavebný úrad, ver.obstarávanie)</t>
  </si>
  <si>
    <t>0451</t>
  </si>
  <si>
    <t>Cestná doprava (Údržba miest.komunikácií,chodníkov,parkovísk)</t>
  </si>
  <si>
    <t>0460</t>
  </si>
  <si>
    <t>Komunikácia (prevádzka kom.systémov, WIFI)</t>
  </si>
  <si>
    <t>05 Ochrana životného prostredia</t>
  </si>
  <si>
    <t>0510</t>
  </si>
  <si>
    <t>Naklad.s odpadmi (Zber,ulož.KO,prevádzka zber.dvora)</t>
  </si>
  <si>
    <t>0520</t>
  </si>
  <si>
    <t>Naklad.s odp.vodami (Prevádzka kanalizácie a ČOV)</t>
  </si>
  <si>
    <t>0540</t>
  </si>
  <si>
    <t>Ochrana prírody a krajiny a výrub drevín</t>
  </si>
  <si>
    <t>0560</t>
  </si>
  <si>
    <t>06 Bývanie a občianska vybavenosť</t>
  </si>
  <si>
    <t>0620</t>
  </si>
  <si>
    <t>Rozvoj obcí (Správa verejnoprospeš.zariadení)</t>
  </si>
  <si>
    <t>0640</t>
  </si>
  <si>
    <t>Verejné osvetlenie</t>
  </si>
  <si>
    <t>0660</t>
  </si>
  <si>
    <t>Bývanie a obč.vybavenosť (Byty, zdr.str,klub,mater.centrum)</t>
  </si>
  <si>
    <t>07 Zdravotníctvo</t>
  </si>
  <si>
    <t>0711</t>
  </si>
  <si>
    <t>Lieky</t>
  </si>
  <si>
    <t>0712</t>
  </si>
  <si>
    <t>Zdravotnícky materiál</t>
  </si>
  <si>
    <t>0721</t>
  </si>
  <si>
    <t>Zdravotná starostlivosť</t>
  </si>
  <si>
    <t>08 Rekreácia, kultúra a náboženstvo</t>
  </si>
  <si>
    <t>0810</t>
  </si>
  <si>
    <t>Rekreač.,šport.služby (prevádzka šport.areálu, ŠK)</t>
  </si>
  <si>
    <t>0820</t>
  </si>
  <si>
    <t>Správa kult.služieb a zariad. (KUL,MĽK,AMF,podujatia)</t>
  </si>
  <si>
    <t>0830</t>
  </si>
  <si>
    <t>Vysielacie a vydavateľské služby (Rozhlas,noviny)</t>
  </si>
  <si>
    <t>0840</t>
  </si>
  <si>
    <t>Nábož.a spoločen.služby (Domu smútku,cintorín, obrady)</t>
  </si>
  <si>
    <t>0860</t>
  </si>
  <si>
    <t>09 Vzdelávanie</t>
  </si>
  <si>
    <t>09111</t>
  </si>
  <si>
    <t>Predprimárne vzdelávanie (Prevádzka MŠ)</t>
  </si>
  <si>
    <t>0950</t>
  </si>
  <si>
    <t>09601</t>
  </si>
  <si>
    <t>Vedľ.služby v rámci predprimár. vzdel. (ŠKJ pre MŠ)</t>
  </si>
  <si>
    <t>09602</t>
  </si>
  <si>
    <t>Vedľ.služby v rámci primár. vzdel. (ŠKJ pre 1.st.ZŠ)</t>
  </si>
  <si>
    <t>09603</t>
  </si>
  <si>
    <t>Vedľ.služby v rámci niž.sekund. vzdel. (ŠKJ pre 2.st.ZŠ)</t>
  </si>
  <si>
    <t>09608</t>
  </si>
  <si>
    <t>Vedľ.služby nedefinované (ŠKJ pre ostat, SÚ ŠKOL)</t>
  </si>
  <si>
    <t>0980</t>
  </si>
  <si>
    <t>Správa a riadenie vzdelávania</t>
  </si>
  <si>
    <t>10 Sociálne zabezpečenie</t>
  </si>
  <si>
    <t>1020</t>
  </si>
  <si>
    <t>Staroba (Opatrovateľská služba a SÚ OSL)</t>
  </si>
  <si>
    <t>1040</t>
  </si>
  <si>
    <t>1050</t>
  </si>
  <si>
    <t>1070</t>
  </si>
  <si>
    <t>Sociálna pomoc občanom v soc. a hm. núdzi</t>
  </si>
  <si>
    <t>1090</t>
  </si>
  <si>
    <t>Sociálne zabezpečenie pri živel.pohromách, núdz.situáciách</t>
  </si>
  <si>
    <t>BEŽNÉ VÝDAVKY obce:</t>
  </si>
  <si>
    <t>09121</t>
  </si>
  <si>
    <t>Transfer pre ZŠ</t>
  </si>
  <si>
    <t>09502</t>
  </si>
  <si>
    <t>Transfer pre ŠKD</t>
  </si>
  <si>
    <t>Transfer pre ZŠ :</t>
  </si>
  <si>
    <t>BEŽNÉ VÝDAVKY CELKOM:</t>
  </si>
  <si>
    <t>Kapitálový rozpočet</t>
  </si>
  <si>
    <t>Kapitálové príjmy</t>
  </si>
  <si>
    <t>predaj budov</t>
  </si>
  <si>
    <t>predaj pozemkov</t>
  </si>
  <si>
    <t>KT MVSR kamerový systém</t>
  </si>
  <si>
    <t>Kapitálové výdavky</t>
  </si>
  <si>
    <t>Kamerový systém</t>
  </si>
  <si>
    <t>Chodník k žel.stanici</t>
  </si>
  <si>
    <t>0610</t>
  </si>
  <si>
    <t>Projektová dokumentácia</t>
  </si>
  <si>
    <t>Rekonštrukcia rozhlasu</t>
  </si>
  <si>
    <t xml:space="preserve"> </t>
  </si>
  <si>
    <t>Finančné operácie</t>
  </si>
  <si>
    <t>príjmové</t>
  </si>
  <si>
    <t>prevod z FRO - investičné akcie</t>
  </si>
  <si>
    <t>prevody fondu prev.údržby,opráv bytov</t>
  </si>
  <si>
    <t>návratné zdroje financovania</t>
  </si>
  <si>
    <t>výdavkové</t>
  </si>
  <si>
    <t>splácanie inv. úveru na projekty</t>
  </si>
  <si>
    <t>splácanie úveru ŠFRB</t>
  </si>
  <si>
    <t>REKAPITULÁCIA ROZPOČTU</t>
  </si>
  <si>
    <t>príjmy bežného rozpočtu</t>
  </si>
  <si>
    <t>výdavky bežného rozpočtu</t>
  </si>
  <si>
    <t>stav bežného rozpočtu</t>
  </si>
  <si>
    <t>príjmy kapitálového rozpočtu</t>
  </si>
  <si>
    <t>výdavky kapitálového rozpočtu</t>
  </si>
  <si>
    <t>stav kapitálového rozpočtu</t>
  </si>
  <si>
    <t>finančné operácie príjmové</t>
  </si>
  <si>
    <t>finančné operácie výdavkové</t>
  </si>
  <si>
    <t>rozdiel finančných operácií</t>
  </si>
  <si>
    <t>CELKOVÝ  STAV  ROZPOČTU:</t>
  </si>
  <si>
    <t>Príjmy celkom:</t>
  </si>
  <si>
    <t>Výdavky celkom:</t>
  </si>
  <si>
    <t>plnenie rozpočtu</t>
  </si>
  <si>
    <t>čerpanie rozpočtu</t>
  </si>
  <si>
    <t>Vypracovala: Mgr. A. Tkáčiková</t>
  </si>
  <si>
    <t>Spoločenská miestnosť</t>
  </si>
  <si>
    <t>Rekonštrukcia strechy na budove štadióna</t>
  </si>
  <si>
    <t>Zníž.energet.náročnosti OcÚ</t>
  </si>
  <si>
    <t>Nákup kopírovacieho stroja</t>
  </si>
  <si>
    <t>ŠKJ - vzduchotechnika, šporák,umývačka</t>
  </si>
  <si>
    <t>Záujmové vzdelávanie (Prevádzka ZUŠ, školenia)</t>
  </si>
  <si>
    <t xml:space="preserve">Oddychová zóna v športovom areáli </t>
  </si>
  <si>
    <t>Detské ihrisko v športovom areáli</t>
  </si>
  <si>
    <t>Nákup pozemkov,budov, objektov na ver. účely</t>
  </si>
  <si>
    <t>zastávka,zber.dvor,sanácia,bezbariérový,informačný,tabuľa,mikrobus,el.ZŠ</t>
  </si>
  <si>
    <t>KT EF zvýš.energ.efekt.budovy MŠ</t>
  </si>
  <si>
    <t>KT EF zvýš.energ.efekt. budovy zdrav. strediska</t>
  </si>
  <si>
    <t>KT EF Náučný chodník</t>
  </si>
  <si>
    <t xml:space="preserve">KT EF Dobudovanie kanalizácie </t>
  </si>
  <si>
    <t>KT EF zníž.energ.náročnosti budovy OcÚ</t>
  </si>
  <si>
    <t>Oporný múr na ul. Farská</t>
  </si>
  <si>
    <t>Kanalizácia (ul. Hlavná)</t>
  </si>
  <si>
    <t>Zvýšenie energ.efektív.budovy MŠ</t>
  </si>
  <si>
    <t>Dotácia UPSVR na aktivačnú činnosť, program reg.miest.zamestnávania</t>
  </si>
  <si>
    <t>Rodina a deti (Príspevky na deti v HN, osob.príjemca PND)</t>
  </si>
  <si>
    <t>Nezamestnanosť (Aktivačná činnosť a programy pre uchádz.o zamestnanie)</t>
  </si>
  <si>
    <t>Spoločenské, kultúrne, športové aktivity obce</t>
  </si>
  <si>
    <t>Ochrana živ.prostr. (Starostlivosť o ŽP, ver.zeleň, potoky, protipovodň.opatrenia,veterinárne služ.)</t>
  </si>
  <si>
    <t>Betónová plocha pod klzisko v športovom areáli</t>
  </si>
  <si>
    <t>Stavebné úpravy kotolne zdr.strediska</t>
  </si>
  <si>
    <t>Náučný chodník chotárom obce</t>
  </si>
  <si>
    <t>Propagácia, reklama, inzercia (propagač. predmety)</t>
  </si>
  <si>
    <t>Fin.a rozpoč.záležitosti (HKON,audit,popl,fin.správa, poistné)</t>
  </si>
  <si>
    <t>Rozpočet obce Heľpa na rok 2017 schválilo OZ uz.č. 349/2016   dňa 2.12.2016</t>
  </si>
  <si>
    <t>uskutočnené úpravy v rozpočtových položkách:</t>
  </si>
  <si>
    <t>(zvýšenie/zníženie predchádzajúcej výšky o sumu:)</t>
  </si>
  <si>
    <t>PRÍJMY</t>
  </si>
  <si>
    <t xml:space="preserve">Položka </t>
  </si>
  <si>
    <t>Názov</t>
  </si>
  <si>
    <t>Suma</t>
  </si>
  <si>
    <t>Bežný rozpočet</t>
  </si>
  <si>
    <t>Prevody fondu prev,údržby,opráv bytov</t>
  </si>
  <si>
    <t>Bankový úver</t>
  </si>
  <si>
    <t>Obec bez rozp.organizácie:</t>
  </si>
  <si>
    <t>Obec spolu:</t>
  </si>
  <si>
    <t>VÝDAVKY</t>
  </si>
  <si>
    <t>FNK</t>
  </si>
  <si>
    <t>Názov prvku/projektu</t>
  </si>
  <si>
    <t>Splátky istiny úveru</t>
  </si>
  <si>
    <t>BT z OkÚ Základnú školu</t>
  </si>
  <si>
    <t>BT z rozpočtu obce na rozvojové projekty</t>
  </si>
  <si>
    <t>Vypracovala: Mgr. A.Tkáčiková</t>
  </si>
  <si>
    <t>Transfer pre ZŠ nenormatívne - škola v prírode</t>
  </si>
  <si>
    <t>Transfer pre ZŠ nenormatívne - výchova a vzdelávanie</t>
  </si>
  <si>
    <t>Transfer pre ZŠ nenormatívne - asistenti učiteľa</t>
  </si>
  <si>
    <t>Nenávrat.fin.príspevok na Náučný chodník</t>
  </si>
  <si>
    <t>Prevody peňažných fondov</t>
  </si>
  <si>
    <t>1. úprava rozpočtu 2017</t>
  </si>
  <si>
    <t>1.zmena</t>
  </si>
  <si>
    <t>Príjem z prenájmu</t>
  </si>
  <si>
    <t>Príjem z dobropisov el.energie</t>
  </si>
  <si>
    <t>Príjem z ref. odmeny skladníka CO</t>
  </si>
  <si>
    <t>Dotácia na matriku</t>
  </si>
  <si>
    <t>Dotácia na register adries</t>
  </si>
  <si>
    <t>Transfer OkU na materskú školu</t>
  </si>
  <si>
    <t>Transfer pre ZŠ normatívne</t>
  </si>
  <si>
    <t>Transfer pre ZŠ nenormatívne - vzdelávacie poukazy</t>
  </si>
  <si>
    <t>Vlastný príjem ZŠ (dobropisy)</t>
  </si>
  <si>
    <t>MATR, REGOB, REGADR - plat, materiál</t>
  </si>
  <si>
    <t>Odmena skladníka CO</t>
  </si>
  <si>
    <t>ZUŠ - lekárnička</t>
  </si>
  <si>
    <t>MŠ - učeb.pomôcky z dot.</t>
  </si>
  <si>
    <t>ZUŠ - el.energia</t>
  </si>
  <si>
    <t>OU- údržba telekom.techniky</t>
  </si>
  <si>
    <t>El.energia (obch.priestory č.309,587), materiál</t>
  </si>
  <si>
    <t>V Heľpe 8.2.2017</t>
  </si>
  <si>
    <t>Obec Heľpa, Farská 588/2, 976 68 Heľpa</t>
  </si>
  <si>
    <t>Operatívna evidencia</t>
  </si>
  <si>
    <t>Por.č.</t>
  </si>
  <si>
    <t>Uz.č.</t>
  </si>
  <si>
    <t>zo dňa</t>
  </si>
  <si>
    <t>Rozpočtové opatrenie</t>
  </si>
  <si>
    <t>Zmena v príjmoch      v Eur</t>
  </si>
  <si>
    <t>Zmena vo výdavkoch v Eur</t>
  </si>
  <si>
    <t>1.</t>
  </si>
  <si>
    <t>2.</t>
  </si>
  <si>
    <t>§14 ods.2 písm.b), c), d)</t>
  </si>
  <si>
    <t xml:space="preserve">Poznámka: </t>
  </si>
  <si>
    <t>§ 14 ods. 2  písm.:</t>
  </si>
  <si>
    <t>a) presun rozpočtovaných prostriedkov v rámci schváleného rozpočtu, pričom sa nemenia celkové príjmy a celkové výdavky,</t>
  </si>
  <si>
    <t>b) povolené prekročenie a viazanie príjmov,</t>
  </si>
  <si>
    <t>c) povolené prekročenie a viazanie výdavkov,</t>
  </si>
  <si>
    <t>d) povolené prekročenie a viazanie finančných operácií.</t>
  </si>
  <si>
    <t>Vypracovala: Mgr. Tkáčiková</t>
  </si>
  <si>
    <t>Schválil: Peter Hyriak - starosta obce</t>
  </si>
  <si>
    <t>rozpočtových opatrení za rok 2017</t>
  </si>
  <si>
    <t>skutočnosť 1/17</t>
  </si>
  <si>
    <t>Rozpočet obce Heľpa na rok 2017 schválilo OZ uz.č. 349 dňa 2.12.2016</t>
  </si>
  <si>
    <t>1. úprava Rozpočtu obce Heľpa na rok 2017 bol schválená OZ uz.č. 384 dňa 8.2.2017</t>
  </si>
  <si>
    <t xml:space="preserve">príjem z dobropisov </t>
  </si>
  <si>
    <t>príjem z vratiek</t>
  </si>
  <si>
    <t>2. úprava rozpočtu 2017</t>
  </si>
  <si>
    <t>2.zmena</t>
  </si>
  <si>
    <t>%</t>
  </si>
  <si>
    <t>čerpania</t>
  </si>
  <si>
    <t>Dotácia FPU - kultúrne projekty</t>
  </si>
  <si>
    <t>KT z EF Zvýš.energ.efektív.budovy MŠ</t>
  </si>
  <si>
    <t>Spoločenské a kultúrne aktivity</t>
  </si>
  <si>
    <t>Fašiangy - materiál</t>
  </si>
  <si>
    <t>Zníž.energ.náročnosti budovy OU</t>
  </si>
  <si>
    <t>Obec.informač.systém - osadenie</t>
  </si>
  <si>
    <t>Príprav.projekt.dokumentácia</t>
  </si>
  <si>
    <t>Zvýš.energ.efektívnosti budovy MŠ</t>
  </si>
  <si>
    <t>V Heľpe 13.3.2017</t>
  </si>
  <si>
    <t>Dotácia BBSK na FF Kolovrátok</t>
  </si>
  <si>
    <t>Dotácia z Fondu na podporu umenia - kultúrne projekty</t>
  </si>
  <si>
    <t>Obecný informačný systém - osadenie</t>
  </si>
  <si>
    <t>KT z EFRR Zníž.energ.náročnosti budovy OU</t>
  </si>
  <si>
    <t>Projektová dokumentácia, UPD</t>
  </si>
  <si>
    <t>Kult.akcia - Veľká noc</t>
  </si>
  <si>
    <t>Deň detí v šport.areáli</t>
  </si>
  <si>
    <t>Zmena Územ.plán.dokumentácie</t>
  </si>
  <si>
    <t>2. úprava Rozpočtu obce Heľpa na rok 2017 bol schválená OZ uz.č. 405 dňa 13.3.2017</t>
  </si>
  <si>
    <t>RO - materiál + výmena ističov</t>
  </si>
  <si>
    <t>Zmena územno-plánovacej dokumentácie</t>
  </si>
  <si>
    <t>Kult.akcie z projektov fondu na podporu umenia</t>
  </si>
  <si>
    <t>Vyvesené na úradnej tabuli obce od 14.3.2017</t>
  </si>
  <si>
    <t>skutočnosť 3/17</t>
  </si>
  <si>
    <t>3. úprava rozpočtu 2017</t>
  </si>
  <si>
    <t xml:space="preserve">Vlastný príjem ZŠ </t>
  </si>
  <si>
    <t>Výnos dane územ.samospráve</t>
  </si>
  <si>
    <t>Nákup pozemkov pod športovou halou</t>
  </si>
  <si>
    <t>3.</t>
  </si>
  <si>
    <t>3.zmena</t>
  </si>
  <si>
    <t>BT Implem.agentúra opatrovat.služba</t>
  </si>
  <si>
    <t>Dotácia DPO SR na Dobrov.hasič.zbor</t>
  </si>
  <si>
    <t>Dobrov.hasič.zbor - materiál, prac.odevy,obuv</t>
  </si>
  <si>
    <t>ŠKJ - vzduchotechnika, šporák, umývačka</t>
  </si>
  <si>
    <t>Rozpočet obce Heľpa na rok 2017 bol schválený OZ uz.č. 349 dňa 2.12.2016</t>
  </si>
  <si>
    <t>1. úprava Rozpočtu obce Heľpa na rok 2017 bola schválená OZ uz.č. 384 dňa 8.2.2017</t>
  </si>
  <si>
    <t>2. úprava Rozpočtu obce Heľpa na rok 2017 bola schválená OZ uz.č. 405 dňa 13.3.2017</t>
  </si>
  <si>
    <t>Merací prístroj pre ČOV</t>
  </si>
  <si>
    <t>Zmena územ.plán.dokumentácie -  obstaranie</t>
  </si>
  <si>
    <t>Dotácia IA MPSVR SR na opatrovateľskú službu</t>
  </si>
  <si>
    <t>Geometrické plány, materiál</t>
  </si>
  <si>
    <t>skutočnosť 4/17</t>
  </si>
  <si>
    <t>IBV miestna komunikácia - vrchná stavba</t>
  </si>
  <si>
    <t>3. úprava Rozpočtu obce Heľpa na rok 2017 bola schválená OZ uz.č.439  dňa 9.5.2017</t>
  </si>
  <si>
    <t>Rozpočet obce bol vyvesený na úradnej tabuli obce od 10.5.2017</t>
  </si>
  <si>
    <t>Dotácia BBSK na Kolovrátok</t>
  </si>
  <si>
    <t>Kolovrátok</t>
  </si>
  <si>
    <t>HDST</t>
  </si>
  <si>
    <t>Dotácia BBSK na DFF Kolovrátok</t>
  </si>
  <si>
    <t>Granty na kultúrne podujatia</t>
  </si>
  <si>
    <t>Stavba oporný múr ul. Farská</t>
  </si>
  <si>
    <t>IBV Teplica II- vrchná časť miestnej komunikácie</t>
  </si>
  <si>
    <t>V Heľpe 9.5.2017</t>
  </si>
  <si>
    <t>Zvýš.energ.efektívnosti v budove zdr. strediska</t>
  </si>
  <si>
    <t>4. úprava rozpočtu 2017</t>
  </si>
  <si>
    <t>§14 ods.2 písm.b), c)</t>
  </si>
  <si>
    <t>Grant Poštovej banky, Brantner na HDST</t>
  </si>
  <si>
    <t>Grant na HDST - Kom.poisťovňa,  OZ šport a vzdelanie</t>
  </si>
  <si>
    <t>Horehr.dni spevu a tanca - materiál, služby</t>
  </si>
  <si>
    <t>Dotácia Lesy SR - na opravu mosta</t>
  </si>
  <si>
    <t>Oprava mosta na ul. Partizánska</t>
  </si>
  <si>
    <t>Betónová plocha pod klzisko</t>
  </si>
  <si>
    <t>Orientačný totem na autobusovej zastávke</t>
  </si>
  <si>
    <t>Rekonštrukcia strechy budovy štadióna</t>
  </si>
  <si>
    <t>Výnos dane územnej samospráve</t>
  </si>
  <si>
    <t>BT OkU - učebnice ZŠ</t>
  </si>
  <si>
    <t>FPU - nahrávanie CD, knihy</t>
  </si>
  <si>
    <t>4.zmena</t>
  </si>
  <si>
    <t>ZŠ - detské ihrisko v školskom areáli</t>
  </si>
  <si>
    <t>Dotácia Lesy SR - oprava mosta a miestnej komunikácie</t>
  </si>
  <si>
    <t>Správa kult.služieb a zariad. (KUL,MĽK,AMF,podujatia,projekty FPU)</t>
  </si>
  <si>
    <t>KT MV SR rekonštrukcia hasičskej zbrojnice</t>
  </si>
  <si>
    <t>Rekonštrukcia hasičskej zbrojnice</t>
  </si>
  <si>
    <t>Detské ihrisko - šplhacia zostava v školskom areáli ZŠ</t>
  </si>
  <si>
    <t>4.</t>
  </si>
  <si>
    <t>V Heľpe 21.6.2017</t>
  </si>
  <si>
    <t>Výťažky z haz. Hier, refundácia služieb</t>
  </si>
  <si>
    <t>Právne služby maj.práv.vysporiadanie pozemkov</t>
  </si>
  <si>
    <t>Servisná prehliadka octavia</t>
  </si>
  <si>
    <t>Dotácia OV SZPB - Krpáčovo zo spoloč.kult.akcií</t>
  </si>
  <si>
    <t>Život.prostr.- služby, protipovodňové opatrenia -služby</t>
  </si>
  <si>
    <t>prenájom iných objektov</t>
  </si>
  <si>
    <t>príjem z kult.činnosti</t>
  </si>
  <si>
    <t>vstupné HDST</t>
  </si>
  <si>
    <t>príjem za reklamné služby</t>
  </si>
  <si>
    <t>BT pre SpÚ stavebný</t>
  </si>
  <si>
    <t>BT Fond na podp. umenia - CD, knižnica</t>
  </si>
  <si>
    <t>BT matričná činnosť</t>
  </si>
  <si>
    <t>NFP MV SR rekonštrukcia hasičskej zbrojnice</t>
  </si>
  <si>
    <t>Matričná činnosť - plat</t>
  </si>
  <si>
    <t>SpÚ stavebný - materiál,služby</t>
  </si>
  <si>
    <t>Zber.dvor - energie, prístroje, PHM</t>
  </si>
  <si>
    <t>Opatrovateľská služba - odchodné</t>
  </si>
  <si>
    <t>Ver.osvetlenie - materiál, prístroje</t>
  </si>
  <si>
    <t>Kultúra - cestovné náhrady, prenájom fary</t>
  </si>
  <si>
    <t>Odvod vstupného HDST</t>
  </si>
  <si>
    <t>ZUŠ - služby</t>
  </si>
  <si>
    <t>Medzinár.deň detí - stravovanie, spoloč.aktivity</t>
  </si>
  <si>
    <t>AČ- stroje, prístroje</t>
  </si>
  <si>
    <t>príjem zo vstupného, kult.činnosti, HDST, reklamné služby</t>
  </si>
  <si>
    <t>4. úprava Rozpočtu obce Heľpa na rok 2017 bola schválená OZ uz.č.461 dňa 21.6.2017</t>
  </si>
  <si>
    <t>Rozpočet obce bol vyvesený na úradnej tabuli obce od 22.6.2017</t>
  </si>
  <si>
    <t>skutočnosť 6/17</t>
  </si>
  <si>
    <t>x</t>
  </si>
  <si>
    <t>5. úprava rozpočtu 2017</t>
  </si>
  <si>
    <t>5.zmena</t>
  </si>
  <si>
    <t>Vlastný príjem ZUŠ</t>
  </si>
  <si>
    <t>Prenájom objektov</t>
  </si>
  <si>
    <t>Príjem z kult.činnosti</t>
  </si>
  <si>
    <t>Poplatky za ZUŠ</t>
  </si>
  <si>
    <t>Predaj pozemkov</t>
  </si>
  <si>
    <t>Transfer pre ZUŠ</t>
  </si>
  <si>
    <t>Bežné výdavky rozpočtových organizácií:</t>
  </si>
  <si>
    <t>Bežné výdavky Základnej školy spolu:</t>
  </si>
  <si>
    <t>BEŽNÉ VÝDAVKY SPOLU:</t>
  </si>
  <si>
    <t>Bežný príjem rozpočtových organizácií spolu:</t>
  </si>
  <si>
    <t>Vlastný príjem ZŠ (ZŠ + ŠKD)</t>
  </si>
  <si>
    <t>KT EF zvýš.energ.efekt.budovy zdr.stred.</t>
  </si>
  <si>
    <t>KT EF Dobudovanie kanalizácie na ul. Hlavná</t>
  </si>
  <si>
    <t>KT MV SR Rekonštrukcia hasičskej zbrojnice</t>
  </si>
  <si>
    <t>PHM, servis - stroje KO,  zberný dvor</t>
  </si>
  <si>
    <t>0960</t>
  </si>
  <si>
    <t>ŠKJ - pracovné stoly, dosky, termoobaly</t>
  </si>
  <si>
    <t>Zmena ÚPD</t>
  </si>
  <si>
    <t>Kanalizácia ul. Hlavná</t>
  </si>
  <si>
    <t>Zvýš.energ.efektív.v budove zdr.str.</t>
  </si>
  <si>
    <t>09110</t>
  </si>
  <si>
    <t>ŠKJ - vzduchotechnika, sporák, umývačka</t>
  </si>
  <si>
    <t>Prevod z rezervného a peňažného fondu</t>
  </si>
  <si>
    <t>5.</t>
  </si>
  <si>
    <t>Prevent.lek.prehliadky</t>
  </si>
  <si>
    <t>RO - proj.služby</t>
  </si>
  <si>
    <t>BT pre ZŠ na asistentov učiteľa</t>
  </si>
  <si>
    <t>Príjem za služby SPU školstva</t>
  </si>
  <si>
    <t>Refundácia za služby od ZUŠ</t>
  </si>
  <si>
    <t>Spu školstva - mzda</t>
  </si>
  <si>
    <t>ČOV - el. energia</t>
  </si>
  <si>
    <t>Kultúrne podujatia</t>
  </si>
  <si>
    <t>Vstupné podujatia</t>
  </si>
  <si>
    <t>Stočné</t>
  </si>
  <si>
    <t>KT EF zníž.energ.náročnosti admin.budovy OU</t>
  </si>
  <si>
    <t>Pokuty, úroky úveru</t>
  </si>
  <si>
    <t>PERS licencie</t>
  </si>
  <si>
    <t>CD - matariál na údržbu</t>
  </si>
  <si>
    <t>IBV infraštruktúra- vrch.stavba miest.komunikácie</t>
  </si>
  <si>
    <t>ŠK - mzdy, materiál, transfer</t>
  </si>
  <si>
    <t>DS - údržba objektu</t>
  </si>
  <si>
    <t>MŠ - odchodné</t>
  </si>
  <si>
    <t>ZUŠ - presun prevádzk.nákladov RO, školenia</t>
  </si>
  <si>
    <t>Zníž.energ.nároč.budovy OU</t>
  </si>
  <si>
    <t>Oddychová zóna na štadióne</t>
  </si>
  <si>
    <t>Rekonštrukcia strechy na štadióne</t>
  </si>
  <si>
    <t>V Heľpe 26.9.2017</t>
  </si>
  <si>
    <t>Rozpočet obce bol vyvesený na úradnej tabuli obce od 26.9.2017</t>
  </si>
  <si>
    <t>5. úprava Rozpočtu obce Heľpa na rok 2017 bola schválená OZ uz.č. 528 dňa 26.9.2017</t>
  </si>
  <si>
    <t>skutočnosť 9/17</t>
  </si>
  <si>
    <t>Prenájom kopírky,PHM, zriadenie CO tel.linky,odmeny OZ</t>
  </si>
  <si>
    <t>OPK - tarif.plat</t>
  </si>
  <si>
    <t>AČ, PRMZ - tarif.plat, prac.náradie, prístroje</t>
  </si>
  <si>
    <t>Voľby do VÚC</t>
  </si>
  <si>
    <t>BT Voľby do VÚC</t>
  </si>
  <si>
    <t>OSL - tarif.platy, odmeny</t>
  </si>
  <si>
    <t>Kalkulačka na výpočet výsledku hospodárenia v metodike ESA 2010</t>
  </si>
  <si>
    <t>(v eurách)</t>
  </si>
  <si>
    <t>Číslo riadku</t>
  </si>
  <si>
    <t>Ukazovateľ (hlavná kategória ekonomickej klasifikácie)</t>
  </si>
  <si>
    <t>Suma v Eur</t>
  </si>
  <si>
    <t>PRÍJMY (100 + 200 + 300) a príjmové finančné operácie (400 + 500)</t>
  </si>
  <si>
    <t>v tom: daňové príjmy (100)</t>
  </si>
  <si>
    <t xml:space="preserve">           nedaňové príjmy (200)</t>
  </si>
  <si>
    <t xml:space="preserve">           granty a transfery (300)</t>
  </si>
  <si>
    <t xml:space="preserve">           príjmové finančné operácie (400, 500)</t>
  </si>
  <si>
    <t>VÝDAVKY (600 + 700) a výdavkové finančné operácie (800)</t>
  </si>
  <si>
    <t>v tom: bežné výdavky (600)</t>
  </si>
  <si>
    <t xml:space="preserve">           kapitálové výdavky (700)</t>
  </si>
  <si>
    <t xml:space="preserve">           výdavkové finančné operácie (800)</t>
  </si>
  <si>
    <t>Prebytok (+)/schodok (-) = hotovostný (r.1 - r.6)</t>
  </si>
  <si>
    <t>Prebytok (+)/schodok (-) po vylúčení príjmových a výdavkových finančných operácií (r.1 - r.5 - r.6 + r.9)</t>
  </si>
  <si>
    <r>
      <t>Zmena</t>
    </r>
    <r>
      <rPr>
        <i/>
        <sz val="10"/>
        <rFont val="Arial Narrow"/>
        <family val="2"/>
        <charset val="238"/>
      </rPr>
      <t xml:space="preserve"> stavu vybraných pohľadávok </t>
    </r>
    <r>
      <rPr>
        <sz val="10"/>
        <rFont val="Arial Narrow"/>
        <family val="2"/>
        <charset val="238"/>
      </rPr>
      <t>(+, - ) ( r.13 - r.14)</t>
    </r>
  </si>
  <si>
    <r>
      <t xml:space="preserve">            stav </t>
    </r>
    <r>
      <rPr>
        <b/>
        <sz val="10"/>
        <rFont val="Arial Narrow"/>
        <family val="2"/>
        <charset val="238"/>
      </rPr>
      <t xml:space="preserve">vybraných pohľadávok </t>
    </r>
    <r>
      <rPr>
        <sz val="10"/>
        <rFont val="Arial Narrow"/>
        <family val="2"/>
        <charset val="238"/>
      </rPr>
      <t>ku koncu sledovaného obdobia</t>
    </r>
  </si>
  <si>
    <r>
      <t xml:space="preserve">            stav </t>
    </r>
    <r>
      <rPr>
        <b/>
        <sz val="10"/>
        <rFont val="Arial Narrow"/>
        <family val="2"/>
        <charset val="238"/>
      </rPr>
      <t xml:space="preserve">vybraných  pohľadávok </t>
    </r>
    <r>
      <rPr>
        <sz val="10"/>
        <rFont val="Arial Narrow"/>
        <family val="2"/>
        <charset val="238"/>
      </rPr>
      <t xml:space="preserve">k 31. 12. predchádzajúceho roka </t>
    </r>
  </si>
  <si>
    <r>
      <t>Zmena</t>
    </r>
    <r>
      <rPr>
        <i/>
        <sz val="10"/>
        <rFont val="Arial Narrow"/>
        <family val="2"/>
        <charset val="238"/>
      </rPr>
      <t xml:space="preserve"> stavu vybraných záväzkov </t>
    </r>
    <r>
      <rPr>
        <sz val="10"/>
        <rFont val="Arial Narrow"/>
        <family val="2"/>
        <charset val="238"/>
      </rPr>
      <t>(+, - ) ( r.17 - r.16)</t>
    </r>
  </si>
  <si>
    <r>
      <t xml:space="preserve">         stav</t>
    </r>
    <r>
      <rPr>
        <b/>
        <sz val="10"/>
        <rFont val="Arial"/>
        <family val="2"/>
        <charset val="238"/>
      </rPr>
      <t xml:space="preserve"> vybraných záväzkov</t>
    </r>
    <r>
      <rPr>
        <sz val="10"/>
        <rFont val="Arial"/>
        <family val="2"/>
        <charset val="238"/>
      </rPr>
      <t xml:space="preserve"> ku koncu sledovaného obdobia</t>
    </r>
  </si>
  <si>
    <r>
      <t xml:space="preserve">         stav </t>
    </r>
    <r>
      <rPr>
        <b/>
        <sz val="10"/>
        <rFont val="Arial"/>
        <family val="2"/>
        <charset val="238"/>
      </rPr>
      <t>vybraných záväzkov</t>
    </r>
    <r>
      <rPr>
        <sz val="10"/>
        <rFont val="Arial"/>
        <family val="2"/>
        <charset val="238"/>
      </rPr>
      <t xml:space="preserve"> k 31.12. predchádzajúceho roka</t>
    </r>
  </si>
  <si>
    <t>Zahrnutie položiek časového rozlíšenia (r.12 + r.15)</t>
  </si>
  <si>
    <t xml:space="preserve">Prebytok (+)/schodok (-) v metodike ESA 2010  (r.11 + r.20) </t>
  </si>
  <si>
    <t>6.</t>
  </si>
  <si>
    <t>V Heľpe 31.10.2017</t>
  </si>
  <si>
    <t>6. úprava rozpočtu 2017</t>
  </si>
  <si>
    <t>Oprava kamerového systému</t>
  </si>
  <si>
    <t>6.zmena</t>
  </si>
  <si>
    <t>Rozpočet obce bol vyvesený na úradnej tabuli obce od 31.10.2017</t>
  </si>
  <si>
    <t>BT na voľby</t>
  </si>
  <si>
    <t>Voľby do VUC</t>
  </si>
  <si>
    <t>BT OkU - normatív na ZŠ</t>
  </si>
  <si>
    <t>ČOV analýzy, rozbory</t>
  </si>
  <si>
    <t>PO údržba vozidiel</t>
  </si>
  <si>
    <t>PO školenia</t>
  </si>
  <si>
    <t>6. úprava Rozpočtu obce Heľpa na rok 2017 bola schválená OZ uz.č. 553 dňa 31.10.2017</t>
  </si>
  <si>
    <t>7.zmena</t>
  </si>
  <si>
    <t>7. úprava rozpočtu 2017</t>
  </si>
  <si>
    <t>7.</t>
  </si>
  <si>
    <t>BT OkU - nenormatív na vých.a vzd. MŠ</t>
  </si>
  <si>
    <t>BT OkU - nenorm.na ZŠ - vzd.poukazy,SZP,výsledky</t>
  </si>
  <si>
    <t>BT pre ZUŠ</t>
  </si>
  <si>
    <t>Príjem za opatrovateľskú službu</t>
  </si>
  <si>
    <t>Z náhrad poistného plnenia</t>
  </si>
  <si>
    <t>Vratky</t>
  </si>
  <si>
    <t>Refundácia za zam.stravu a čerpanie SF</t>
  </si>
  <si>
    <t>Poistenie majetku</t>
  </si>
  <si>
    <t>Prenájom bytov</t>
  </si>
  <si>
    <t>Poplatok za asistovanú službu IOM</t>
  </si>
  <si>
    <t>Poplatok za réžiu ŠKJ</t>
  </si>
  <si>
    <t>Spoloč., kult., šport. aktivity obce</t>
  </si>
  <si>
    <t>V Heľpe 11.12.2017</t>
  </si>
  <si>
    <t>Výnos dane územ. samospráve</t>
  </si>
  <si>
    <t>Poplatky za MŠ</t>
  </si>
  <si>
    <t>skutočnosť 12/17</t>
  </si>
  <si>
    <t>príjem za asistované služby IOM</t>
  </si>
  <si>
    <t>prevod - správne poplatky ŠR -  IOM</t>
  </si>
  <si>
    <t>Refundácia za vyúčt. služieb spojené s prenájmom</t>
  </si>
  <si>
    <t>Refundácia služieb spojených s prenájmom</t>
  </si>
  <si>
    <t>7. úprava Rozpočtu obce Heľpa na rok 2017 bola schválená OZ uz.č. 576 dňa 11.12.2017</t>
  </si>
  <si>
    <t>Rozpočet obce bol vyvesený na úradnej tabuli obce od 12.12.2017</t>
  </si>
  <si>
    <t>Rozvoj obce - materiál</t>
  </si>
  <si>
    <t xml:space="preserve">V Heľpe 11.12.2017 </t>
  </si>
  <si>
    <t>prevody zostatkov prostr.predch.rokov ŠKJ</t>
  </si>
  <si>
    <t>Prevody fondu prev,údržby,opráv bytov a zost.prostr. ŠKJ</t>
  </si>
  <si>
    <t>Byty - údržba</t>
  </si>
  <si>
    <t>Betónová plocha na klzisku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</si>
</sst>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name val="Calibri"/>
      <family val="2"/>
      <scheme val="minor"/>
    </font>
    <font>
      <sz val="10"/>
      <name val="Arial CE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color indexed="10"/>
      <name val="Bookman Old Style"/>
      <family val="1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name val="Arial CE"/>
    </font>
    <font>
      <b/>
      <sz val="10"/>
      <name val="Arial CE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 CE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CE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2"/>
      <color rgb="FFFF0000"/>
      <name val="Arial CE"/>
      <charset val="238"/>
    </font>
    <font>
      <sz val="12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indexed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9"/>
        <bgColor indexed="9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9" fillId="0" borderId="0" applyFont="0" applyFill="0" applyBorder="0" applyAlignment="0" applyProtection="0"/>
    <xf numFmtId="0" fontId="7" fillId="0" borderId="0"/>
  </cellStyleXfs>
  <cellXfs count="1043">
    <xf numFmtId="0" fontId="0" fillId="0" borderId="0" xfId="0"/>
    <xf numFmtId="3" fontId="2" fillId="2" borderId="10" xfId="0" applyNumberFormat="1" applyFont="1" applyFill="1" applyBorder="1" applyAlignment="1">
      <alignment horizontal="right"/>
    </xf>
    <xf numFmtId="0" fontId="3" fillId="0" borderId="11" xfId="0" applyFont="1" applyFill="1" applyBorder="1"/>
    <xf numFmtId="0" fontId="3" fillId="0" borderId="12" xfId="0" applyFont="1" applyFill="1" applyBorder="1"/>
    <xf numFmtId="3" fontId="3" fillId="0" borderId="13" xfId="0" applyNumberFormat="1" applyFont="1" applyFill="1" applyBorder="1"/>
    <xf numFmtId="0" fontId="0" fillId="0" borderId="14" xfId="0" applyFill="1" applyBorder="1"/>
    <xf numFmtId="0" fontId="0" fillId="0" borderId="15" xfId="0" applyBorder="1"/>
    <xf numFmtId="0" fontId="0" fillId="0" borderId="16" xfId="0" applyFill="1" applyBorder="1"/>
    <xf numFmtId="0" fontId="0" fillId="0" borderId="17" xfId="0" applyBorder="1"/>
    <xf numFmtId="0" fontId="0" fillId="0" borderId="19" xfId="0" applyFill="1" applyBorder="1"/>
    <xf numFmtId="0" fontId="0" fillId="0" borderId="20" xfId="0" applyBorder="1"/>
    <xf numFmtId="3" fontId="0" fillId="0" borderId="21" xfId="0" applyNumberFormat="1" applyBorder="1"/>
    <xf numFmtId="0" fontId="0" fillId="0" borderId="22" xfId="0" applyFill="1" applyBorder="1"/>
    <xf numFmtId="0" fontId="0" fillId="0" borderId="23" xfId="0" applyBorder="1"/>
    <xf numFmtId="3" fontId="4" fillId="0" borderId="9" xfId="0" applyNumberFormat="1" applyFont="1" applyBorder="1"/>
    <xf numFmtId="0" fontId="0" fillId="0" borderId="24" xfId="0" applyFill="1" applyBorder="1"/>
    <xf numFmtId="0" fontId="0" fillId="0" borderId="25" xfId="0" applyBorder="1"/>
    <xf numFmtId="3" fontId="5" fillId="0" borderId="6" xfId="0" applyNumberFormat="1" applyFont="1" applyBorder="1"/>
    <xf numFmtId="3" fontId="5" fillId="0" borderId="18" xfId="0" applyNumberFormat="1" applyFont="1" applyBorder="1"/>
    <xf numFmtId="3" fontId="5" fillId="0" borderId="21" xfId="0" applyNumberFormat="1" applyFont="1" applyBorder="1"/>
    <xf numFmtId="3" fontId="5" fillId="0" borderId="21" xfId="0" applyNumberFormat="1" applyFont="1" applyFill="1" applyBorder="1"/>
    <xf numFmtId="0" fontId="0" fillId="0" borderId="11" xfId="0" applyFill="1" applyBorder="1"/>
    <xf numFmtId="0" fontId="0" fillId="0" borderId="12" xfId="0" applyBorder="1"/>
    <xf numFmtId="3" fontId="5" fillId="0" borderId="13" xfId="0" applyNumberFormat="1" applyFont="1" applyBorder="1"/>
    <xf numFmtId="3" fontId="4" fillId="0" borderId="10" xfId="0" applyNumberFormat="1" applyFont="1" applyBorder="1"/>
    <xf numFmtId="3" fontId="4" fillId="0" borderId="21" xfId="0" applyNumberFormat="1" applyFont="1" applyBorder="1"/>
    <xf numFmtId="3" fontId="5" fillId="0" borderId="9" xfId="0" applyNumberFormat="1" applyFont="1" applyBorder="1"/>
    <xf numFmtId="0" fontId="0" fillId="0" borderId="11" xfId="0" applyBorder="1"/>
    <xf numFmtId="0" fontId="0" fillId="0" borderId="26" xfId="0" applyBorder="1"/>
    <xf numFmtId="0" fontId="3" fillId="0" borderId="2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2" fillId="2" borderId="14" xfId="0" applyFont="1" applyFill="1" applyBorder="1"/>
    <xf numFmtId="0" fontId="3" fillId="2" borderId="15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3" fontId="6" fillId="0" borderId="21" xfId="0" applyNumberFormat="1" applyFont="1" applyFill="1" applyBorder="1"/>
    <xf numFmtId="0" fontId="3" fillId="0" borderId="16" xfId="0" applyFont="1" applyFill="1" applyBorder="1"/>
    <xf numFmtId="0" fontId="3" fillId="0" borderId="20" xfId="0" applyFont="1" applyBorder="1"/>
    <xf numFmtId="3" fontId="7" fillId="0" borderId="18" xfId="0" applyNumberFormat="1" applyFont="1" applyBorder="1"/>
    <xf numFmtId="0" fontId="6" fillId="0" borderId="16" xfId="0" applyFont="1" applyFill="1" applyBorder="1"/>
    <xf numFmtId="3" fontId="6" fillId="0" borderId="18" xfId="0" applyNumberFormat="1" applyFont="1" applyFill="1" applyBorder="1"/>
    <xf numFmtId="0" fontId="3" fillId="0" borderId="19" xfId="0" applyFont="1" applyFill="1" applyBorder="1"/>
    <xf numFmtId="0" fontId="0" fillId="0" borderId="20" xfId="0" applyFill="1" applyBorder="1"/>
    <xf numFmtId="0" fontId="4" fillId="0" borderId="20" xfId="0" applyFont="1" applyFill="1" applyBorder="1"/>
    <xf numFmtId="0" fontId="3" fillId="4" borderId="19" xfId="0" applyFont="1" applyFill="1" applyBorder="1"/>
    <xf numFmtId="0" fontId="2" fillId="4" borderId="20" xfId="0" applyFont="1" applyFill="1" applyBorder="1"/>
    <xf numFmtId="3" fontId="2" fillId="4" borderId="21" xfId="0" applyNumberFormat="1" applyFont="1" applyFill="1" applyBorder="1"/>
    <xf numFmtId="0" fontId="8" fillId="2" borderId="14" xfId="0" applyFont="1" applyFill="1" applyBorder="1"/>
    <xf numFmtId="0" fontId="0" fillId="2" borderId="15" xfId="0" applyFill="1" applyBorder="1"/>
    <xf numFmtId="3" fontId="8" fillId="2" borderId="10" xfId="0" applyNumberFormat="1" applyFont="1" applyFill="1" applyBorder="1" applyAlignment="1">
      <alignment horizontal="right"/>
    </xf>
    <xf numFmtId="0" fontId="3" fillId="4" borderId="29" xfId="0" applyFont="1" applyFill="1" applyBorder="1"/>
    <xf numFmtId="0" fontId="2" fillId="4" borderId="30" xfId="0" applyFont="1" applyFill="1" applyBorder="1"/>
    <xf numFmtId="3" fontId="8" fillId="4" borderId="3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3" fillId="0" borderId="0" xfId="0" applyFont="1" applyFill="1" applyBorder="1"/>
    <xf numFmtId="3" fontId="8" fillId="0" borderId="0" xfId="0" applyNumberFormat="1" applyFont="1" applyFill="1" applyBorder="1" applyAlignment="1">
      <alignment horizontal="left"/>
    </xf>
    <xf numFmtId="0" fontId="2" fillId="5" borderId="14" xfId="0" applyFont="1" applyFill="1" applyBorder="1"/>
    <xf numFmtId="0" fontId="2" fillId="5" borderId="15" xfId="0" applyFont="1" applyFill="1" applyBorder="1"/>
    <xf numFmtId="3" fontId="2" fillId="5" borderId="10" xfId="0" applyNumberFormat="1" applyFont="1" applyFill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3" fillId="0" borderId="17" xfId="0" applyFont="1" applyBorder="1"/>
    <xf numFmtId="3" fontId="3" fillId="0" borderId="18" xfId="0" applyNumberFormat="1" applyFon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49" fontId="0" fillId="0" borderId="19" xfId="0" applyNumberFormat="1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49" fontId="0" fillId="0" borderId="29" xfId="0" applyNumberForma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/>
    </xf>
    <xf numFmtId="0" fontId="0" fillId="5" borderId="15" xfId="0" applyFill="1" applyBorder="1"/>
    <xf numFmtId="49" fontId="3" fillId="0" borderId="16" xfId="0" applyNumberFormat="1" applyFont="1" applyFill="1" applyBorder="1" applyAlignment="1">
      <alignment horizontal="right"/>
    </xf>
    <xf numFmtId="49" fontId="0" fillId="0" borderId="24" xfId="0" applyNumberFormat="1" applyFill="1" applyBorder="1" applyAlignment="1">
      <alignment horizontal="right"/>
    </xf>
    <xf numFmtId="0" fontId="3" fillId="0" borderId="25" xfId="0" applyFont="1" applyBorder="1"/>
    <xf numFmtId="3" fontId="3" fillId="0" borderId="6" xfId="0" applyNumberFormat="1" applyFont="1" applyBorder="1" applyAlignment="1">
      <alignment horizontal="right"/>
    </xf>
    <xf numFmtId="0" fontId="3" fillId="0" borderId="30" xfId="0" applyFont="1" applyBorder="1"/>
    <xf numFmtId="3" fontId="3" fillId="0" borderId="31" xfId="0" applyNumberFormat="1" applyFont="1" applyBorder="1" applyAlignment="1">
      <alignment horizontal="right"/>
    </xf>
    <xf numFmtId="49" fontId="0" fillId="0" borderId="22" xfId="0" applyNumberFormat="1" applyFill="1" applyBorder="1" applyAlignment="1">
      <alignment horizontal="right"/>
    </xf>
    <xf numFmtId="0" fontId="3" fillId="0" borderId="23" xfId="0" applyFont="1" applyBorder="1"/>
    <xf numFmtId="3" fontId="3" fillId="0" borderId="9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49" fontId="3" fillId="0" borderId="22" xfId="0" applyNumberFormat="1" applyFont="1" applyFill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2" fillId="5" borderId="35" xfId="0" applyFont="1" applyFill="1" applyBorder="1"/>
    <xf numFmtId="0" fontId="0" fillId="5" borderId="36" xfId="0" applyFill="1" applyBorder="1"/>
    <xf numFmtId="3" fontId="2" fillId="5" borderId="32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49" fontId="2" fillId="5" borderId="11" xfId="0" applyNumberFormat="1" applyFont="1" applyFill="1" applyBorder="1" applyAlignment="1">
      <alignment horizontal="left"/>
    </xf>
    <xf numFmtId="0" fontId="2" fillId="5" borderId="12" xfId="0" applyFont="1" applyFill="1" applyBorder="1"/>
    <xf numFmtId="3" fontId="2" fillId="5" borderId="13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right"/>
    </xf>
    <xf numFmtId="0" fontId="3" fillId="0" borderId="17" xfId="0" applyFont="1" applyFill="1" applyBorder="1"/>
    <xf numFmtId="49" fontId="3" fillId="0" borderId="37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49" fontId="3" fillId="0" borderId="28" xfId="0" applyNumberFormat="1" applyFont="1" applyFill="1" applyBorder="1" applyAlignment="1">
      <alignment horizontal="right"/>
    </xf>
    <xf numFmtId="49" fontId="3" fillId="0" borderId="38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0" fontId="8" fillId="5" borderId="35" xfId="0" applyFont="1" applyFill="1" applyBorder="1"/>
    <xf numFmtId="3" fontId="8" fillId="5" borderId="32" xfId="0" applyNumberFormat="1" applyFont="1" applyFill="1" applyBorder="1" applyAlignment="1">
      <alignment horizontal="right"/>
    </xf>
    <xf numFmtId="0" fontId="2" fillId="4" borderId="25" xfId="0" applyFont="1" applyFill="1" applyBorder="1"/>
    <xf numFmtId="3" fontId="2" fillId="4" borderId="6" xfId="0" applyNumberFormat="1" applyFont="1" applyFill="1" applyBorder="1" applyAlignment="1">
      <alignment horizontal="right"/>
    </xf>
    <xf numFmtId="3" fontId="2" fillId="4" borderId="18" xfId="0" applyNumberFormat="1" applyFont="1" applyFill="1" applyBorder="1" applyAlignment="1">
      <alignment horizontal="right"/>
    </xf>
    <xf numFmtId="49" fontId="2" fillId="6" borderId="7" xfId="0" applyNumberFormat="1" applyFont="1" applyFill="1" applyBorder="1" applyAlignment="1">
      <alignment horizontal="left"/>
    </xf>
    <xf numFmtId="49" fontId="2" fillId="6" borderId="40" xfId="0" applyNumberFormat="1" applyFont="1" applyFill="1" applyBorder="1" applyAlignment="1">
      <alignment horizontal="left"/>
    </xf>
    <xf numFmtId="3" fontId="2" fillId="6" borderId="31" xfId="0" applyNumberFormat="1" applyFont="1" applyFill="1" applyBorder="1" applyAlignment="1">
      <alignment horizontal="right"/>
    </xf>
    <xf numFmtId="0" fontId="8" fillId="5" borderId="14" xfId="0" applyFont="1" applyFill="1" applyBorder="1"/>
    <xf numFmtId="3" fontId="8" fillId="5" borderId="10" xfId="0" applyNumberFormat="1" applyFont="1" applyFill="1" applyBorder="1" applyAlignment="1">
      <alignment horizontal="right"/>
    </xf>
    <xf numFmtId="3" fontId="8" fillId="7" borderId="3" xfId="0" applyNumberFormat="1" applyFont="1" applyFill="1" applyBorder="1" applyAlignment="1"/>
    <xf numFmtId="0" fontId="3" fillId="0" borderId="24" xfId="0" applyFont="1" applyFill="1" applyBorder="1"/>
    <xf numFmtId="3" fontId="3" fillId="0" borderId="6" xfId="0" applyNumberFormat="1" applyFont="1" applyBorder="1" applyAlignment="1"/>
    <xf numFmtId="3" fontId="3" fillId="0" borderId="21" xfId="0" applyNumberFormat="1" applyFont="1" applyBorder="1" applyAlignment="1"/>
    <xf numFmtId="0" fontId="3" fillId="0" borderId="41" xfId="0" applyFont="1" applyFill="1" applyBorder="1"/>
    <xf numFmtId="0" fontId="3" fillId="0" borderId="42" xfId="0" applyFont="1" applyBorder="1"/>
    <xf numFmtId="3" fontId="3" fillId="0" borderId="43" xfId="0" applyNumberFormat="1" applyFont="1" applyBorder="1" applyAlignment="1"/>
    <xf numFmtId="49" fontId="7" fillId="0" borderId="37" xfId="0" applyNumberFormat="1" applyFont="1" applyFill="1" applyBorder="1" applyAlignment="1">
      <alignment horizontal="right"/>
    </xf>
    <xf numFmtId="0" fontId="7" fillId="0" borderId="25" xfId="0" applyFont="1" applyBorder="1"/>
    <xf numFmtId="3" fontId="7" fillId="0" borderId="6" xfId="0" applyNumberFormat="1" applyFont="1" applyBorder="1" applyAlignment="1"/>
    <xf numFmtId="0" fontId="7" fillId="0" borderId="17" xfId="0" applyFont="1" applyBorder="1"/>
    <xf numFmtId="3" fontId="7" fillId="0" borderId="18" xfId="0" applyNumberFormat="1" applyFont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6" xfId="0" applyNumberFormat="1" applyFont="1" applyFill="1" applyBorder="1" applyAlignment="1"/>
    <xf numFmtId="3" fontId="7" fillId="0" borderId="21" xfId="0" applyNumberFormat="1" applyFont="1" applyFill="1" applyBorder="1" applyAlignment="1"/>
    <xf numFmtId="49" fontId="0" fillId="0" borderId="0" xfId="0" applyNumberFormat="1" applyBorder="1" applyAlignment="1">
      <alignment horizontal="right"/>
    </xf>
    <xf numFmtId="0" fontId="0" fillId="0" borderId="0" xfId="0" applyFill="1" applyBorder="1"/>
    <xf numFmtId="3" fontId="7" fillId="0" borderId="0" xfId="0" applyNumberFormat="1" applyFont="1" applyFill="1" applyBorder="1" applyAlignment="1"/>
    <xf numFmtId="3" fontId="7" fillId="0" borderId="0" xfId="0" applyNumberFormat="1" applyFont="1" applyBorder="1" applyAlignment="1"/>
    <xf numFmtId="0" fontId="0" fillId="0" borderId="0" xfId="0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3" fontId="8" fillId="4" borderId="10" xfId="0" applyNumberFormat="1" applyFont="1" applyFill="1" applyBorder="1" applyAlignment="1">
      <alignment horizontal="right"/>
    </xf>
    <xf numFmtId="0" fontId="0" fillId="0" borderId="28" xfId="0" applyBorder="1"/>
    <xf numFmtId="3" fontId="5" fillId="0" borderId="21" xfId="0" applyNumberFormat="1" applyFont="1" applyFill="1" applyBorder="1" applyAlignment="1">
      <alignment horizontal="right"/>
    </xf>
    <xf numFmtId="0" fontId="0" fillId="0" borderId="38" xfId="0" applyBorder="1"/>
    <xf numFmtId="0" fontId="0" fillId="0" borderId="45" xfId="0" applyFill="1" applyBorder="1"/>
    <xf numFmtId="3" fontId="5" fillId="0" borderId="39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/>
    </xf>
    <xf numFmtId="0" fontId="3" fillId="0" borderId="12" xfId="0" applyFont="1" applyBorder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11" fillId="0" borderId="24" xfId="0" applyFont="1" applyBorder="1"/>
    <xf numFmtId="3" fontId="3" fillId="0" borderId="6" xfId="0" applyNumberFormat="1" applyFont="1" applyBorder="1"/>
    <xf numFmtId="0" fontId="11" fillId="0" borderId="19" xfId="0" applyFont="1" applyBorder="1"/>
    <xf numFmtId="3" fontId="3" fillId="0" borderId="21" xfId="0" applyNumberFormat="1" applyFont="1" applyBorder="1"/>
    <xf numFmtId="3" fontId="8" fillId="8" borderId="21" xfId="0" applyNumberFormat="1" applyFont="1" applyFill="1" applyBorder="1"/>
    <xf numFmtId="0" fontId="11" fillId="0" borderId="28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3" fontId="3" fillId="0" borderId="21" xfId="0" applyNumberFormat="1" applyFont="1" applyFill="1" applyBorder="1"/>
    <xf numFmtId="3" fontId="8" fillId="8" borderId="39" xfId="0" applyNumberFormat="1" applyFont="1" applyFill="1" applyBorder="1"/>
    <xf numFmtId="0" fontId="13" fillId="2" borderId="1" xfId="0" applyFont="1" applyFill="1" applyBorder="1" applyAlignment="1"/>
    <xf numFmtId="0" fontId="14" fillId="2" borderId="2" xfId="0" applyFont="1" applyFill="1" applyBorder="1" applyAlignment="1"/>
    <xf numFmtId="3" fontId="15" fillId="2" borderId="10" xfId="0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/>
    <xf numFmtId="0" fontId="3" fillId="0" borderId="0" xfId="0" applyFont="1" applyAlignment="1">
      <alignment horizontal="left"/>
    </xf>
    <xf numFmtId="3" fontId="5" fillId="0" borderId="10" xfId="0" applyNumberFormat="1" applyFont="1" applyBorder="1"/>
    <xf numFmtId="0" fontId="3" fillId="0" borderId="28" xfId="0" applyFont="1" applyFill="1" applyBorder="1"/>
    <xf numFmtId="0" fontId="3" fillId="0" borderId="46" xfId="0" applyFont="1" applyBorder="1"/>
    <xf numFmtId="3" fontId="3" fillId="0" borderId="49" xfId="0" applyNumberFormat="1" applyFont="1" applyBorder="1" applyAlignment="1"/>
    <xf numFmtId="3" fontId="7" fillId="0" borderId="39" xfId="0" applyNumberFormat="1" applyFont="1" applyFill="1" applyBorder="1" applyAlignment="1"/>
    <xf numFmtId="10" fontId="0" fillId="0" borderId="0" xfId="0" applyNumberFormat="1"/>
    <xf numFmtId="3" fontId="3" fillId="0" borderId="41" xfId="0" applyNumberFormat="1" applyFont="1" applyBorder="1" applyAlignment="1">
      <alignment horizontal="right"/>
    </xf>
    <xf numFmtId="49" fontId="3" fillId="4" borderId="28" xfId="0" applyNumberFormat="1" applyFont="1" applyFill="1" applyBorder="1" applyAlignment="1">
      <alignment horizontal="right"/>
    </xf>
    <xf numFmtId="49" fontId="3" fillId="4" borderId="37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7" fillId="0" borderId="17" xfId="0" applyFont="1" applyBorder="1"/>
    <xf numFmtId="49" fontId="7" fillId="0" borderId="25" xfId="0" applyNumberFormat="1" applyFont="1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left"/>
    </xf>
    <xf numFmtId="49" fontId="7" fillId="0" borderId="45" xfId="0" applyNumberFormat="1" applyFont="1" applyFill="1" applyBorder="1" applyAlignment="1">
      <alignment horizontal="left"/>
    </xf>
    <xf numFmtId="49" fontId="17" fillId="0" borderId="27" xfId="0" applyNumberFormat="1" applyFont="1" applyFill="1" applyBorder="1" applyAlignment="1">
      <alignment horizontal="right"/>
    </xf>
    <xf numFmtId="49" fontId="17" fillId="0" borderId="37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right"/>
    </xf>
    <xf numFmtId="49" fontId="17" fillId="0" borderId="38" xfId="0" applyNumberFormat="1" applyFont="1" applyBorder="1" applyAlignment="1">
      <alignment horizontal="right"/>
    </xf>
    <xf numFmtId="49" fontId="17" fillId="0" borderId="19" xfId="0" applyNumberFormat="1" applyFont="1" applyBorder="1" applyAlignment="1">
      <alignment horizontal="right"/>
    </xf>
    <xf numFmtId="0" fontId="17" fillId="0" borderId="20" xfId="0" applyFont="1" applyBorder="1"/>
    <xf numFmtId="3" fontId="7" fillId="0" borderId="9" xfId="0" applyNumberFormat="1" applyFont="1" applyBorder="1" applyAlignment="1"/>
    <xf numFmtId="49" fontId="17" fillId="0" borderId="16" xfId="0" applyNumberFormat="1" applyFont="1" applyBorder="1" applyAlignment="1">
      <alignment horizontal="right"/>
    </xf>
    <xf numFmtId="49" fontId="17" fillId="0" borderId="27" xfId="0" applyNumberFormat="1" applyFont="1" applyBorder="1" applyAlignment="1">
      <alignment horizontal="right"/>
    </xf>
    <xf numFmtId="49" fontId="7" fillId="0" borderId="17" xfId="0" applyNumberFormat="1" applyFont="1" applyFill="1" applyBorder="1" applyAlignment="1">
      <alignment horizontal="left"/>
    </xf>
    <xf numFmtId="49" fontId="7" fillId="0" borderId="44" xfId="0" applyNumberFormat="1" applyFont="1" applyFill="1" applyBorder="1" applyAlignment="1">
      <alignment horizontal="right"/>
    </xf>
    <xf numFmtId="0" fontId="7" fillId="0" borderId="23" xfId="0" applyFont="1" applyBorder="1"/>
    <xf numFmtId="49" fontId="17" fillId="0" borderId="44" xfId="0" applyNumberFormat="1" applyFont="1" applyFill="1" applyBorder="1" applyAlignment="1">
      <alignment horizontal="right"/>
    </xf>
    <xf numFmtId="0" fontId="17" fillId="0" borderId="23" xfId="0" applyFont="1" applyBorder="1"/>
    <xf numFmtId="49" fontId="17" fillId="0" borderId="7" xfId="0" applyNumberFormat="1" applyFont="1" applyFill="1" applyBorder="1" applyAlignment="1">
      <alignment horizontal="right"/>
    </xf>
    <xf numFmtId="0" fontId="18" fillId="0" borderId="12" xfId="0" applyFont="1" applyBorder="1"/>
    <xf numFmtId="3" fontId="7" fillId="0" borderId="13" xfId="0" applyNumberFormat="1" applyFont="1" applyBorder="1" applyAlignment="1"/>
    <xf numFmtId="0" fontId="0" fillId="0" borderId="0" xfId="0" applyFill="1"/>
    <xf numFmtId="3" fontId="3" fillId="0" borderId="0" xfId="0" applyNumberFormat="1" applyFont="1" applyFill="1" applyBorder="1"/>
    <xf numFmtId="3" fontId="3" fillId="0" borderId="23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/>
    <xf numFmtId="0" fontId="20" fillId="0" borderId="0" xfId="0" applyFont="1" applyAlignment="1">
      <alignment horizontal="center"/>
    </xf>
    <xf numFmtId="0" fontId="20" fillId="5" borderId="35" xfId="0" applyFont="1" applyFill="1" applyBorder="1" applyAlignment="1">
      <alignment horizontal="center"/>
    </xf>
    <xf numFmtId="0" fontId="20" fillId="5" borderId="36" xfId="0" applyFont="1" applyFill="1" applyBorder="1" applyAlignment="1">
      <alignment horizontal="center"/>
    </xf>
    <xf numFmtId="0" fontId="20" fillId="5" borderId="32" xfId="0" applyFont="1" applyFill="1" applyBorder="1" applyAlignment="1">
      <alignment horizontal="center"/>
    </xf>
    <xf numFmtId="3" fontId="20" fillId="9" borderId="10" xfId="0" applyNumberFormat="1" applyFont="1" applyFill="1" applyBorder="1" applyAlignment="1">
      <alignment horizontal="right"/>
    </xf>
    <xf numFmtId="0" fontId="0" fillId="9" borderId="27" xfId="0" applyFill="1" applyBorder="1" applyAlignment="1">
      <alignment horizontal="center"/>
    </xf>
    <xf numFmtId="0" fontId="6" fillId="9" borderId="17" xfId="0" applyFont="1" applyFill="1" applyBorder="1" applyAlignment="1">
      <alignment horizontal="left"/>
    </xf>
    <xf numFmtId="3" fontId="6" fillId="9" borderId="18" xfId="0" applyNumberFormat="1" applyFont="1" applyFill="1" applyBorder="1" applyAlignment="1">
      <alignment horizontal="right"/>
    </xf>
    <xf numFmtId="0" fontId="0" fillId="9" borderId="41" xfId="0" applyFill="1" applyBorder="1" applyAlignment="1">
      <alignment horizontal="center"/>
    </xf>
    <xf numFmtId="3" fontId="6" fillId="9" borderId="31" xfId="0" applyNumberFormat="1" applyFont="1" applyFill="1" applyBorder="1" applyAlignment="1">
      <alignment horizontal="right"/>
    </xf>
    <xf numFmtId="0" fontId="0" fillId="9" borderId="19" xfId="0" applyFill="1" applyBorder="1" applyAlignment="1">
      <alignment horizontal="center"/>
    </xf>
    <xf numFmtId="0" fontId="6" fillId="9" borderId="20" xfId="0" applyFont="1" applyFill="1" applyBorder="1" applyAlignment="1">
      <alignment horizontal="left"/>
    </xf>
    <xf numFmtId="3" fontId="6" fillId="9" borderId="21" xfId="0" applyNumberFormat="1" applyFont="1" applyFill="1" applyBorder="1" applyAlignment="1">
      <alignment horizontal="right"/>
    </xf>
    <xf numFmtId="3" fontId="20" fillId="8" borderId="10" xfId="0" applyNumberFormat="1" applyFont="1" applyFill="1" applyBorder="1" applyAlignment="1"/>
    <xf numFmtId="0" fontId="6" fillId="10" borderId="44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left"/>
    </xf>
    <xf numFmtId="3" fontId="6" fillId="10" borderId="9" xfId="0" applyNumberFormat="1" applyFont="1" applyFill="1" applyBorder="1" applyAlignment="1">
      <alignment horizontal="right"/>
    </xf>
    <xf numFmtId="3" fontId="20" fillId="4" borderId="10" xfId="0" applyNumberFormat="1" applyFont="1" applyFill="1" applyBorder="1" applyAlignment="1"/>
    <xf numFmtId="0" fontId="0" fillId="4" borderId="27" xfId="0" applyFill="1" applyBorder="1" applyAlignment="1">
      <alignment horizontal="center"/>
    </xf>
    <xf numFmtId="0" fontId="0" fillId="4" borderId="17" xfId="0" applyFill="1" applyBorder="1"/>
    <xf numFmtId="3" fontId="0" fillId="4" borderId="18" xfId="0" applyNumberFormat="1" applyFill="1" applyBorder="1"/>
    <xf numFmtId="0" fontId="0" fillId="4" borderId="41" xfId="0" applyFill="1" applyBorder="1" applyAlignment="1">
      <alignment horizontal="center"/>
    </xf>
    <xf numFmtId="0" fontId="0" fillId="4" borderId="30" xfId="0" applyFill="1" applyBorder="1"/>
    <xf numFmtId="3" fontId="0" fillId="4" borderId="31" xfId="0" applyNumberFormat="1" applyFill="1" applyBorder="1"/>
    <xf numFmtId="0" fontId="0" fillId="4" borderId="44" xfId="0" applyFill="1" applyBorder="1" applyAlignment="1">
      <alignment horizontal="center"/>
    </xf>
    <xf numFmtId="0" fontId="0" fillId="4" borderId="23" xfId="0" applyFill="1" applyBorder="1"/>
    <xf numFmtId="3" fontId="0" fillId="4" borderId="9" xfId="0" applyNumberFormat="1" applyFill="1" applyBorder="1"/>
    <xf numFmtId="3" fontId="21" fillId="5" borderId="10" xfId="0" applyNumberFormat="1" applyFont="1" applyFill="1" applyBorder="1"/>
    <xf numFmtId="0" fontId="0" fillId="0" borderId="29" xfId="0" applyBorder="1"/>
    <xf numFmtId="0" fontId="0" fillId="0" borderId="30" xfId="0" applyFill="1" applyBorder="1"/>
    <xf numFmtId="3" fontId="0" fillId="0" borderId="31" xfId="0" applyNumberFormat="1" applyBorder="1"/>
    <xf numFmtId="3" fontId="22" fillId="5" borderId="10" xfId="0" applyNumberFormat="1" applyFont="1" applyFill="1" applyBorder="1"/>
    <xf numFmtId="0" fontId="20" fillId="5" borderId="24" xfId="0" applyFont="1" applyFill="1" applyBorder="1" applyAlignment="1">
      <alignment horizontal="center" wrapText="1"/>
    </xf>
    <xf numFmtId="0" fontId="20" fillId="5" borderId="25" xfId="0" applyFont="1" applyFill="1" applyBorder="1" applyAlignment="1">
      <alignment horizontal="center"/>
    </xf>
    <xf numFmtId="3" fontId="20" fillId="5" borderId="6" xfId="0" applyNumberFormat="1" applyFont="1" applyFill="1" applyBorder="1" applyAlignment="1">
      <alignment horizontal="center"/>
    </xf>
    <xf numFmtId="49" fontId="6" fillId="9" borderId="28" xfId="0" applyNumberFormat="1" applyFont="1" applyFill="1" applyBorder="1" applyAlignment="1">
      <alignment horizontal="center"/>
    </xf>
    <xf numFmtId="49" fontId="6" fillId="9" borderId="7" xfId="0" applyNumberFormat="1" applyFont="1" applyFill="1" applyBorder="1" applyAlignment="1">
      <alignment horizontal="center"/>
    </xf>
    <xf numFmtId="49" fontId="6" fillId="9" borderId="8" xfId="0" applyNumberFormat="1" applyFont="1" applyFill="1" applyBorder="1" applyAlignment="1">
      <alignment horizontal="center"/>
    </xf>
    <xf numFmtId="49" fontId="6" fillId="9" borderId="50" xfId="0" applyNumberFormat="1" applyFont="1" applyFill="1" applyBorder="1" applyAlignment="1">
      <alignment horizontal="center"/>
    </xf>
    <xf numFmtId="49" fontId="6" fillId="8" borderId="19" xfId="0" applyNumberFormat="1" applyFont="1" applyFill="1" applyBorder="1" applyAlignment="1">
      <alignment horizontal="center"/>
    </xf>
    <xf numFmtId="0" fontId="6" fillId="8" borderId="20" xfId="0" applyFont="1" applyFill="1" applyBorder="1" applyAlignment="1">
      <alignment horizontal="left"/>
    </xf>
    <xf numFmtId="3" fontId="6" fillId="8" borderId="21" xfId="0" applyNumberFormat="1" applyFont="1" applyFill="1" applyBorder="1" applyAlignment="1">
      <alignment horizontal="right"/>
    </xf>
    <xf numFmtId="49" fontId="7" fillId="4" borderId="27" xfId="0" applyNumberFormat="1" applyFont="1" applyFill="1" applyBorder="1" applyAlignment="1">
      <alignment horizontal="center"/>
    </xf>
    <xf numFmtId="0" fontId="7" fillId="4" borderId="17" xfId="0" applyFont="1" applyFill="1" applyBorder="1"/>
    <xf numFmtId="49" fontId="0" fillId="0" borderId="16" xfId="0" applyNumberFormat="1" applyFill="1" applyBorder="1"/>
    <xf numFmtId="0" fontId="7" fillId="0" borderId="17" xfId="0" applyFont="1" applyFill="1" applyBorder="1"/>
    <xf numFmtId="3" fontId="0" fillId="0" borderId="18" xfId="0" applyNumberFormat="1" applyFill="1" applyBorder="1"/>
    <xf numFmtId="49" fontId="0" fillId="0" borderId="29" xfId="0" applyNumberFormat="1" applyFill="1" applyBorder="1"/>
    <xf numFmtId="0" fontId="7" fillId="0" borderId="30" xfId="0" applyFont="1" applyFill="1" applyBorder="1"/>
    <xf numFmtId="3" fontId="0" fillId="0" borderId="31" xfId="0" applyNumberFormat="1" applyFill="1" applyBorder="1"/>
    <xf numFmtId="0" fontId="7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9" borderId="28" xfId="0" applyFill="1" applyBorder="1" applyAlignment="1">
      <alignment horizontal="center"/>
    </xf>
    <xf numFmtId="0" fontId="20" fillId="5" borderId="14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5" borderId="51" xfId="0" applyFont="1" applyFill="1" applyBorder="1" applyAlignment="1">
      <alignment horizontal="center" vertical="center"/>
    </xf>
    <xf numFmtId="49" fontId="20" fillId="5" borderId="15" xfId="0" applyNumberFormat="1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3" fontId="0" fillId="0" borderId="17" xfId="0" applyNumberFormat="1" applyBorder="1"/>
    <xf numFmtId="3" fontId="0" fillId="0" borderId="18" xfId="0" applyNumberForma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3" fontId="0" fillId="0" borderId="20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3" xfId="0" applyBorder="1" applyAlignment="1">
      <alignment horizontal="center"/>
    </xf>
    <xf numFmtId="3" fontId="0" fillId="0" borderId="23" xfId="0" applyNumberFormat="1" applyBorder="1"/>
    <xf numFmtId="3" fontId="0" fillId="0" borderId="9" xfId="0" applyNumberFormat="1" applyBorder="1"/>
    <xf numFmtId="0" fontId="24" fillId="0" borderId="0" xfId="0" applyFont="1"/>
    <xf numFmtId="0" fontId="25" fillId="0" borderId="0" xfId="0" applyFont="1"/>
    <xf numFmtId="3" fontId="3" fillId="0" borderId="0" xfId="0" applyNumberFormat="1" applyFont="1" applyBorder="1" applyAlignment="1">
      <alignment horizontal="center"/>
    </xf>
    <xf numFmtId="3" fontId="27" fillId="0" borderId="21" xfId="0" applyNumberFormat="1" applyFont="1" applyFill="1" applyBorder="1"/>
    <xf numFmtId="3" fontId="28" fillId="0" borderId="21" xfId="0" applyNumberFormat="1" applyFont="1" applyFill="1" applyBorder="1" applyAlignment="1">
      <alignment horizontal="right"/>
    </xf>
    <xf numFmtId="3" fontId="27" fillId="0" borderId="21" xfId="0" applyNumberFormat="1" applyFont="1" applyBorder="1" applyAlignment="1">
      <alignment horizontal="right"/>
    </xf>
    <xf numFmtId="3" fontId="27" fillId="0" borderId="21" xfId="0" applyNumberFormat="1" applyFont="1" applyBorder="1"/>
    <xf numFmtId="3" fontId="28" fillId="0" borderId="49" xfId="0" applyNumberFormat="1" applyFont="1" applyBorder="1" applyAlignment="1"/>
    <xf numFmtId="3" fontId="27" fillId="0" borderId="21" xfId="0" applyNumberFormat="1" applyFont="1" applyFill="1" applyBorder="1" applyAlignment="1">
      <alignment horizontal="right"/>
    </xf>
    <xf numFmtId="3" fontId="28" fillId="0" borderId="18" xfId="0" applyNumberFormat="1" applyFont="1" applyBorder="1" applyAlignment="1">
      <alignment horizontal="right"/>
    </xf>
    <xf numFmtId="3" fontId="28" fillId="0" borderId="32" xfId="0" applyNumberFormat="1" applyFont="1" applyFill="1" applyBorder="1" applyAlignment="1">
      <alignment horizontal="right"/>
    </xf>
    <xf numFmtId="3" fontId="28" fillId="0" borderId="17" xfId="0" applyNumberFormat="1" applyFont="1" applyBorder="1" applyAlignment="1">
      <alignment horizontal="right"/>
    </xf>
    <xf numFmtId="3" fontId="28" fillId="0" borderId="20" xfId="0" applyNumberFormat="1" applyFont="1" applyBorder="1" applyAlignment="1">
      <alignment horizontal="right"/>
    </xf>
    <xf numFmtId="3" fontId="28" fillId="0" borderId="6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17" fillId="0" borderId="11" xfId="0" applyNumberFormat="1" applyFont="1" applyBorder="1" applyAlignment="1">
      <alignment horizontal="right"/>
    </xf>
    <xf numFmtId="0" fontId="17" fillId="0" borderId="12" xfId="0" applyFont="1" applyBorder="1"/>
    <xf numFmtId="0" fontId="30" fillId="0" borderId="0" xfId="0" applyFont="1" applyAlignment="1">
      <alignment horizontal="center"/>
    </xf>
    <xf numFmtId="9" fontId="2" fillId="2" borderId="43" xfId="1" applyFont="1" applyFill="1" applyBorder="1" applyAlignment="1">
      <alignment horizontal="right"/>
    </xf>
    <xf numFmtId="9" fontId="2" fillId="5" borderId="0" xfId="1" applyFont="1" applyFill="1" applyBorder="1" applyAlignment="1">
      <alignment horizontal="right"/>
    </xf>
    <xf numFmtId="9" fontId="0" fillId="11" borderId="0" xfId="1" applyFont="1" applyFill="1"/>
    <xf numFmtId="3" fontId="3" fillId="0" borderId="0" xfId="0" applyNumberFormat="1" applyFont="1" applyBorder="1" applyAlignment="1"/>
    <xf numFmtId="9" fontId="0" fillId="12" borderId="0" xfId="1" applyFont="1" applyFill="1"/>
    <xf numFmtId="3" fontId="31" fillId="0" borderId="18" xfId="0" applyNumberFormat="1" applyFont="1" applyFill="1" applyBorder="1"/>
    <xf numFmtId="3" fontId="32" fillId="0" borderId="21" xfId="0" applyNumberFormat="1" applyFont="1" applyFill="1" applyBorder="1" applyAlignment="1"/>
    <xf numFmtId="3" fontId="32" fillId="0" borderId="9" xfId="0" applyNumberFormat="1" applyFont="1" applyFill="1" applyBorder="1" applyAlignment="1"/>
    <xf numFmtId="0" fontId="6" fillId="10" borderId="37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left"/>
    </xf>
    <xf numFmtId="3" fontId="6" fillId="10" borderId="6" xfId="0" applyNumberFormat="1" applyFont="1" applyFill="1" applyBorder="1" applyAlignment="1">
      <alignment horizontal="right"/>
    </xf>
    <xf numFmtId="0" fontId="6" fillId="10" borderId="27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left"/>
    </xf>
    <xf numFmtId="3" fontId="6" fillId="10" borderId="18" xfId="0" applyNumberFormat="1" applyFont="1" applyFill="1" applyBorder="1" applyAlignment="1">
      <alignment horizontal="right"/>
    </xf>
    <xf numFmtId="49" fontId="17" fillId="0" borderId="7" xfId="0" applyNumberFormat="1" applyFont="1" applyBorder="1" applyAlignment="1">
      <alignment horizontal="right"/>
    </xf>
    <xf numFmtId="49" fontId="7" fillId="0" borderId="12" xfId="0" applyNumberFormat="1" applyFont="1" applyFill="1" applyBorder="1" applyAlignment="1">
      <alignment horizontal="left"/>
    </xf>
    <xf numFmtId="3" fontId="32" fillId="0" borderId="6" xfId="0" applyNumberFormat="1" applyFont="1" applyFill="1" applyBorder="1" applyAlignment="1"/>
    <xf numFmtId="49" fontId="17" fillId="0" borderId="28" xfId="0" applyNumberFormat="1" applyFont="1" applyBorder="1" applyAlignment="1">
      <alignment horizontal="right"/>
    </xf>
    <xf numFmtId="49" fontId="7" fillId="0" borderId="20" xfId="0" applyNumberFormat="1" applyFont="1" applyFill="1" applyBorder="1" applyAlignment="1">
      <alignment horizontal="left"/>
    </xf>
    <xf numFmtId="3" fontId="32" fillId="0" borderId="18" xfId="0" applyNumberFormat="1" applyFont="1" applyFill="1" applyBorder="1" applyAlignment="1"/>
    <xf numFmtId="49" fontId="17" fillId="0" borderId="22" xfId="0" applyNumberFormat="1" applyFont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0" fontId="7" fillId="0" borderId="15" xfId="0" applyFont="1" applyBorder="1"/>
    <xf numFmtId="3" fontId="28" fillId="0" borderId="9" xfId="0" applyNumberFormat="1" applyFont="1" applyBorder="1" applyAlignment="1">
      <alignment horizontal="right"/>
    </xf>
    <xf numFmtId="3" fontId="28" fillId="0" borderId="18" xfId="0" applyNumberFormat="1" applyFont="1" applyFill="1" applyBorder="1" applyAlignment="1">
      <alignment horizontal="right"/>
    </xf>
    <xf numFmtId="3" fontId="27" fillId="0" borderId="39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0" fillId="13" borderId="54" xfId="0" applyFont="1" applyFill="1" applyBorder="1" applyAlignment="1">
      <alignment horizontal="center"/>
    </xf>
    <xf numFmtId="9" fontId="0" fillId="12" borderId="55" xfId="1" applyFont="1" applyFill="1" applyBorder="1"/>
    <xf numFmtId="9" fontId="0" fillId="12" borderId="56" xfId="1" applyFont="1" applyFill="1" applyBorder="1"/>
    <xf numFmtId="0" fontId="30" fillId="13" borderId="56" xfId="0" applyFont="1" applyFill="1" applyBorder="1" applyAlignment="1">
      <alignment horizontal="center"/>
    </xf>
    <xf numFmtId="9" fontId="0" fillId="11" borderId="54" xfId="1" applyFont="1" applyFill="1" applyBorder="1"/>
    <xf numFmtId="9" fontId="0" fillId="11" borderId="55" xfId="1" applyFont="1" applyFill="1" applyBorder="1"/>
    <xf numFmtId="3" fontId="2" fillId="5" borderId="51" xfId="0" applyNumberFormat="1" applyFont="1" applyFill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 horizontal="right"/>
    </xf>
    <xf numFmtId="3" fontId="3" fillId="0" borderId="59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3" fontId="2" fillId="5" borderId="58" xfId="0" applyNumberFormat="1" applyFont="1" applyFill="1" applyBorder="1" applyAlignment="1">
      <alignment horizontal="right"/>
    </xf>
    <xf numFmtId="3" fontId="2" fillId="5" borderId="26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3" fontId="8" fillId="5" borderId="58" xfId="0" applyNumberFormat="1" applyFont="1" applyFill="1" applyBorder="1" applyAlignment="1">
      <alignment horizontal="right"/>
    </xf>
    <xf numFmtId="3" fontId="2" fillId="4" borderId="59" xfId="0" applyNumberFormat="1" applyFont="1" applyFill="1" applyBorder="1" applyAlignment="1">
      <alignment horizontal="right"/>
    </xf>
    <xf numFmtId="3" fontId="2" fillId="4" borderId="52" xfId="0" applyNumberFormat="1" applyFont="1" applyFill="1" applyBorder="1" applyAlignment="1">
      <alignment horizontal="right"/>
    </xf>
    <xf numFmtId="3" fontId="2" fillId="6" borderId="60" xfId="0" applyNumberFormat="1" applyFont="1" applyFill="1" applyBorder="1" applyAlignment="1">
      <alignment horizontal="right"/>
    </xf>
    <xf numFmtId="3" fontId="8" fillId="5" borderId="51" xfId="0" applyNumberFormat="1" applyFont="1" applyFill="1" applyBorder="1" applyAlignment="1">
      <alignment horizontal="right"/>
    </xf>
    <xf numFmtId="9" fontId="2" fillId="5" borderId="54" xfId="1" applyFont="1" applyFill="1" applyBorder="1" applyAlignment="1">
      <alignment horizontal="right"/>
    </xf>
    <xf numFmtId="9" fontId="2" fillId="5" borderId="55" xfId="1" applyFont="1" applyFill="1" applyBorder="1" applyAlignment="1">
      <alignment horizontal="right"/>
    </xf>
    <xf numFmtId="9" fontId="2" fillId="5" borderId="56" xfId="1" applyFont="1" applyFill="1" applyBorder="1" applyAlignment="1">
      <alignment horizontal="right"/>
    </xf>
    <xf numFmtId="9" fontId="2" fillId="2" borderId="54" xfId="1" applyFont="1" applyFill="1" applyBorder="1" applyAlignment="1">
      <alignment horizontal="right"/>
    </xf>
    <xf numFmtId="9" fontId="2" fillId="2" borderId="55" xfId="1" applyFont="1" applyFill="1" applyBorder="1" applyAlignment="1">
      <alignment horizontal="right"/>
    </xf>
    <xf numFmtId="9" fontId="2" fillId="2" borderId="56" xfId="1" applyFont="1" applyFill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3" fontId="33" fillId="0" borderId="6" xfId="0" applyNumberFormat="1" applyFont="1" applyFill="1" applyBorder="1" applyAlignment="1">
      <alignment horizontal="right"/>
    </xf>
    <xf numFmtId="3" fontId="33" fillId="0" borderId="18" xfId="0" applyNumberFormat="1" applyFont="1" applyBorder="1" applyAlignment="1">
      <alignment horizontal="right"/>
    </xf>
    <xf numFmtId="3" fontId="33" fillId="0" borderId="21" xfId="0" applyNumberFormat="1" applyFont="1" applyFill="1" applyBorder="1" applyAlignment="1">
      <alignment horizontal="right"/>
    </xf>
    <xf numFmtId="3" fontId="33" fillId="0" borderId="32" xfId="0" applyNumberFormat="1" applyFont="1" applyFill="1" applyBorder="1" applyAlignment="1">
      <alignment horizontal="right"/>
    </xf>
    <xf numFmtId="3" fontId="33" fillId="0" borderId="13" xfId="0" applyNumberFormat="1" applyFont="1" applyFill="1" applyBorder="1"/>
    <xf numFmtId="3" fontId="34" fillId="0" borderId="21" xfId="0" applyNumberFormat="1" applyFont="1" applyBorder="1"/>
    <xf numFmtId="3" fontId="34" fillId="0" borderId="21" xfId="0" applyNumberFormat="1" applyFont="1" applyBorder="1" applyAlignment="1">
      <alignment horizontal="right"/>
    </xf>
    <xf numFmtId="3" fontId="34" fillId="0" borderId="18" xfId="0" applyNumberFormat="1" applyFont="1" applyBorder="1"/>
    <xf numFmtId="3" fontId="33" fillId="0" borderId="18" xfId="0" applyNumberFormat="1" applyFont="1" applyFill="1" applyBorder="1"/>
    <xf numFmtId="3" fontId="34" fillId="0" borderId="21" xfId="0" applyNumberFormat="1" applyFont="1" applyFill="1" applyBorder="1"/>
    <xf numFmtId="3" fontId="33" fillId="0" borderId="20" xfId="0" applyNumberFormat="1" applyFont="1" applyBorder="1" applyAlignment="1">
      <alignment horizontal="right"/>
    </xf>
    <xf numFmtId="3" fontId="33" fillId="0" borderId="18" xfId="0" applyNumberFormat="1" applyFont="1" applyFill="1" applyBorder="1" applyAlignment="1">
      <alignment horizontal="right"/>
    </xf>
    <xf numFmtId="3" fontId="33" fillId="0" borderId="9" xfId="0" applyNumberFormat="1" applyFont="1" applyBorder="1" applyAlignment="1">
      <alignment horizontal="right"/>
    </xf>
    <xf numFmtId="3" fontId="33" fillId="0" borderId="49" xfId="0" applyNumberFormat="1" applyFont="1" applyBorder="1" applyAlignment="1"/>
    <xf numFmtId="3" fontId="35" fillId="0" borderId="9" xfId="0" applyNumberFormat="1" applyFont="1" applyFill="1" applyBorder="1" applyAlignment="1"/>
    <xf numFmtId="3" fontId="35" fillId="0" borderId="18" xfId="0" applyNumberFormat="1" applyFont="1" applyFill="1" applyBorder="1" applyAlignment="1"/>
    <xf numFmtId="3" fontId="35" fillId="0" borderId="6" xfId="0" applyNumberFormat="1" applyFont="1" applyFill="1" applyBorder="1" applyAlignment="1"/>
    <xf numFmtId="3" fontId="35" fillId="0" borderId="21" xfId="0" applyNumberFormat="1" applyFont="1" applyFill="1" applyBorder="1" applyAlignment="1"/>
    <xf numFmtId="49" fontId="7" fillId="0" borderId="16" xfId="0" applyNumberFormat="1" applyFont="1" applyFill="1" applyBorder="1" applyAlignment="1">
      <alignment horizontal="right"/>
    </xf>
    <xf numFmtId="49" fontId="17" fillId="0" borderId="44" xfId="0" applyNumberFormat="1" applyFont="1" applyBorder="1" applyAlignment="1">
      <alignment horizontal="right"/>
    </xf>
    <xf numFmtId="49" fontId="7" fillId="0" borderId="23" xfId="0" applyNumberFormat="1" applyFont="1" applyFill="1" applyBorder="1" applyAlignment="1">
      <alignment horizontal="left"/>
    </xf>
    <xf numFmtId="3" fontId="34" fillId="0" borderId="21" xfId="0" applyNumberFormat="1" applyFont="1" applyFill="1" applyBorder="1" applyAlignment="1">
      <alignment horizontal="right"/>
    </xf>
    <xf numFmtId="3" fontId="34" fillId="0" borderId="39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17" fillId="0" borderId="41" xfId="0" applyNumberFormat="1" applyFont="1" applyFill="1" applyBorder="1" applyAlignment="1">
      <alignment horizontal="right"/>
    </xf>
    <xf numFmtId="0" fontId="17" fillId="0" borderId="30" xfId="0" applyFont="1" applyBorder="1"/>
    <xf numFmtId="3" fontId="7" fillId="0" borderId="31" xfId="0" applyNumberFormat="1" applyFont="1" applyFill="1" applyBorder="1" applyAlignment="1"/>
    <xf numFmtId="3" fontId="35" fillId="0" borderId="31" xfId="0" applyNumberFormat="1" applyFont="1" applyFill="1" applyBorder="1" applyAlignment="1"/>
    <xf numFmtId="3" fontId="33" fillId="0" borderId="21" xfId="0" applyNumberFormat="1" applyFont="1" applyFill="1" applyBorder="1"/>
    <xf numFmtId="3" fontId="7" fillId="0" borderId="62" xfId="0" applyNumberFormat="1" applyFont="1" applyFill="1" applyBorder="1" applyAlignment="1"/>
    <xf numFmtId="3" fontId="7" fillId="0" borderId="63" xfId="0" applyNumberFormat="1" applyFont="1" applyFill="1" applyBorder="1" applyAlignment="1"/>
    <xf numFmtId="3" fontId="7" fillId="0" borderId="64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36" fillId="4" borderId="21" xfId="0" applyNumberFormat="1" applyFont="1" applyFill="1" applyBorder="1"/>
    <xf numFmtId="3" fontId="33" fillId="4" borderId="21" xfId="0" applyNumberFormat="1" applyFont="1" applyFill="1" applyBorder="1"/>
    <xf numFmtId="3" fontId="35" fillId="0" borderId="39" xfId="0" applyNumberFormat="1" applyFont="1" applyFill="1" applyBorder="1" applyAlignment="1"/>
    <xf numFmtId="3" fontId="33" fillId="0" borderId="21" xfId="0" applyNumberFormat="1" applyFont="1" applyBorder="1" applyAlignment="1">
      <alignment horizontal="right"/>
    </xf>
    <xf numFmtId="3" fontId="33" fillId="0" borderId="6" xfId="0" applyNumberFormat="1" applyFont="1" applyBorder="1" applyAlignment="1"/>
    <xf numFmtId="3" fontId="4" fillId="0" borderId="49" xfId="0" applyNumberFormat="1" applyFont="1" applyBorder="1" applyAlignment="1"/>
    <xf numFmtId="0" fontId="7" fillId="0" borderId="12" xfId="0" applyFont="1" applyBorder="1"/>
    <xf numFmtId="3" fontId="4" fillId="0" borderId="21" xfId="0" applyNumberFormat="1" applyFont="1" applyFill="1" applyBorder="1" applyAlignment="1">
      <alignment horizontal="right"/>
    </xf>
    <xf numFmtId="3" fontId="37" fillId="0" borderId="18" xfId="0" applyNumberFormat="1" applyFont="1" applyBorder="1"/>
    <xf numFmtId="3" fontId="38" fillId="4" borderId="31" xfId="0" applyNumberFormat="1" applyFont="1" applyFill="1" applyBorder="1" applyAlignment="1">
      <alignment horizontal="right"/>
    </xf>
    <xf numFmtId="3" fontId="34" fillId="0" borderId="18" xfId="0" applyNumberFormat="1" applyFont="1" applyFill="1" applyBorder="1"/>
    <xf numFmtId="0" fontId="30" fillId="13" borderId="55" xfId="0" applyFont="1" applyFill="1" applyBorder="1" applyAlignment="1">
      <alignment horizontal="center"/>
    </xf>
    <xf numFmtId="0" fontId="30" fillId="13" borderId="66" xfId="0" applyFont="1" applyFill="1" applyBorder="1" applyAlignment="1">
      <alignment horizontal="center"/>
    </xf>
    <xf numFmtId="0" fontId="30" fillId="13" borderId="43" xfId="0" applyFont="1" applyFill="1" applyBorder="1" applyAlignment="1">
      <alignment horizontal="center"/>
    </xf>
    <xf numFmtId="3" fontId="2" fillId="2" borderId="65" xfId="0" applyNumberFormat="1" applyFont="1" applyFill="1" applyBorder="1" applyAlignment="1">
      <alignment horizontal="right"/>
    </xf>
    <xf numFmtId="3" fontId="3" fillId="0" borderId="56" xfId="0" applyNumberFormat="1" applyFont="1" applyFill="1" applyBorder="1"/>
    <xf numFmtId="3" fontId="5" fillId="0" borderId="65" xfId="0" applyNumberFormat="1" applyFont="1" applyBorder="1"/>
    <xf numFmtId="3" fontId="5" fillId="0" borderId="67" xfId="0" applyNumberFormat="1" applyFont="1" applyBorder="1"/>
    <xf numFmtId="3" fontId="5" fillId="0" borderId="63" xfId="0" applyNumberFormat="1" applyFont="1" applyBorder="1"/>
    <xf numFmtId="3" fontId="4" fillId="0" borderId="64" xfId="0" applyNumberFormat="1" applyFont="1" applyBorder="1"/>
    <xf numFmtId="3" fontId="5" fillId="0" borderId="62" xfId="0" applyNumberFormat="1" applyFont="1" applyBorder="1"/>
    <xf numFmtId="3" fontId="5" fillId="0" borderId="63" xfId="0" applyNumberFormat="1" applyFont="1" applyFill="1" applyBorder="1"/>
    <xf numFmtId="3" fontId="5" fillId="0" borderId="56" xfId="0" applyNumberFormat="1" applyFont="1" applyBorder="1"/>
    <xf numFmtId="3" fontId="4" fillId="0" borderId="65" xfId="0" applyNumberFormat="1" applyFont="1" applyBorder="1"/>
    <xf numFmtId="3" fontId="4" fillId="0" borderId="63" xfId="0" applyNumberFormat="1" applyFont="1" applyBorder="1"/>
    <xf numFmtId="3" fontId="5" fillId="0" borderId="64" xfId="0" applyNumberFormat="1" applyFont="1" applyBorder="1"/>
    <xf numFmtId="3" fontId="3" fillId="0" borderId="67" xfId="0" applyNumberFormat="1" applyFont="1" applyFill="1" applyBorder="1" applyAlignment="1">
      <alignment horizontal="right"/>
    </xf>
    <xf numFmtId="3" fontId="3" fillId="0" borderId="63" xfId="0" applyNumberFormat="1" applyFont="1" applyFill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3" fontId="6" fillId="0" borderId="63" xfId="0" applyNumberFormat="1" applyFont="1" applyFill="1" applyBorder="1"/>
    <xf numFmtId="3" fontId="7" fillId="0" borderId="67" xfId="0" applyNumberFormat="1" applyFont="1" applyBorder="1"/>
    <xf numFmtId="3" fontId="6" fillId="0" borderId="67" xfId="0" applyNumberFormat="1" applyFont="1" applyFill="1" applyBorder="1"/>
    <xf numFmtId="3" fontId="2" fillId="4" borderId="63" xfId="0" applyNumberFormat="1" applyFont="1" applyFill="1" applyBorder="1"/>
    <xf numFmtId="3" fontId="8" fillId="2" borderId="65" xfId="0" applyNumberFormat="1" applyFont="1" applyFill="1" applyBorder="1" applyAlignment="1">
      <alignment horizontal="right"/>
    </xf>
    <xf numFmtId="3" fontId="8" fillId="4" borderId="55" xfId="0" applyNumberFormat="1" applyFont="1" applyFill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3" fontId="33" fillId="0" borderId="57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right"/>
    </xf>
    <xf numFmtId="3" fontId="33" fillId="0" borderId="57" xfId="0" applyNumberFormat="1" applyFont="1" applyBorder="1" applyAlignment="1">
      <alignment horizontal="right"/>
    </xf>
    <xf numFmtId="3" fontId="33" fillId="0" borderId="59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3" fontId="33" fillId="0" borderId="52" xfId="0" applyNumberFormat="1" applyFont="1" applyFill="1" applyBorder="1" applyAlignment="1">
      <alignment horizontal="right"/>
    </xf>
    <xf numFmtId="3" fontId="33" fillId="0" borderId="52" xfId="0" applyNumberFormat="1" applyFont="1" applyBorder="1" applyAlignment="1">
      <alignment horizontal="right"/>
    </xf>
    <xf numFmtId="3" fontId="2" fillId="5" borderId="65" xfId="0" applyNumberFormat="1" applyFont="1" applyFill="1" applyBorder="1" applyAlignment="1">
      <alignment horizontal="right"/>
    </xf>
    <xf numFmtId="3" fontId="3" fillId="0" borderId="67" xfId="0" applyNumberFormat="1" applyFont="1" applyBorder="1" applyAlignment="1">
      <alignment horizontal="right"/>
    </xf>
    <xf numFmtId="3" fontId="3" fillId="0" borderId="63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54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3" fontId="3" fillId="0" borderId="62" xfId="0" applyNumberFormat="1" applyFont="1" applyBorder="1" applyAlignment="1">
      <alignment horizontal="right"/>
    </xf>
    <xf numFmtId="3" fontId="3" fillId="0" borderId="55" xfId="0" applyNumberFormat="1" applyFont="1" applyBorder="1" applyAlignment="1">
      <alignment horizontal="right"/>
    </xf>
    <xf numFmtId="3" fontId="3" fillId="0" borderId="64" xfId="0" applyNumberFormat="1" applyFont="1" applyBorder="1" applyAlignment="1">
      <alignment horizontal="right"/>
    </xf>
    <xf numFmtId="3" fontId="3" fillId="0" borderId="64" xfId="0" applyNumberFormat="1" applyFont="1" applyFill="1" applyBorder="1" applyAlignment="1">
      <alignment horizontal="right"/>
    </xf>
    <xf numFmtId="3" fontId="2" fillId="5" borderId="54" xfId="0" applyNumberFormat="1" applyFont="1" applyFill="1" applyBorder="1" applyAlignment="1">
      <alignment horizontal="right"/>
    </xf>
    <xf numFmtId="3" fontId="2" fillId="5" borderId="56" xfId="0" applyNumberFormat="1" applyFont="1" applyFill="1" applyBorder="1" applyAlignment="1">
      <alignment horizontal="right"/>
    </xf>
    <xf numFmtId="3" fontId="3" fillId="0" borderId="68" xfId="0" applyNumberFormat="1" applyFont="1" applyFill="1" applyBorder="1" applyAlignment="1">
      <alignment horizontal="right"/>
    </xf>
    <xf numFmtId="3" fontId="8" fillId="5" borderId="54" xfId="0" applyNumberFormat="1" applyFont="1" applyFill="1" applyBorder="1" applyAlignment="1">
      <alignment horizontal="right"/>
    </xf>
    <xf numFmtId="3" fontId="2" fillId="4" borderId="62" xfId="0" applyNumberFormat="1" applyFont="1" applyFill="1" applyBorder="1" applyAlignment="1">
      <alignment horizontal="right"/>
    </xf>
    <xf numFmtId="3" fontId="2" fillId="4" borderId="67" xfId="0" applyNumberFormat="1" applyFont="1" applyFill="1" applyBorder="1" applyAlignment="1">
      <alignment horizontal="right"/>
    </xf>
    <xf numFmtId="3" fontId="2" fillId="6" borderId="55" xfId="0" applyNumberFormat="1" applyFont="1" applyFill="1" applyBorder="1" applyAlignment="1">
      <alignment horizontal="right"/>
    </xf>
    <xf numFmtId="3" fontId="8" fillId="5" borderId="65" xfId="0" applyNumberFormat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right"/>
    </xf>
    <xf numFmtId="49" fontId="17" fillId="0" borderId="41" xfId="0" applyNumberFormat="1" applyFont="1" applyBorder="1" applyAlignment="1">
      <alignment horizontal="right"/>
    </xf>
    <xf numFmtId="49" fontId="7" fillId="0" borderId="30" xfId="0" applyNumberFormat="1" applyFont="1" applyFill="1" applyBorder="1" applyAlignment="1">
      <alignment horizontal="left"/>
    </xf>
    <xf numFmtId="3" fontId="7" fillId="0" borderId="54" xfId="0" applyNumberFormat="1" applyFont="1" applyFill="1" applyBorder="1" applyAlignment="1"/>
    <xf numFmtId="49" fontId="7" fillId="0" borderId="22" xfId="0" applyNumberFormat="1" applyFont="1" applyFill="1" applyBorder="1" applyAlignment="1">
      <alignment horizontal="right"/>
    </xf>
    <xf numFmtId="3" fontId="7" fillId="0" borderId="67" xfId="0" applyNumberFormat="1" applyFont="1" applyFill="1" applyBorder="1" applyAlignment="1"/>
    <xf numFmtId="3" fontId="7" fillId="0" borderId="68" xfId="0" applyNumberFormat="1" applyFont="1" applyFill="1" applyBorder="1" applyAlignment="1"/>
    <xf numFmtId="3" fontId="33" fillId="0" borderId="53" xfId="0" applyNumberFormat="1" applyFont="1" applyBorder="1" applyAlignment="1">
      <alignment horizontal="right"/>
    </xf>
    <xf numFmtId="9" fontId="0" fillId="11" borderId="46" xfId="1" applyFont="1" applyFill="1" applyBorder="1"/>
    <xf numFmtId="3" fontId="8" fillId="7" borderId="65" xfId="0" applyNumberFormat="1" applyFont="1" applyFill="1" applyBorder="1" applyAlignment="1"/>
    <xf numFmtId="3" fontId="3" fillId="0" borderId="62" xfId="0" applyNumberFormat="1" applyFont="1" applyBorder="1" applyAlignment="1"/>
    <xf numFmtId="3" fontId="3" fillId="0" borderId="63" xfId="0" applyNumberFormat="1" applyFont="1" applyBorder="1" applyAlignment="1"/>
    <xf numFmtId="3" fontId="3" fillId="0" borderId="55" xfId="0" applyNumberFormat="1" applyFont="1" applyBorder="1" applyAlignment="1"/>
    <xf numFmtId="3" fontId="7" fillId="0" borderId="56" xfId="0" applyNumberFormat="1" applyFont="1" applyFill="1" applyBorder="1" applyAlignment="1"/>
    <xf numFmtId="3" fontId="7" fillId="0" borderId="55" xfId="0" applyNumberFormat="1" applyFont="1" applyFill="1" applyBorder="1" applyAlignment="1"/>
    <xf numFmtId="9" fontId="4" fillId="5" borderId="46" xfId="1" applyFont="1" applyFill="1" applyBorder="1" applyAlignment="1">
      <alignment horizontal="right"/>
    </xf>
    <xf numFmtId="9" fontId="4" fillId="2" borderId="46" xfId="1" applyFont="1" applyFill="1" applyBorder="1" applyAlignment="1">
      <alignment horizontal="right"/>
    </xf>
    <xf numFmtId="3" fontId="8" fillId="4" borderId="51" xfId="0" applyNumberFormat="1" applyFont="1" applyFill="1" applyBorder="1" applyAlignment="1">
      <alignment horizontal="right"/>
    </xf>
    <xf numFmtId="3" fontId="5" fillId="0" borderId="57" xfId="0" applyNumberFormat="1" applyFont="1" applyFill="1" applyBorder="1" applyAlignment="1">
      <alignment horizontal="right"/>
    </xf>
    <xf numFmtId="3" fontId="5" fillId="0" borderId="61" xfId="0" applyNumberFormat="1" applyFont="1" applyFill="1" applyBorder="1" applyAlignment="1">
      <alignment horizontal="right"/>
    </xf>
    <xf numFmtId="9" fontId="0" fillId="12" borderId="62" xfId="1" applyFont="1" applyFill="1" applyBorder="1"/>
    <xf numFmtId="9" fontId="0" fillId="12" borderId="63" xfId="1" applyFont="1" applyFill="1" applyBorder="1"/>
    <xf numFmtId="9" fontId="0" fillId="12" borderId="64" xfId="1" applyFont="1" applyFill="1" applyBorder="1"/>
    <xf numFmtId="0" fontId="20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37" fillId="0" borderId="21" xfId="0" applyNumberFormat="1" applyFont="1" applyBorder="1"/>
    <xf numFmtId="3" fontId="4" fillId="0" borderId="13" xfId="0" applyNumberFormat="1" applyFont="1" applyFill="1" applyBorder="1"/>
    <xf numFmtId="3" fontId="33" fillId="0" borderId="21" xfId="0" applyNumberFormat="1" applyFont="1" applyBorder="1"/>
    <xf numFmtId="3" fontId="33" fillId="0" borderId="21" xfId="0" applyNumberFormat="1" applyFont="1" applyBorder="1" applyAlignment="1"/>
    <xf numFmtId="9" fontId="4" fillId="2" borderId="69" xfId="1" applyFont="1" applyFill="1" applyBorder="1" applyAlignment="1">
      <alignment horizontal="right"/>
    </xf>
    <xf numFmtId="3" fontId="4" fillId="0" borderId="21" xfId="0" applyNumberFormat="1" applyFont="1" applyFill="1" applyBorder="1"/>
    <xf numFmtId="3" fontId="37" fillId="0" borderId="18" xfId="0" applyNumberFormat="1" applyFont="1" applyFill="1" applyBorder="1"/>
    <xf numFmtId="3" fontId="4" fillId="0" borderId="18" xfId="0" applyNumberFormat="1" applyFont="1" applyFill="1" applyBorder="1"/>
    <xf numFmtId="0" fontId="0" fillId="0" borderId="24" xfId="0" applyBorder="1"/>
    <xf numFmtId="0" fontId="0" fillId="0" borderId="25" xfId="0" applyFill="1" applyBorder="1"/>
    <xf numFmtId="3" fontId="0" fillId="0" borderId="6" xfId="0" applyNumberFormat="1" applyBorder="1"/>
    <xf numFmtId="3" fontId="37" fillId="0" borderId="10" xfId="0" applyNumberFormat="1" applyFont="1" applyBorder="1"/>
    <xf numFmtId="3" fontId="37" fillId="0" borderId="21" xfId="0" applyNumberFormat="1" applyFont="1" applyFill="1" applyBorder="1"/>
    <xf numFmtId="0" fontId="3" fillId="4" borderId="14" xfId="0" applyFont="1" applyFill="1" applyBorder="1"/>
    <xf numFmtId="0" fontId="2" fillId="4" borderId="15" xfId="0" applyFont="1" applyFill="1" applyBorder="1"/>
    <xf numFmtId="49" fontId="3" fillId="4" borderId="1" xfId="0" applyNumberFormat="1" applyFont="1" applyFill="1" applyBorder="1" applyAlignment="1">
      <alignment horizontal="right"/>
    </xf>
    <xf numFmtId="0" fontId="2" fillId="4" borderId="34" xfId="0" applyFont="1" applyFill="1" applyBorder="1"/>
    <xf numFmtId="3" fontId="2" fillId="4" borderId="10" xfId="0" applyNumberFormat="1" applyFont="1" applyFill="1" applyBorder="1" applyAlignment="1">
      <alignment horizontal="right"/>
    </xf>
    <xf numFmtId="49" fontId="4" fillId="4" borderId="37" xfId="0" applyNumberFormat="1" applyFont="1" applyFill="1" applyBorder="1" applyAlignment="1">
      <alignment horizontal="right"/>
    </xf>
    <xf numFmtId="0" fontId="4" fillId="4" borderId="25" xfId="0" applyFont="1" applyFill="1" applyBorder="1"/>
    <xf numFmtId="3" fontId="4" fillId="4" borderId="6" xfId="0" applyNumberFormat="1" applyFont="1" applyFill="1" applyBorder="1" applyAlignment="1">
      <alignment horizontal="right"/>
    </xf>
    <xf numFmtId="49" fontId="4" fillId="4" borderId="38" xfId="0" applyNumberFormat="1" applyFont="1" applyFill="1" applyBorder="1" applyAlignment="1">
      <alignment horizontal="right"/>
    </xf>
    <xf numFmtId="0" fontId="4" fillId="4" borderId="45" xfId="0" applyFont="1" applyFill="1" applyBorder="1"/>
    <xf numFmtId="3" fontId="4" fillId="4" borderId="31" xfId="0" applyNumberFormat="1" applyFont="1" applyFill="1" applyBorder="1" applyAlignment="1">
      <alignment horizontal="right"/>
    </xf>
    <xf numFmtId="3" fontId="4" fillId="4" borderId="60" xfId="0" applyNumberFormat="1" applyFont="1" applyFill="1" applyBorder="1" applyAlignment="1">
      <alignment horizontal="right"/>
    </xf>
    <xf numFmtId="3" fontId="4" fillId="4" borderId="55" xfId="0" applyNumberFormat="1" applyFont="1" applyFill="1" applyBorder="1" applyAlignment="1">
      <alignment horizontal="right"/>
    </xf>
    <xf numFmtId="3" fontId="39" fillId="4" borderId="21" xfId="0" applyNumberFormat="1" applyFont="1" applyFill="1" applyBorder="1"/>
    <xf numFmtId="0" fontId="40" fillId="4" borderId="19" xfId="0" applyFont="1" applyFill="1" applyBorder="1"/>
    <xf numFmtId="0" fontId="40" fillId="4" borderId="20" xfId="0" applyFont="1" applyFill="1" applyBorder="1"/>
    <xf numFmtId="3" fontId="40" fillId="4" borderId="21" xfId="0" applyNumberFormat="1" applyFont="1" applyFill="1" applyBorder="1"/>
    <xf numFmtId="3" fontId="40" fillId="4" borderId="63" xfId="0" applyNumberFormat="1" applyFont="1" applyFill="1" applyBorder="1"/>
    <xf numFmtId="3" fontId="39" fillId="4" borderId="18" xfId="0" applyNumberFormat="1" applyFont="1" applyFill="1" applyBorder="1" applyAlignment="1">
      <alignment horizontal="right"/>
    </xf>
    <xf numFmtId="3" fontId="39" fillId="4" borderId="39" xfId="0" applyNumberFormat="1" applyFont="1" applyFill="1" applyBorder="1" applyAlignment="1">
      <alignment horizontal="right"/>
    </xf>
    <xf numFmtId="0" fontId="4" fillId="4" borderId="16" xfId="0" applyFont="1" applyFill="1" applyBorder="1"/>
    <xf numFmtId="0" fontId="4" fillId="4" borderId="17" xfId="0" applyFont="1" applyFill="1" applyBorder="1"/>
    <xf numFmtId="3" fontId="40" fillId="4" borderId="18" xfId="0" applyNumberFormat="1" applyFont="1" applyFill="1" applyBorder="1" applyAlignment="1">
      <alignment horizontal="right"/>
    </xf>
    <xf numFmtId="0" fontId="4" fillId="4" borderId="70" xfId="0" applyFont="1" applyFill="1" applyBorder="1"/>
    <xf numFmtId="3" fontId="40" fillId="4" borderId="39" xfId="0" applyNumberFormat="1" applyFont="1" applyFill="1" applyBorder="1" applyAlignment="1">
      <alignment horizontal="right"/>
    </xf>
    <xf numFmtId="3" fontId="40" fillId="4" borderId="68" xfId="0" applyNumberFormat="1" applyFont="1" applyFill="1" applyBorder="1" applyAlignment="1">
      <alignment horizontal="right"/>
    </xf>
    <xf numFmtId="3" fontId="35" fillId="0" borderId="13" xfId="0" applyNumberFormat="1" applyFont="1" applyFill="1" applyBorder="1" applyAlignment="1"/>
    <xf numFmtId="3" fontId="4" fillId="0" borderId="57" xfId="0" applyNumberFormat="1" applyFont="1" applyFill="1" applyBorder="1" applyAlignment="1">
      <alignment horizontal="right"/>
    </xf>
    <xf numFmtId="3" fontId="21" fillId="5" borderId="51" xfId="0" applyNumberFormat="1" applyFont="1" applyFill="1" applyBorder="1" applyAlignment="1">
      <alignment horizontal="right"/>
    </xf>
    <xf numFmtId="3" fontId="4" fillId="0" borderId="53" xfId="0" applyNumberFormat="1" applyFont="1" applyFill="1" applyBorder="1" applyAlignment="1">
      <alignment horizontal="right"/>
    </xf>
    <xf numFmtId="3" fontId="21" fillId="5" borderId="58" xfId="0" applyNumberFormat="1" applyFont="1" applyFill="1" applyBorder="1" applyAlignment="1">
      <alignment horizontal="right"/>
    </xf>
    <xf numFmtId="3" fontId="4" fillId="0" borderId="59" xfId="0" applyNumberFormat="1" applyFont="1" applyBorder="1" applyAlignment="1">
      <alignment horizontal="right"/>
    </xf>
    <xf numFmtId="3" fontId="21" fillId="5" borderId="26" xfId="0" applyNumberFormat="1" applyFont="1" applyFill="1" applyBorder="1" applyAlignment="1">
      <alignment horizontal="right"/>
    </xf>
    <xf numFmtId="3" fontId="33" fillId="0" borderId="61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/>
    <xf numFmtId="3" fontId="33" fillId="4" borderId="6" xfId="0" applyNumberFormat="1" applyFont="1" applyFill="1" applyBorder="1" applyAlignment="1">
      <alignment horizontal="right"/>
    </xf>
    <xf numFmtId="3" fontId="35" fillId="0" borderId="62" xfId="0" applyNumberFormat="1" applyFont="1" applyFill="1" applyBorder="1" applyAlignment="1"/>
    <xf numFmtId="3" fontId="35" fillId="0" borderId="64" xfId="0" applyNumberFormat="1" applyFont="1" applyFill="1" applyBorder="1" applyAlignment="1"/>
    <xf numFmtId="3" fontId="33" fillId="0" borderId="59" xfId="0" applyNumberFormat="1" applyFont="1" applyFill="1" applyBorder="1" applyAlignment="1">
      <alignment horizontal="right"/>
    </xf>
    <xf numFmtId="3" fontId="40" fillId="12" borderId="67" xfId="0" applyNumberFormat="1" applyFont="1" applyFill="1" applyBorder="1" applyAlignment="1">
      <alignment horizontal="right"/>
    </xf>
    <xf numFmtId="3" fontId="33" fillId="0" borderId="60" xfId="0" applyNumberFormat="1" applyFont="1" applyBorder="1" applyAlignment="1">
      <alignment horizontal="right"/>
    </xf>
    <xf numFmtId="3" fontId="33" fillId="0" borderId="26" xfId="0" applyNumberFormat="1" applyFont="1" applyBorder="1" applyAlignment="1">
      <alignment horizontal="right"/>
    </xf>
    <xf numFmtId="0" fontId="42" fillId="0" borderId="0" xfId="0" applyFont="1"/>
    <xf numFmtId="0" fontId="42" fillId="0" borderId="65" xfId="0" applyFont="1" applyBorder="1" applyAlignment="1">
      <alignment horizontal="center"/>
    </xf>
    <xf numFmtId="0" fontId="41" fillId="4" borderId="65" xfId="0" applyFont="1" applyFill="1" applyBorder="1" applyAlignment="1">
      <alignment horizontal="center" vertical="center"/>
    </xf>
    <xf numFmtId="0" fontId="41" fillId="4" borderId="2" xfId="0" applyFont="1" applyFill="1" applyBorder="1" applyAlignment="1">
      <alignment vertical="center"/>
    </xf>
    <xf numFmtId="3" fontId="41" fillId="15" borderId="65" xfId="0" applyNumberFormat="1" applyFont="1" applyFill="1" applyBorder="1" applyAlignment="1">
      <alignment vertical="center"/>
    </xf>
    <xf numFmtId="0" fontId="42" fillId="14" borderId="67" xfId="0" applyFont="1" applyFill="1" applyBorder="1" applyAlignment="1">
      <alignment horizontal="center" vertical="center"/>
    </xf>
    <xf numFmtId="0" fontId="42" fillId="14" borderId="71" xfId="0" applyFont="1" applyFill="1" applyBorder="1" applyAlignment="1">
      <alignment vertical="center"/>
    </xf>
    <xf numFmtId="3" fontId="43" fillId="0" borderId="67" xfId="0" applyNumberFormat="1" applyFont="1" applyFill="1" applyBorder="1" applyAlignment="1" applyProtection="1">
      <alignment vertical="center"/>
      <protection locked="0"/>
    </xf>
    <xf numFmtId="0" fontId="42" fillId="14" borderId="63" xfId="0" applyFont="1" applyFill="1" applyBorder="1" applyAlignment="1">
      <alignment horizontal="center" vertical="center"/>
    </xf>
    <xf numFmtId="0" fontId="42" fillId="14" borderId="47" xfId="0" applyFont="1" applyFill="1" applyBorder="1" applyAlignment="1">
      <alignment vertical="center"/>
    </xf>
    <xf numFmtId="3" fontId="43" fillId="0" borderId="63" xfId="0" applyNumberFormat="1" applyFont="1" applyFill="1" applyBorder="1" applyAlignment="1" applyProtection="1">
      <alignment vertical="center"/>
      <protection locked="0"/>
    </xf>
    <xf numFmtId="0" fontId="42" fillId="4" borderId="63" xfId="0" applyFont="1" applyFill="1" applyBorder="1" applyAlignment="1">
      <alignment horizontal="center" vertical="center"/>
    </xf>
    <xf numFmtId="0" fontId="42" fillId="4" borderId="47" xfId="0" applyFont="1" applyFill="1" applyBorder="1" applyAlignment="1">
      <alignment vertical="center"/>
    </xf>
    <xf numFmtId="3" fontId="44" fillId="4" borderId="63" xfId="0" applyNumberFormat="1" applyFont="1" applyFill="1" applyBorder="1" applyAlignment="1">
      <alignment vertical="center"/>
    </xf>
    <xf numFmtId="3" fontId="44" fillId="15" borderId="65" xfId="0" applyNumberFormat="1" applyFont="1" applyFill="1" applyBorder="1" applyAlignment="1">
      <alignment vertical="center"/>
    </xf>
    <xf numFmtId="3" fontId="43" fillId="0" borderId="62" xfId="0" applyNumberFormat="1" applyFont="1" applyFill="1" applyBorder="1" applyAlignment="1" applyProtection="1">
      <alignment vertical="center"/>
      <protection locked="0"/>
    </xf>
    <xf numFmtId="0" fontId="42" fillId="4" borderId="68" xfId="0" applyFont="1" applyFill="1" applyBorder="1" applyAlignment="1">
      <alignment horizontal="center" vertical="center"/>
    </xf>
    <xf numFmtId="0" fontId="42" fillId="4" borderId="72" xfId="0" applyFont="1" applyFill="1" applyBorder="1" applyAlignment="1">
      <alignment vertical="center"/>
    </xf>
    <xf numFmtId="3" fontId="43" fillId="4" borderId="55" xfId="0" applyNumberFormat="1" applyFont="1" applyFill="1" applyBorder="1" applyAlignment="1" applyProtection="1">
      <alignment vertical="center"/>
      <protection locked="0"/>
    </xf>
    <xf numFmtId="0" fontId="41" fillId="4" borderId="65" xfId="0" applyFont="1" applyFill="1" applyBorder="1" applyAlignment="1">
      <alignment vertical="center"/>
    </xf>
    <xf numFmtId="3" fontId="44" fillId="15" borderId="62" xfId="0" applyNumberFormat="1" applyFont="1" applyFill="1" applyBorder="1" applyAlignment="1">
      <alignment vertical="center"/>
    </xf>
    <xf numFmtId="0" fontId="41" fillId="14" borderId="65" xfId="0" applyFont="1" applyFill="1" applyBorder="1" applyAlignment="1">
      <alignment horizontal="center" vertical="center"/>
    </xf>
    <xf numFmtId="0" fontId="41" fillId="14" borderId="8" xfId="0" applyFont="1" applyFill="1" applyBorder="1" applyAlignment="1">
      <alignment vertical="center" wrapText="1"/>
    </xf>
    <xf numFmtId="3" fontId="44" fillId="16" borderId="65" xfId="0" applyNumberFormat="1" applyFont="1" applyFill="1" applyBorder="1" applyAlignment="1">
      <alignment vertical="center"/>
    </xf>
    <xf numFmtId="0" fontId="41" fillId="4" borderId="54" xfId="0" applyFont="1" applyFill="1" applyBorder="1" applyAlignment="1">
      <alignment horizontal="center" vertical="center"/>
    </xf>
    <xf numFmtId="0" fontId="45" fillId="4" borderId="54" xfId="0" applyFont="1" applyFill="1" applyBorder="1" applyAlignment="1">
      <alignment vertical="center"/>
    </xf>
    <xf numFmtId="3" fontId="44" fillId="15" borderId="54" xfId="0" applyNumberFormat="1" applyFont="1" applyFill="1" applyBorder="1" applyAlignment="1">
      <alignment vertical="center"/>
    </xf>
    <xf numFmtId="0" fontId="7" fillId="14" borderId="37" xfId="0" applyFont="1" applyFill="1" applyBorder="1" applyAlignment="1">
      <alignment horizontal="center" vertical="center"/>
    </xf>
    <xf numFmtId="0" fontId="42" fillId="0" borderId="62" xfId="2" applyFont="1" applyBorder="1" applyAlignment="1">
      <alignment vertical="center"/>
    </xf>
    <xf numFmtId="3" fontId="43" fillId="0" borderId="73" xfId="0" applyNumberFormat="1" applyFont="1" applyFill="1" applyBorder="1" applyAlignment="1" applyProtection="1">
      <alignment vertical="center"/>
      <protection locked="0"/>
    </xf>
    <xf numFmtId="0" fontId="7" fillId="14" borderId="44" xfId="0" applyFont="1" applyFill="1" applyBorder="1" applyAlignment="1">
      <alignment horizontal="center" vertical="center"/>
    </xf>
    <xf numFmtId="0" fontId="42" fillId="0" borderId="64" xfId="2" applyFont="1" applyBorder="1" applyAlignment="1">
      <alignment vertical="center"/>
    </xf>
    <xf numFmtId="0" fontId="45" fillId="4" borderId="65" xfId="0" applyFont="1" applyFill="1" applyBorder="1" applyAlignment="1">
      <alignment vertical="center"/>
    </xf>
    <xf numFmtId="0" fontId="7" fillId="14" borderId="62" xfId="0" applyFont="1" applyFill="1" applyBorder="1" applyAlignment="1">
      <alignment vertical="center"/>
    </xf>
    <xf numFmtId="0" fontId="7" fillId="14" borderId="64" xfId="0" applyFont="1" applyFill="1" applyBorder="1" applyAlignment="1">
      <alignment vertical="center"/>
    </xf>
    <xf numFmtId="0" fontId="42" fillId="4" borderId="65" xfId="0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47" fillId="0" borderId="39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21" fillId="0" borderId="49" xfId="0" applyNumberFormat="1" applyFont="1" applyBorder="1" applyAlignment="1"/>
    <xf numFmtId="3" fontId="22" fillId="0" borderId="62" xfId="0" applyNumberFormat="1" applyFont="1" applyFill="1" applyBorder="1" applyAlignment="1"/>
    <xf numFmtId="3" fontId="22" fillId="0" borderId="64" xfId="0" applyNumberFormat="1" applyFont="1" applyFill="1" applyBorder="1" applyAlignment="1"/>
    <xf numFmtId="3" fontId="22" fillId="0" borderId="18" xfId="0" applyNumberFormat="1" applyFont="1" applyFill="1" applyBorder="1" applyAlignment="1"/>
    <xf numFmtId="3" fontId="22" fillId="0" borderId="9" xfId="0" applyNumberFormat="1" applyFont="1" applyFill="1" applyBorder="1" applyAlignment="1"/>
    <xf numFmtId="3" fontId="22" fillId="0" borderId="13" xfId="0" applyNumberFormat="1" applyFont="1" applyFill="1" applyBorder="1" applyAlignment="1"/>
    <xf numFmtId="3" fontId="22" fillId="0" borderId="39" xfId="0" applyNumberFormat="1" applyFont="1" applyFill="1" applyBorder="1" applyAlignment="1"/>
    <xf numFmtId="3" fontId="3" fillId="4" borderId="60" xfId="0" applyNumberFormat="1" applyFont="1" applyFill="1" applyBorder="1" applyAlignment="1">
      <alignment horizontal="right"/>
    </xf>
    <xf numFmtId="3" fontId="36" fillId="0" borderId="57" xfId="0" applyNumberFormat="1" applyFont="1" applyFill="1" applyBorder="1" applyAlignment="1">
      <alignment horizontal="right"/>
    </xf>
    <xf numFmtId="3" fontId="36" fillId="0" borderId="26" xfId="0" applyNumberFormat="1" applyFont="1" applyBorder="1" applyAlignment="1">
      <alignment horizontal="right"/>
    </xf>
    <xf numFmtId="3" fontId="36" fillId="0" borderId="57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36" fillId="4" borderId="6" xfId="0" applyNumberFormat="1" applyFont="1" applyFill="1" applyBorder="1" applyAlignment="1">
      <alignment horizontal="right"/>
    </xf>
    <xf numFmtId="3" fontId="37" fillId="0" borderId="21" xfId="0" applyNumberFormat="1" applyFont="1" applyFill="1" applyBorder="1" applyAlignment="1">
      <alignment horizontal="right"/>
    </xf>
    <xf numFmtId="3" fontId="4" fillId="0" borderId="21" xfId="0" applyNumberFormat="1" applyFont="1" applyBorder="1" applyAlignment="1"/>
    <xf numFmtId="3" fontId="4" fillId="0" borderId="61" xfId="0" applyNumberFormat="1" applyFont="1" applyFill="1" applyBorder="1" applyAlignment="1">
      <alignment horizontal="right"/>
    </xf>
    <xf numFmtId="3" fontId="4" fillId="0" borderId="52" xfId="0" applyNumberFormat="1" applyFont="1" applyFill="1" applyBorder="1" applyAlignment="1">
      <alignment horizontal="right"/>
    </xf>
    <xf numFmtId="3" fontId="4" fillId="0" borderId="60" xfId="0" applyNumberFormat="1" applyFont="1" applyBorder="1" applyAlignment="1">
      <alignment horizontal="right"/>
    </xf>
    <xf numFmtId="3" fontId="33" fillId="0" borderId="26" xfId="0" applyNumberFormat="1" applyFont="1" applyFill="1" applyBorder="1" applyAlignment="1">
      <alignment horizontal="right"/>
    </xf>
    <xf numFmtId="0" fontId="49" fillId="13" borderId="66" xfId="0" applyFont="1" applyFill="1" applyBorder="1" applyAlignment="1">
      <alignment horizontal="center"/>
    </xf>
    <xf numFmtId="0" fontId="49" fillId="13" borderId="43" xfId="0" applyFont="1" applyFill="1" applyBorder="1" applyAlignment="1">
      <alignment horizontal="center"/>
    </xf>
    <xf numFmtId="0" fontId="48" fillId="0" borderId="14" xfId="0" applyFont="1" applyFill="1" applyBorder="1"/>
    <xf numFmtId="0" fontId="48" fillId="0" borderId="15" xfId="0" applyFont="1" applyBorder="1"/>
    <xf numFmtId="3" fontId="50" fillId="0" borderId="10" xfId="0" applyNumberFormat="1" applyFont="1" applyBorder="1"/>
    <xf numFmtId="3" fontId="50" fillId="0" borderId="65" xfId="0" applyNumberFormat="1" applyFont="1" applyBorder="1"/>
    <xf numFmtId="0" fontId="48" fillId="0" borderId="16" xfId="0" applyFont="1" applyFill="1" applyBorder="1"/>
    <xf numFmtId="0" fontId="48" fillId="0" borderId="17" xfId="0" applyFont="1" applyBorder="1"/>
    <xf numFmtId="3" fontId="50" fillId="0" borderId="18" xfId="0" applyNumberFormat="1" applyFont="1" applyBorder="1"/>
    <xf numFmtId="3" fontId="50" fillId="0" borderId="67" xfId="0" applyNumberFormat="1" applyFont="1" applyBorder="1"/>
    <xf numFmtId="0" fontId="48" fillId="0" borderId="19" xfId="0" applyFont="1" applyFill="1" applyBorder="1"/>
    <xf numFmtId="0" fontId="48" fillId="0" borderId="20" xfId="0" applyFont="1" applyBorder="1"/>
    <xf numFmtId="3" fontId="50" fillId="0" borderId="21" xfId="0" applyNumberFormat="1" applyFont="1" applyBorder="1"/>
    <xf numFmtId="3" fontId="50" fillId="0" borderId="63" xfId="0" applyNumberFormat="1" applyFont="1" applyBorder="1"/>
    <xf numFmtId="0" fontId="48" fillId="0" borderId="22" xfId="0" applyFont="1" applyFill="1" applyBorder="1"/>
    <xf numFmtId="0" fontId="48" fillId="0" borderId="23" xfId="0" applyFont="1" applyBorder="1"/>
    <xf numFmtId="0" fontId="48" fillId="0" borderId="24" xfId="0" applyFont="1" applyFill="1" applyBorder="1"/>
    <xf numFmtId="0" fontId="48" fillId="0" borderId="25" xfId="0" applyFont="1" applyBorder="1"/>
    <xf numFmtId="3" fontId="50" fillId="0" borderId="6" xfId="0" applyNumberFormat="1" applyFont="1" applyBorder="1"/>
    <xf numFmtId="3" fontId="50" fillId="0" borderId="62" xfId="0" applyNumberFormat="1" applyFont="1" applyBorder="1"/>
    <xf numFmtId="3" fontId="51" fillId="0" borderId="21" xfId="0" applyNumberFormat="1" applyFont="1" applyBorder="1"/>
    <xf numFmtId="3" fontId="50" fillId="0" borderId="21" xfId="0" applyNumberFormat="1" applyFont="1" applyFill="1" applyBorder="1"/>
    <xf numFmtId="3" fontId="51" fillId="0" borderId="21" xfId="0" applyNumberFormat="1" applyFont="1" applyFill="1" applyBorder="1"/>
    <xf numFmtId="3" fontId="50" fillId="0" borderId="63" xfId="0" applyNumberFormat="1" applyFont="1" applyFill="1" applyBorder="1"/>
    <xf numFmtId="0" fontId="48" fillId="0" borderId="11" xfId="0" applyFont="1" applyFill="1" applyBorder="1"/>
    <xf numFmtId="0" fontId="48" fillId="0" borderId="12" xfId="0" applyFont="1" applyBorder="1"/>
    <xf numFmtId="3" fontId="50" fillId="0" borderId="13" xfId="0" applyNumberFormat="1" applyFont="1" applyBorder="1"/>
    <xf numFmtId="3" fontId="50" fillId="0" borderId="56" xfId="0" applyNumberFormat="1" applyFont="1" applyBorder="1"/>
    <xf numFmtId="3" fontId="7" fillId="0" borderId="21" xfId="0" applyNumberFormat="1" applyFont="1" applyBorder="1"/>
    <xf numFmtId="3" fontId="50" fillId="0" borderId="9" xfId="0" applyNumberFormat="1" applyFont="1" applyBorder="1"/>
    <xf numFmtId="3" fontId="50" fillId="0" borderId="64" xfId="0" applyNumberFormat="1" applyFont="1" applyBorder="1"/>
    <xf numFmtId="0" fontId="48" fillId="0" borderId="11" xfId="0" applyFont="1" applyBorder="1"/>
    <xf numFmtId="0" fontId="48" fillId="0" borderId="26" xfId="0" applyFont="1" applyBorder="1"/>
    <xf numFmtId="3" fontId="50" fillId="0" borderId="21" xfId="0" applyNumberFormat="1" applyFont="1" applyBorder="1" applyAlignment="1">
      <alignment horizontal="right"/>
    </xf>
    <xf numFmtId="3" fontId="51" fillId="0" borderId="21" xfId="0" applyNumberFormat="1" applyFont="1" applyBorder="1" applyAlignment="1">
      <alignment horizontal="right"/>
    </xf>
    <xf numFmtId="3" fontId="50" fillId="0" borderId="63" xfId="0" applyNumberFormat="1" applyFont="1" applyBorder="1" applyAlignment="1">
      <alignment horizontal="right"/>
    </xf>
    <xf numFmtId="0" fontId="7" fillId="2" borderId="15" xfId="0" applyFont="1" applyFill="1" applyBorder="1"/>
    <xf numFmtId="3" fontId="7" fillId="0" borderId="21" xfId="0" applyNumberFormat="1" applyFont="1" applyFill="1" applyBorder="1"/>
    <xf numFmtId="3" fontId="51" fillId="0" borderId="18" xfId="0" applyNumberFormat="1" applyFont="1" applyBorder="1"/>
    <xf numFmtId="3" fontId="51" fillId="0" borderId="18" xfId="0" applyNumberFormat="1" applyFont="1" applyFill="1" applyBorder="1"/>
    <xf numFmtId="3" fontId="50" fillId="0" borderId="18" xfId="0" applyNumberFormat="1" applyFont="1" applyFill="1" applyBorder="1"/>
    <xf numFmtId="0" fontId="48" fillId="0" borderId="20" xfId="0" applyFont="1" applyFill="1" applyBorder="1"/>
    <xf numFmtId="0" fontId="52" fillId="4" borderId="19" xfId="0" applyFont="1" applyFill="1" applyBorder="1"/>
    <xf numFmtId="0" fontId="52" fillId="4" borderId="20" xfId="0" applyFont="1" applyFill="1" applyBorder="1"/>
    <xf numFmtId="3" fontId="52" fillId="4" borderId="21" xfId="0" applyNumberFormat="1" applyFont="1" applyFill="1" applyBorder="1"/>
    <xf numFmtId="3" fontId="53" fillId="4" borderId="21" xfId="0" applyNumberFormat="1" applyFont="1" applyFill="1" applyBorder="1"/>
    <xf numFmtId="3" fontId="52" fillId="4" borderId="63" xfId="0" applyNumberFormat="1" applyFont="1" applyFill="1" applyBorder="1"/>
    <xf numFmtId="0" fontId="54" fillId="2" borderId="14" xfId="0" applyFont="1" applyFill="1" applyBorder="1"/>
    <xf numFmtId="0" fontId="48" fillId="2" borderId="15" xfId="0" applyFont="1" applyFill="1" applyBorder="1"/>
    <xf numFmtId="3" fontId="54" fillId="2" borderId="10" xfId="0" applyNumberFormat="1" applyFont="1" applyFill="1" applyBorder="1" applyAlignment="1">
      <alignment horizontal="right"/>
    </xf>
    <xf numFmtId="3" fontId="54" fillId="2" borderId="65" xfId="0" applyNumberFormat="1" applyFont="1" applyFill="1" applyBorder="1" applyAlignment="1">
      <alignment horizontal="right"/>
    </xf>
    <xf numFmtId="3" fontId="54" fillId="4" borderId="10" xfId="0" applyNumberFormat="1" applyFont="1" applyFill="1" applyBorder="1" applyAlignment="1">
      <alignment horizontal="right"/>
    </xf>
    <xf numFmtId="0" fontId="54" fillId="0" borderId="0" xfId="0" applyFont="1" applyFill="1" applyBorder="1"/>
    <xf numFmtId="0" fontId="7" fillId="0" borderId="0" xfId="0" applyFont="1" applyFill="1" applyBorder="1"/>
    <xf numFmtId="3" fontId="54" fillId="0" borderId="0" xfId="0" applyNumberFormat="1" applyFont="1" applyFill="1" applyBorder="1" applyAlignment="1">
      <alignment horizontal="left"/>
    </xf>
    <xf numFmtId="9" fontId="7" fillId="5" borderId="46" xfId="1" applyFont="1" applyFill="1" applyBorder="1" applyAlignment="1">
      <alignment horizontal="right"/>
    </xf>
    <xf numFmtId="49" fontId="48" fillId="0" borderId="16" xfId="0" applyNumberFormat="1" applyFont="1" applyBorder="1" applyAlignment="1">
      <alignment horizontal="right"/>
    </xf>
    <xf numFmtId="49" fontId="48" fillId="0" borderId="19" xfId="0" applyNumberFormat="1" applyFont="1" applyBorder="1" applyAlignment="1">
      <alignment horizontal="right"/>
    </xf>
    <xf numFmtId="49" fontId="48" fillId="0" borderId="19" xfId="0" applyNumberFormat="1" applyFont="1" applyFill="1" applyBorder="1" applyAlignment="1">
      <alignment horizontal="right"/>
    </xf>
    <xf numFmtId="49" fontId="48" fillId="0" borderId="7" xfId="0" applyNumberFormat="1" applyFont="1" applyFill="1" applyBorder="1" applyAlignment="1">
      <alignment horizontal="right"/>
    </xf>
    <xf numFmtId="49" fontId="48" fillId="0" borderId="29" xfId="0" applyNumberFormat="1" applyFont="1" applyFill="1" applyBorder="1" applyAlignment="1">
      <alignment horizontal="right"/>
    </xf>
    <xf numFmtId="0" fontId="48" fillId="5" borderId="15" xfId="0" applyFont="1" applyFill="1" applyBorder="1"/>
    <xf numFmtId="49" fontId="48" fillId="0" borderId="24" xfId="0" applyNumberFormat="1" applyFont="1" applyFill="1" applyBorder="1" applyAlignment="1">
      <alignment horizontal="right"/>
    </xf>
    <xf numFmtId="49" fontId="48" fillId="0" borderId="22" xfId="0" applyNumberFormat="1" applyFont="1" applyFill="1" applyBorder="1" applyAlignment="1">
      <alignment horizontal="right"/>
    </xf>
    <xf numFmtId="0" fontId="48" fillId="5" borderId="36" xfId="0" applyFont="1" applyFill="1" applyBorder="1"/>
    <xf numFmtId="49" fontId="48" fillId="0" borderId="16" xfId="0" applyNumberFormat="1" applyFont="1" applyFill="1" applyBorder="1" applyAlignment="1">
      <alignment horizontal="right"/>
    </xf>
    <xf numFmtId="0" fontId="54" fillId="5" borderId="35" xfId="0" applyFont="1" applyFill="1" applyBorder="1"/>
    <xf numFmtId="3" fontId="54" fillId="5" borderId="32" xfId="0" applyNumberFormat="1" applyFont="1" applyFill="1" applyBorder="1" applyAlignment="1">
      <alignment horizontal="right"/>
    </xf>
    <xf numFmtId="3" fontId="54" fillId="5" borderId="58" xfId="0" applyNumberFormat="1" applyFont="1" applyFill="1" applyBorder="1" applyAlignment="1">
      <alignment horizontal="right"/>
    </xf>
    <xf numFmtId="3" fontId="54" fillId="5" borderId="54" xfId="0" applyNumberFormat="1" applyFont="1" applyFill="1" applyBorder="1" applyAlignment="1">
      <alignment horizontal="right"/>
    </xf>
    <xf numFmtId="0" fontId="54" fillId="5" borderId="14" xfId="0" applyFont="1" applyFill="1" applyBorder="1"/>
    <xf numFmtId="3" fontId="54" fillId="5" borderId="10" xfId="0" applyNumberFormat="1" applyFont="1" applyFill="1" applyBorder="1" applyAlignment="1">
      <alignment horizontal="right"/>
    </xf>
    <xf numFmtId="0" fontId="48" fillId="0" borderId="0" xfId="0" applyFont="1"/>
    <xf numFmtId="3" fontId="54" fillId="7" borderId="3" xfId="0" applyNumberFormat="1" applyFont="1" applyFill="1" applyBorder="1" applyAlignment="1"/>
    <xf numFmtId="3" fontId="54" fillId="7" borderId="65" xfId="0" applyNumberFormat="1" applyFont="1" applyFill="1" applyBorder="1" applyAlignment="1"/>
    <xf numFmtId="9" fontId="48" fillId="11" borderId="46" xfId="1" applyFont="1" applyFill="1" applyBorder="1"/>
    <xf numFmtId="49" fontId="48" fillId="0" borderId="0" xfId="0" applyNumberFormat="1" applyFont="1" applyBorder="1" applyAlignment="1">
      <alignment horizontal="right"/>
    </xf>
    <xf numFmtId="0" fontId="48" fillId="0" borderId="0" xfId="0" applyFont="1" applyFill="1" applyBorder="1"/>
    <xf numFmtId="0" fontId="48" fillId="0" borderId="0" xfId="0" applyFont="1" applyBorder="1"/>
    <xf numFmtId="0" fontId="22" fillId="0" borderId="0" xfId="0" applyFont="1" applyFill="1" applyBorder="1"/>
    <xf numFmtId="3" fontId="22" fillId="0" borderId="0" xfId="0" applyNumberFormat="1" applyFont="1" applyFill="1" applyBorder="1"/>
    <xf numFmtId="0" fontId="49" fillId="13" borderId="54" xfId="0" applyFont="1" applyFill="1" applyBorder="1" applyAlignment="1">
      <alignment horizontal="center"/>
    </xf>
    <xf numFmtId="0" fontId="49" fillId="13" borderId="55" xfId="0" applyFont="1" applyFill="1" applyBorder="1" applyAlignment="1">
      <alignment horizontal="center"/>
    </xf>
    <xf numFmtId="0" fontId="54" fillId="4" borderId="1" xfId="0" applyFont="1" applyFill="1" applyBorder="1" applyAlignment="1">
      <alignment horizontal="left"/>
    </xf>
    <xf numFmtId="0" fontId="54" fillId="4" borderId="2" xfId="0" applyFont="1" applyFill="1" applyBorder="1" applyAlignment="1">
      <alignment horizontal="left"/>
    </xf>
    <xf numFmtId="3" fontId="54" fillId="4" borderId="51" xfId="0" applyNumberFormat="1" applyFont="1" applyFill="1" applyBorder="1" applyAlignment="1">
      <alignment horizontal="right"/>
    </xf>
    <xf numFmtId="9" fontId="48" fillId="12" borderId="62" xfId="1" applyFont="1" applyFill="1" applyBorder="1"/>
    <xf numFmtId="0" fontId="48" fillId="0" borderId="28" xfId="0" applyFont="1" applyBorder="1"/>
    <xf numFmtId="3" fontId="50" fillId="0" borderId="21" xfId="0" applyNumberFormat="1" applyFont="1" applyFill="1" applyBorder="1" applyAlignment="1">
      <alignment horizontal="right"/>
    </xf>
    <xf numFmtId="3" fontId="51" fillId="0" borderId="21" xfId="0" applyNumberFormat="1" applyFont="1" applyFill="1" applyBorder="1" applyAlignment="1">
      <alignment horizontal="right"/>
    </xf>
    <xf numFmtId="3" fontId="50" fillId="0" borderId="57" xfId="0" applyNumberFormat="1" applyFont="1" applyFill="1" applyBorder="1" applyAlignment="1">
      <alignment horizontal="right"/>
    </xf>
    <xf numFmtId="0" fontId="48" fillId="0" borderId="38" xfId="0" applyFont="1" applyBorder="1"/>
    <xf numFmtId="0" fontId="48" fillId="0" borderId="45" xfId="0" applyFont="1" applyFill="1" applyBorder="1"/>
    <xf numFmtId="3" fontId="50" fillId="0" borderId="39" xfId="0" applyNumberFormat="1" applyFont="1" applyFill="1" applyBorder="1" applyAlignment="1">
      <alignment horizontal="right"/>
    </xf>
    <xf numFmtId="3" fontId="50" fillId="0" borderId="61" xfId="0" applyNumberFormat="1" applyFont="1" applyFill="1" applyBorder="1" applyAlignment="1">
      <alignment horizontal="right"/>
    </xf>
    <xf numFmtId="3" fontId="51" fillId="0" borderId="39" xfId="0" applyNumberFormat="1" applyFont="1" applyFill="1" applyBorder="1" applyAlignment="1">
      <alignment horizontal="right"/>
    </xf>
    <xf numFmtId="3" fontId="56" fillId="0" borderId="39" xfId="0" applyNumberFormat="1" applyFont="1" applyFill="1" applyBorder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0" fontId="52" fillId="0" borderId="24" xfId="0" applyFont="1" applyBorder="1"/>
    <xf numFmtId="3" fontId="7" fillId="0" borderId="6" xfId="0" applyNumberFormat="1" applyFont="1" applyBorder="1"/>
    <xf numFmtId="0" fontId="52" fillId="0" borderId="19" xfId="0" applyFont="1" applyBorder="1"/>
    <xf numFmtId="3" fontId="54" fillId="8" borderId="21" xfId="0" applyNumberFormat="1" applyFont="1" applyFill="1" applyBorder="1"/>
    <xf numFmtId="0" fontId="52" fillId="0" borderId="28" xfId="0" applyFont="1" applyBorder="1" applyAlignment="1">
      <alignment horizontal="left"/>
    </xf>
    <xf numFmtId="0" fontId="52" fillId="0" borderId="47" xfId="0" applyFont="1" applyBorder="1" applyAlignment="1">
      <alignment horizontal="left"/>
    </xf>
    <xf numFmtId="3" fontId="7" fillId="0" borderId="0" xfId="0" applyNumberFormat="1" applyFont="1" applyFill="1" applyBorder="1"/>
    <xf numFmtId="3" fontId="54" fillId="8" borderId="39" xfId="0" applyNumberFormat="1" applyFont="1" applyFill="1" applyBorder="1"/>
    <xf numFmtId="0" fontId="59" fillId="2" borderId="1" xfId="0" applyFont="1" applyFill="1" applyBorder="1" applyAlignment="1"/>
    <xf numFmtId="0" fontId="7" fillId="2" borderId="2" xfId="0" applyFont="1" applyFill="1" applyBorder="1" applyAlignment="1"/>
    <xf numFmtId="3" fontId="59" fillId="2" borderId="10" xfId="0" applyNumberFormat="1" applyFont="1" applyFill="1" applyBorder="1"/>
    <xf numFmtId="0" fontId="48" fillId="0" borderId="0" xfId="0" applyFont="1" applyAlignment="1">
      <alignment horizontal="right"/>
    </xf>
    <xf numFmtId="3" fontId="48" fillId="0" borderId="0" xfId="0" applyNumberFormat="1" applyFont="1"/>
    <xf numFmtId="0" fontId="7" fillId="0" borderId="0" xfId="0" applyFont="1" applyAlignment="1">
      <alignment horizontal="left"/>
    </xf>
    <xf numFmtId="9" fontId="50" fillId="2" borderId="46" xfId="1" applyFont="1" applyFill="1" applyBorder="1" applyAlignment="1">
      <alignment horizontal="right"/>
    </xf>
    <xf numFmtId="3" fontId="56" fillId="2" borderId="10" xfId="0" applyNumberFormat="1" applyFont="1" applyFill="1" applyBorder="1" applyAlignment="1">
      <alignment horizontal="right"/>
    </xf>
    <xf numFmtId="3" fontId="56" fillId="2" borderId="65" xfId="0" applyNumberFormat="1" applyFont="1" applyFill="1" applyBorder="1" applyAlignment="1">
      <alignment horizontal="right"/>
    </xf>
    <xf numFmtId="0" fontId="50" fillId="0" borderId="11" xfId="0" applyFont="1" applyFill="1" applyBorder="1"/>
    <xf numFmtId="0" fontId="50" fillId="0" borderId="12" xfId="0" applyFont="1" applyFill="1" applyBorder="1"/>
    <xf numFmtId="3" fontId="50" fillId="0" borderId="13" xfId="0" applyNumberFormat="1" applyFont="1" applyFill="1" applyBorder="1"/>
    <xf numFmtId="3" fontId="51" fillId="0" borderId="13" xfId="0" applyNumberFormat="1" applyFont="1" applyFill="1" applyBorder="1"/>
    <xf numFmtId="3" fontId="50" fillId="0" borderId="56" xfId="0" applyNumberFormat="1" applyFont="1" applyFill="1" applyBorder="1"/>
    <xf numFmtId="0" fontId="56" fillId="2" borderId="1" xfId="0" applyFont="1" applyFill="1" applyBorder="1" applyAlignment="1">
      <alignment horizontal="left"/>
    </xf>
    <xf numFmtId="0" fontId="56" fillId="2" borderId="2" xfId="0" applyFont="1" applyFill="1" applyBorder="1" applyAlignment="1">
      <alignment horizontal="left"/>
    </xf>
    <xf numFmtId="0" fontId="50" fillId="0" borderId="27" xfId="0" applyFont="1" applyFill="1" applyBorder="1" applyAlignment="1">
      <alignment horizontal="right"/>
    </xf>
    <xf numFmtId="0" fontId="50" fillId="0" borderId="17" xfId="0" applyFont="1" applyFill="1" applyBorder="1" applyAlignment="1">
      <alignment horizontal="left"/>
    </xf>
    <xf numFmtId="3" fontId="50" fillId="0" borderId="18" xfId="0" applyNumberFormat="1" applyFont="1" applyFill="1" applyBorder="1" applyAlignment="1">
      <alignment horizontal="right"/>
    </xf>
    <xf numFmtId="3" fontId="51" fillId="0" borderId="18" xfId="0" applyNumberFormat="1" applyFont="1" applyFill="1" applyBorder="1" applyAlignment="1">
      <alignment horizontal="right"/>
    </xf>
    <xf numFmtId="3" fontId="50" fillId="0" borderId="67" xfId="0" applyNumberFormat="1" applyFont="1" applyFill="1" applyBorder="1" applyAlignment="1">
      <alignment horizontal="right"/>
    </xf>
    <xf numFmtId="0" fontId="50" fillId="0" borderId="28" xfId="0" applyFont="1" applyFill="1" applyBorder="1" applyAlignment="1">
      <alignment horizontal="right"/>
    </xf>
    <xf numFmtId="0" fontId="50" fillId="0" borderId="20" xfId="0" applyFont="1" applyFill="1" applyBorder="1" applyAlignment="1">
      <alignment horizontal="left"/>
    </xf>
    <xf numFmtId="3" fontId="50" fillId="0" borderId="63" xfId="0" applyNumberFormat="1" applyFont="1" applyFill="1" applyBorder="1" applyAlignment="1">
      <alignment horizontal="right"/>
    </xf>
    <xf numFmtId="0" fontId="56" fillId="2" borderId="14" xfId="0" applyFont="1" applyFill="1" applyBorder="1"/>
    <xf numFmtId="0" fontId="50" fillId="2" borderId="15" xfId="0" applyFont="1" applyFill="1" applyBorder="1"/>
    <xf numFmtId="0" fontId="50" fillId="0" borderId="19" xfId="0" applyFont="1" applyFill="1" applyBorder="1"/>
    <xf numFmtId="0" fontId="50" fillId="0" borderId="20" xfId="0" applyFont="1" applyFill="1" applyBorder="1"/>
    <xf numFmtId="0" fontId="50" fillId="0" borderId="16" xfId="0" applyFont="1" applyFill="1" applyBorder="1"/>
    <xf numFmtId="0" fontId="50" fillId="0" borderId="20" xfId="0" applyFont="1" applyBorder="1"/>
    <xf numFmtId="3" fontId="50" fillId="0" borderId="67" xfId="0" applyNumberFormat="1" applyFont="1" applyFill="1" applyBorder="1"/>
    <xf numFmtId="0" fontId="50" fillId="4" borderId="16" xfId="0" applyFont="1" applyFill="1" applyBorder="1"/>
    <xf numFmtId="0" fontId="50" fillId="4" borderId="17" xfId="0" applyFont="1" applyFill="1" applyBorder="1"/>
    <xf numFmtId="3" fontId="50" fillId="4" borderId="18" xfId="0" applyNumberFormat="1" applyFont="1" applyFill="1" applyBorder="1" applyAlignment="1">
      <alignment horizontal="right"/>
    </xf>
    <xf numFmtId="3" fontId="51" fillId="4" borderId="18" xfId="0" applyNumberFormat="1" applyFont="1" applyFill="1" applyBorder="1" applyAlignment="1">
      <alignment horizontal="right"/>
    </xf>
    <xf numFmtId="3" fontId="50" fillId="12" borderId="67" xfId="0" applyNumberFormat="1" applyFont="1" applyFill="1" applyBorder="1" applyAlignment="1">
      <alignment horizontal="right"/>
    </xf>
    <xf numFmtId="0" fontId="50" fillId="4" borderId="70" xfId="0" applyFont="1" applyFill="1" applyBorder="1"/>
    <xf numFmtId="0" fontId="50" fillId="4" borderId="45" xfId="0" applyFont="1" applyFill="1" applyBorder="1"/>
    <xf numFmtId="3" fontId="50" fillId="4" borderId="39" xfId="0" applyNumberFormat="1" applyFont="1" applyFill="1" applyBorder="1" applyAlignment="1">
      <alignment horizontal="right"/>
    </xf>
    <xf numFmtId="3" fontId="51" fillId="4" borderId="39" xfId="0" applyNumberFormat="1" applyFont="1" applyFill="1" applyBorder="1" applyAlignment="1">
      <alignment horizontal="right"/>
    </xf>
    <xf numFmtId="3" fontId="50" fillId="4" borderId="68" xfId="0" applyNumberFormat="1" applyFont="1" applyFill="1" applyBorder="1" applyAlignment="1">
      <alignment horizontal="right"/>
    </xf>
    <xf numFmtId="0" fontId="50" fillId="4" borderId="14" xfId="0" applyFont="1" applyFill="1" applyBorder="1"/>
    <xf numFmtId="0" fontId="56" fillId="4" borderId="15" xfId="0" applyFont="1" applyFill="1" applyBorder="1"/>
    <xf numFmtId="3" fontId="56" fillId="4" borderId="10" xfId="0" applyNumberFormat="1" applyFont="1" applyFill="1" applyBorder="1" applyAlignment="1">
      <alignment horizontal="right"/>
    </xf>
    <xf numFmtId="0" fontId="56" fillId="5" borderId="14" xfId="0" applyFont="1" applyFill="1" applyBorder="1"/>
    <xf numFmtId="0" fontId="56" fillId="5" borderId="15" xfId="0" applyFont="1" applyFill="1" applyBorder="1"/>
    <xf numFmtId="3" fontId="56" fillId="5" borderId="10" xfId="0" applyNumberFormat="1" applyFont="1" applyFill="1" applyBorder="1" applyAlignment="1">
      <alignment horizontal="right"/>
    </xf>
    <xf numFmtId="3" fontId="56" fillId="5" borderId="51" xfId="0" applyNumberFormat="1" applyFont="1" applyFill="1" applyBorder="1" applyAlignment="1">
      <alignment horizontal="right"/>
    </xf>
    <xf numFmtId="3" fontId="56" fillId="5" borderId="65" xfId="0" applyNumberFormat="1" applyFont="1" applyFill="1" applyBorder="1" applyAlignment="1">
      <alignment horizontal="right"/>
    </xf>
    <xf numFmtId="9" fontId="50" fillId="5" borderId="46" xfId="1" applyFont="1" applyFill="1" applyBorder="1" applyAlignment="1">
      <alignment horizontal="right"/>
    </xf>
    <xf numFmtId="0" fontId="50" fillId="0" borderId="17" xfId="0" applyFont="1" applyBorder="1"/>
    <xf numFmtId="3" fontId="50" fillId="0" borderId="18" xfId="0" applyNumberFormat="1" applyFont="1" applyBorder="1" applyAlignment="1">
      <alignment horizontal="right"/>
    </xf>
    <xf numFmtId="3" fontId="51" fillId="0" borderId="18" xfId="0" applyNumberFormat="1" applyFont="1" applyBorder="1" applyAlignment="1">
      <alignment horizontal="right"/>
    </xf>
    <xf numFmtId="3" fontId="50" fillId="0" borderId="52" xfId="0" applyNumberFormat="1" applyFont="1" applyBorder="1" applyAlignment="1">
      <alignment horizontal="right"/>
    </xf>
    <xf numFmtId="3" fontId="51" fillId="0" borderId="52" xfId="0" applyNumberFormat="1" applyFont="1" applyBorder="1" applyAlignment="1">
      <alignment horizontal="right"/>
    </xf>
    <xf numFmtId="3" fontId="50" fillId="0" borderId="67" xfId="0" applyNumberFormat="1" applyFont="1" applyBorder="1" applyAlignment="1">
      <alignment horizontal="right"/>
    </xf>
    <xf numFmtId="3" fontId="50" fillId="0" borderId="57" xfId="0" applyNumberFormat="1" applyFont="1" applyBorder="1" applyAlignment="1">
      <alignment horizontal="right"/>
    </xf>
    <xf numFmtId="3" fontId="51" fillId="0" borderId="57" xfId="0" applyNumberFormat="1" applyFont="1" applyBorder="1" applyAlignment="1">
      <alignment horizontal="right"/>
    </xf>
    <xf numFmtId="3" fontId="51" fillId="0" borderId="57" xfId="0" applyNumberFormat="1" applyFont="1" applyFill="1" applyBorder="1" applyAlignment="1">
      <alignment horizontal="right"/>
    </xf>
    <xf numFmtId="3" fontId="50" fillId="0" borderId="13" xfId="0" applyNumberFormat="1" applyFont="1" applyBorder="1" applyAlignment="1">
      <alignment horizontal="right"/>
    </xf>
    <xf numFmtId="3" fontId="50" fillId="0" borderId="26" xfId="0" applyNumberFormat="1" applyFont="1" applyBorder="1" applyAlignment="1">
      <alignment horizontal="right"/>
    </xf>
    <xf numFmtId="3" fontId="51" fillId="0" borderId="26" xfId="0" applyNumberFormat="1" applyFont="1" applyBorder="1" applyAlignment="1">
      <alignment horizontal="right"/>
    </xf>
    <xf numFmtId="3" fontId="50" fillId="0" borderId="56" xfId="0" applyNumberFormat="1" applyFont="1" applyBorder="1" applyAlignment="1">
      <alignment horizontal="right"/>
    </xf>
    <xf numFmtId="0" fontId="56" fillId="5" borderId="1" xfId="0" applyFont="1" applyFill="1" applyBorder="1" applyAlignment="1">
      <alignment horizontal="left"/>
    </xf>
    <xf numFmtId="0" fontId="56" fillId="5" borderId="2" xfId="0" applyFont="1" applyFill="1" applyBorder="1" applyAlignment="1">
      <alignment horizontal="left"/>
    </xf>
    <xf numFmtId="0" fontId="50" fillId="0" borderId="0" xfId="0" applyFont="1" applyFill="1" applyBorder="1"/>
    <xf numFmtId="3" fontId="50" fillId="0" borderId="32" xfId="0" applyNumberFormat="1" applyFont="1" applyFill="1" applyBorder="1" applyAlignment="1">
      <alignment horizontal="right"/>
    </xf>
    <xf numFmtId="3" fontId="51" fillId="0" borderId="32" xfId="0" applyNumberFormat="1" applyFont="1" applyFill="1" applyBorder="1" applyAlignment="1">
      <alignment horizontal="right"/>
    </xf>
    <xf numFmtId="3" fontId="50" fillId="0" borderId="58" xfId="0" applyNumberFormat="1" applyFont="1" applyFill="1" applyBorder="1" applyAlignment="1">
      <alignment horizontal="right"/>
    </xf>
    <xf numFmtId="3" fontId="50" fillId="0" borderId="54" xfId="0" applyNumberFormat="1" applyFont="1" applyFill="1" applyBorder="1" applyAlignment="1">
      <alignment horizontal="right"/>
    </xf>
    <xf numFmtId="49" fontId="50" fillId="0" borderId="24" xfId="0" applyNumberFormat="1" applyFont="1" applyFill="1" applyBorder="1" applyAlignment="1">
      <alignment horizontal="right"/>
    </xf>
    <xf numFmtId="0" fontId="50" fillId="0" borderId="33" xfId="0" applyFont="1" applyFill="1" applyBorder="1" applyAlignment="1">
      <alignment horizontal="left"/>
    </xf>
    <xf numFmtId="3" fontId="50" fillId="0" borderId="6" xfId="0" applyNumberFormat="1" applyFont="1" applyFill="1" applyBorder="1" applyAlignment="1">
      <alignment horizontal="right"/>
    </xf>
    <xf numFmtId="3" fontId="51" fillId="0" borderId="6" xfId="0" applyNumberFormat="1" applyFont="1" applyFill="1" applyBorder="1" applyAlignment="1">
      <alignment horizontal="right"/>
    </xf>
    <xf numFmtId="3" fontId="50" fillId="0" borderId="59" xfId="0" applyNumberFormat="1" applyFont="1" applyFill="1" applyBorder="1" applyAlignment="1">
      <alignment horizontal="right"/>
    </xf>
    <xf numFmtId="3" fontId="51" fillId="0" borderId="59" xfId="0" applyNumberFormat="1" applyFont="1" applyFill="1" applyBorder="1" applyAlignment="1">
      <alignment horizontal="right"/>
    </xf>
    <xf numFmtId="3" fontId="50" fillId="0" borderId="62" xfId="0" applyNumberFormat="1" applyFont="1" applyFill="1" applyBorder="1" applyAlignment="1">
      <alignment horizontal="right"/>
    </xf>
    <xf numFmtId="49" fontId="50" fillId="0" borderId="29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3" fontId="50" fillId="0" borderId="13" xfId="0" applyNumberFormat="1" applyFont="1" applyFill="1" applyBorder="1" applyAlignment="1">
      <alignment horizontal="right"/>
    </xf>
    <xf numFmtId="3" fontId="50" fillId="0" borderId="26" xfId="0" applyNumberFormat="1" applyFont="1" applyFill="1" applyBorder="1" applyAlignment="1">
      <alignment horizontal="right"/>
    </xf>
    <xf numFmtId="3" fontId="51" fillId="0" borderId="26" xfId="0" applyNumberFormat="1" applyFont="1" applyFill="1" applyBorder="1" applyAlignment="1">
      <alignment horizontal="right"/>
    </xf>
    <xf numFmtId="3" fontId="50" fillId="0" borderId="56" xfId="0" applyNumberFormat="1" applyFont="1" applyFill="1" applyBorder="1" applyAlignment="1">
      <alignment horizontal="right"/>
    </xf>
    <xf numFmtId="49" fontId="50" fillId="0" borderId="16" xfId="0" applyNumberFormat="1" applyFont="1" applyFill="1" applyBorder="1" applyAlignment="1">
      <alignment horizontal="right"/>
    </xf>
    <xf numFmtId="3" fontId="50" fillId="0" borderId="52" xfId="0" applyNumberFormat="1" applyFont="1" applyFill="1" applyBorder="1" applyAlignment="1">
      <alignment horizontal="right"/>
    </xf>
    <xf numFmtId="3" fontId="51" fillId="0" borderId="52" xfId="0" applyNumberFormat="1" applyFont="1" applyFill="1" applyBorder="1" applyAlignment="1">
      <alignment horizontal="right"/>
    </xf>
    <xf numFmtId="0" fontId="50" fillId="0" borderId="25" xfId="0" applyFont="1" applyBorder="1"/>
    <xf numFmtId="3" fontId="50" fillId="0" borderId="6" xfId="0" applyNumberFormat="1" applyFont="1" applyBorder="1" applyAlignment="1">
      <alignment horizontal="right"/>
    </xf>
    <xf numFmtId="3" fontId="51" fillId="0" borderId="59" xfId="0" applyNumberFormat="1" applyFont="1" applyBorder="1" applyAlignment="1">
      <alignment horizontal="right"/>
    </xf>
    <xf numFmtId="3" fontId="50" fillId="0" borderId="59" xfId="0" applyNumberFormat="1" applyFont="1" applyBorder="1" applyAlignment="1">
      <alignment horizontal="right"/>
    </xf>
    <xf numFmtId="3" fontId="50" fillId="0" borderId="62" xfId="0" applyNumberFormat="1" applyFont="1" applyBorder="1" applyAlignment="1">
      <alignment horizontal="right"/>
    </xf>
    <xf numFmtId="0" fontId="50" fillId="0" borderId="30" xfId="0" applyFont="1" applyBorder="1"/>
    <xf numFmtId="3" fontId="50" fillId="0" borderId="31" xfId="0" applyNumberFormat="1" applyFont="1" applyBorder="1" applyAlignment="1">
      <alignment horizontal="right"/>
    </xf>
    <xf numFmtId="3" fontId="50" fillId="0" borderId="60" xfId="0" applyNumberFormat="1" applyFont="1" applyBorder="1" applyAlignment="1">
      <alignment horizontal="right"/>
    </xf>
    <xf numFmtId="3" fontId="51" fillId="0" borderId="60" xfId="0" applyNumberFormat="1" applyFont="1" applyBorder="1" applyAlignment="1">
      <alignment horizontal="right"/>
    </xf>
    <xf numFmtId="3" fontId="50" fillId="0" borderId="55" xfId="0" applyNumberFormat="1" applyFont="1" applyBorder="1" applyAlignment="1">
      <alignment horizontal="right"/>
    </xf>
    <xf numFmtId="0" fontId="50" fillId="0" borderId="23" xfId="0" applyFont="1" applyBorder="1"/>
    <xf numFmtId="3" fontId="50" fillId="0" borderId="9" xfId="0" applyNumberFormat="1" applyFont="1" applyBorder="1" applyAlignment="1">
      <alignment horizontal="right"/>
    </xf>
    <xf numFmtId="3" fontId="51" fillId="0" borderId="9" xfId="0" applyNumberFormat="1" applyFont="1" applyBorder="1" applyAlignment="1">
      <alignment horizontal="right"/>
    </xf>
    <xf numFmtId="3" fontId="50" fillId="0" borderId="53" xfId="0" applyNumberFormat="1" applyFont="1" applyBorder="1" applyAlignment="1">
      <alignment horizontal="right"/>
    </xf>
    <xf numFmtId="3" fontId="50" fillId="0" borderId="64" xfId="0" applyNumberFormat="1" applyFont="1" applyBorder="1" applyAlignment="1">
      <alignment horizontal="right"/>
    </xf>
    <xf numFmtId="3" fontId="50" fillId="0" borderId="17" xfId="0" applyNumberFormat="1" applyFont="1" applyBorder="1" applyAlignment="1">
      <alignment horizontal="right"/>
    </xf>
    <xf numFmtId="3" fontId="51" fillId="0" borderId="17" xfId="0" applyNumberFormat="1" applyFont="1" applyBorder="1" applyAlignment="1">
      <alignment horizontal="right"/>
    </xf>
    <xf numFmtId="49" fontId="50" fillId="0" borderId="19" xfId="0" applyNumberFormat="1" applyFont="1" applyFill="1" applyBorder="1" applyAlignment="1">
      <alignment horizontal="right"/>
    </xf>
    <xf numFmtId="3" fontId="50" fillId="0" borderId="20" xfId="0" applyNumberFormat="1" applyFont="1" applyBorder="1" applyAlignment="1">
      <alignment horizontal="right"/>
    </xf>
    <xf numFmtId="49" fontId="50" fillId="0" borderId="22" xfId="0" applyNumberFormat="1" applyFont="1" applyFill="1" applyBorder="1" applyAlignment="1">
      <alignment horizontal="right"/>
    </xf>
    <xf numFmtId="3" fontId="50" fillId="0" borderId="23" xfId="0" applyNumberFormat="1" applyFont="1" applyFill="1" applyBorder="1" applyAlignment="1">
      <alignment horizontal="right"/>
    </xf>
    <xf numFmtId="3" fontId="50" fillId="0" borderId="53" xfId="0" applyNumberFormat="1" applyFont="1" applyFill="1" applyBorder="1" applyAlignment="1">
      <alignment horizontal="right"/>
    </xf>
    <xf numFmtId="3" fontId="50" fillId="0" borderId="64" xfId="0" applyNumberFormat="1" applyFont="1" applyFill="1" applyBorder="1" applyAlignment="1">
      <alignment horizontal="right"/>
    </xf>
    <xf numFmtId="0" fontId="56" fillId="5" borderId="35" xfId="0" applyFont="1" applyFill="1" applyBorder="1"/>
    <xf numFmtId="3" fontId="56" fillId="5" borderId="32" xfId="0" applyNumberFormat="1" applyFont="1" applyFill="1" applyBorder="1" applyAlignment="1">
      <alignment horizontal="right"/>
    </xf>
    <xf numFmtId="3" fontId="56" fillId="5" borderId="58" xfId="0" applyNumberFormat="1" applyFont="1" applyFill="1" applyBorder="1" applyAlignment="1">
      <alignment horizontal="right"/>
    </xf>
    <xf numFmtId="3" fontId="56" fillId="5" borderId="54" xfId="0" applyNumberFormat="1" applyFont="1" applyFill="1" applyBorder="1" applyAlignment="1">
      <alignment horizontal="right"/>
    </xf>
    <xf numFmtId="3" fontId="50" fillId="0" borderId="25" xfId="0" applyNumberFormat="1" applyFont="1" applyBorder="1" applyAlignment="1">
      <alignment horizontal="right"/>
    </xf>
    <xf numFmtId="3" fontId="51" fillId="0" borderId="20" xfId="0" applyNumberFormat="1" applyFont="1" applyBorder="1" applyAlignment="1">
      <alignment horizontal="right"/>
    </xf>
    <xf numFmtId="3" fontId="50" fillId="0" borderId="23" xfId="0" applyNumberFormat="1" applyFont="1" applyBorder="1" applyAlignment="1">
      <alignment horizontal="right"/>
    </xf>
    <xf numFmtId="3" fontId="51" fillId="0" borderId="53" xfId="0" applyNumberFormat="1" applyFont="1" applyBorder="1" applyAlignment="1">
      <alignment horizontal="right"/>
    </xf>
    <xf numFmtId="49" fontId="56" fillId="5" borderId="11" xfId="0" applyNumberFormat="1" applyFont="1" applyFill="1" applyBorder="1" applyAlignment="1">
      <alignment horizontal="left"/>
    </xf>
    <xf numFmtId="0" fontId="56" fillId="5" borderId="12" xfId="0" applyFont="1" applyFill="1" applyBorder="1"/>
    <xf numFmtId="3" fontId="56" fillId="5" borderId="13" xfId="0" applyNumberFormat="1" applyFont="1" applyFill="1" applyBorder="1" applyAlignment="1">
      <alignment horizontal="right"/>
    </xf>
    <xf numFmtId="3" fontId="56" fillId="5" borderId="26" xfId="0" applyNumberFormat="1" applyFont="1" applyFill="1" applyBorder="1" applyAlignment="1">
      <alignment horizontal="right"/>
    </xf>
    <xf numFmtId="3" fontId="56" fillId="5" borderId="56" xfId="0" applyNumberFormat="1" applyFont="1" applyFill="1" applyBorder="1" applyAlignment="1">
      <alignment horizontal="right"/>
    </xf>
    <xf numFmtId="0" fontId="50" fillId="0" borderId="17" xfId="0" applyFont="1" applyFill="1" applyBorder="1"/>
    <xf numFmtId="49" fontId="50" fillId="0" borderId="37" xfId="0" applyNumberFormat="1" applyFont="1" applyFill="1" applyBorder="1" applyAlignment="1">
      <alignment horizontal="right"/>
    </xf>
    <xf numFmtId="0" fontId="50" fillId="0" borderId="25" xfId="0" applyFont="1" applyFill="1" applyBorder="1" applyAlignment="1">
      <alignment horizontal="left"/>
    </xf>
    <xf numFmtId="49" fontId="50" fillId="0" borderId="28" xfId="0" applyNumberFormat="1" applyFont="1" applyFill="1" applyBorder="1" applyAlignment="1">
      <alignment horizontal="right"/>
    </xf>
    <xf numFmtId="3" fontId="56" fillId="0" borderId="57" xfId="0" applyNumberFormat="1" applyFont="1" applyFill="1" applyBorder="1" applyAlignment="1">
      <alignment horizontal="right"/>
    </xf>
    <xf numFmtId="49" fontId="50" fillId="0" borderId="38" xfId="0" applyNumberFormat="1" applyFont="1" applyFill="1" applyBorder="1" applyAlignment="1">
      <alignment horizontal="right"/>
    </xf>
    <xf numFmtId="3" fontId="51" fillId="0" borderId="61" xfId="0" applyNumberFormat="1" applyFont="1" applyFill="1" applyBorder="1" applyAlignment="1">
      <alignment horizontal="right"/>
    </xf>
    <xf numFmtId="3" fontId="50" fillId="0" borderId="68" xfId="0" applyNumberFormat="1" applyFont="1" applyFill="1" applyBorder="1" applyAlignment="1">
      <alignment horizontal="right"/>
    </xf>
    <xf numFmtId="49" fontId="50" fillId="4" borderId="37" xfId="0" applyNumberFormat="1" applyFont="1" applyFill="1" applyBorder="1" applyAlignment="1">
      <alignment horizontal="right"/>
    </xf>
    <xf numFmtId="0" fontId="50" fillId="4" borderId="25" xfId="0" applyFont="1" applyFill="1" applyBorder="1"/>
    <xf numFmtId="3" fontId="50" fillId="4" borderId="6" xfId="0" applyNumberFormat="1" applyFont="1" applyFill="1" applyBorder="1" applyAlignment="1">
      <alignment horizontal="right"/>
    </xf>
    <xf numFmtId="3" fontId="51" fillId="4" borderId="6" xfId="0" applyNumberFormat="1" applyFont="1" applyFill="1" applyBorder="1" applyAlignment="1">
      <alignment horizontal="right"/>
    </xf>
    <xf numFmtId="49" fontId="50" fillId="4" borderId="38" xfId="0" applyNumberFormat="1" applyFont="1" applyFill="1" applyBorder="1" applyAlignment="1">
      <alignment horizontal="right"/>
    </xf>
    <xf numFmtId="3" fontId="50" fillId="4" borderId="31" xfId="0" applyNumberFormat="1" applyFont="1" applyFill="1" applyBorder="1" applyAlignment="1">
      <alignment horizontal="right"/>
    </xf>
    <xf numFmtId="3" fontId="50" fillId="4" borderId="60" xfId="0" applyNumberFormat="1" applyFont="1" applyFill="1" applyBorder="1" applyAlignment="1">
      <alignment horizontal="right"/>
    </xf>
    <xf numFmtId="3" fontId="50" fillId="4" borderId="55" xfId="0" applyNumberFormat="1" applyFont="1" applyFill="1" applyBorder="1" applyAlignment="1">
      <alignment horizontal="right"/>
    </xf>
    <xf numFmtId="49" fontId="50" fillId="4" borderId="1" xfId="0" applyNumberFormat="1" applyFont="1" applyFill="1" applyBorder="1" applyAlignment="1">
      <alignment horizontal="right"/>
    </xf>
    <xf numFmtId="0" fontId="56" fillId="4" borderId="34" xfId="0" applyFont="1" applyFill="1" applyBorder="1"/>
    <xf numFmtId="49" fontId="56" fillId="6" borderId="7" xfId="0" applyNumberFormat="1" applyFont="1" applyFill="1" applyBorder="1" applyAlignment="1">
      <alignment horizontal="left"/>
    </xf>
    <xf numFmtId="49" fontId="56" fillId="6" borderId="40" xfId="0" applyNumberFormat="1" applyFont="1" applyFill="1" applyBorder="1" applyAlignment="1">
      <alignment horizontal="left"/>
    </xf>
    <xf numFmtId="3" fontId="56" fillId="6" borderId="31" xfId="0" applyNumberFormat="1" applyFont="1" applyFill="1" applyBorder="1" applyAlignment="1">
      <alignment horizontal="right"/>
    </xf>
    <xf numFmtId="0" fontId="50" fillId="0" borderId="37" xfId="0" applyFont="1" applyFill="1" applyBorder="1" applyAlignment="1">
      <alignment horizontal="right"/>
    </xf>
    <xf numFmtId="3" fontId="56" fillId="0" borderId="6" xfId="0" applyNumberFormat="1" applyFont="1" applyFill="1" applyBorder="1" applyAlignment="1">
      <alignment horizontal="right"/>
    </xf>
    <xf numFmtId="0" fontId="50" fillId="0" borderId="12" xfId="0" applyFont="1" applyBorder="1"/>
    <xf numFmtId="3" fontId="50" fillId="0" borderId="6" xfId="0" applyNumberFormat="1" applyFont="1" applyFill="1" applyBorder="1" applyAlignment="1"/>
    <xf numFmtId="3" fontId="51" fillId="0" borderId="62" xfId="0" applyNumberFormat="1" applyFont="1" applyFill="1" applyBorder="1" applyAlignment="1"/>
    <xf numFmtId="3" fontId="50" fillId="0" borderId="62" xfId="0" applyNumberFormat="1" applyFont="1" applyFill="1" applyBorder="1" applyAlignment="1"/>
    <xf numFmtId="49" fontId="50" fillId="0" borderId="44" xfId="0" applyNumberFormat="1" applyFont="1" applyFill="1" applyBorder="1" applyAlignment="1">
      <alignment horizontal="right"/>
    </xf>
    <xf numFmtId="3" fontId="50" fillId="0" borderId="9" xfId="0" applyNumberFormat="1" applyFont="1" applyFill="1" applyBorder="1" applyAlignment="1"/>
    <xf numFmtId="3" fontId="51" fillId="0" borderId="9" xfId="0" applyNumberFormat="1" applyFont="1" applyFill="1" applyBorder="1" applyAlignment="1"/>
    <xf numFmtId="3" fontId="51" fillId="0" borderId="64" xfId="0" applyNumberFormat="1" applyFont="1" applyFill="1" applyBorder="1" applyAlignment="1"/>
    <xf numFmtId="3" fontId="50" fillId="0" borderId="64" xfId="0" applyNumberFormat="1" applyFont="1" applyFill="1" applyBorder="1" applyAlignment="1"/>
    <xf numFmtId="49" fontId="50" fillId="0" borderId="27" xfId="0" applyNumberFormat="1" applyFont="1" applyFill="1" applyBorder="1" applyAlignment="1">
      <alignment horizontal="right"/>
    </xf>
    <xf numFmtId="3" fontId="50" fillId="0" borderId="18" xfId="0" applyNumberFormat="1" applyFont="1" applyFill="1" applyBorder="1" applyAlignment="1"/>
    <xf numFmtId="3" fontId="51" fillId="0" borderId="18" xfId="0" applyNumberFormat="1" applyFont="1" applyFill="1" applyBorder="1" applyAlignment="1"/>
    <xf numFmtId="3" fontId="50" fillId="0" borderId="67" xfId="0" applyNumberFormat="1" applyFont="1" applyFill="1" applyBorder="1" applyAlignment="1"/>
    <xf numFmtId="3" fontId="50" fillId="0" borderId="13" xfId="0" applyNumberFormat="1" applyFont="1" applyFill="1" applyBorder="1" applyAlignment="1"/>
    <xf numFmtId="3" fontId="50" fillId="0" borderId="56" xfId="0" applyNumberFormat="1" applyFont="1" applyFill="1" applyBorder="1" applyAlignment="1"/>
    <xf numFmtId="49" fontId="48" fillId="0" borderId="27" xfId="0" applyNumberFormat="1" applyFont="1" applyFill="1" applyBorder="1" applyAlignment="1">
      <alignment horizontal="right"/>
    </xf>
    <xf numFmtId="49" fontId="48" fillId="0" borderId="44" xfId="0" applyNumberFormat="1" applyFont="1" applyBorder="1" applyAlignment="1">
      <alignment horizontal="right"/>
    </xf>
    <xf numFmtId="49" fontId="50" fillId="0" borderId="23" xfId="0" applyNumberFormat="1" applyFont="1" applyFill="1" applyBorder="1" applyAlignment="1">
      <alignment horizontal="left"/>
    </xf>
    <xf numFmtId="49" fontId="48" fillId="0" borderId="41" xfId="0" applyNumberFormat="1" applyFont="1" applyBorder="1" applyAlignment="1">
      <alignment horizontal="right"/>
    </xf>
    <xf numFmtId="49" fontId="50" fillId="0" borderId="30" xfId="0" applyNumberFormat="1" applyFont="1" applyFill="1" applyBorder="1" applyAlignment="1">
      <alignment horizontal="left"/>
    </xf>
    <xf numFmtId="3" fontId="50" fillId="0" borderId="31" xfId="0" applyNumberFormat="1" applyFont="1" applyFill="1" applyBorder="1" applyAlignment="1"/>
    <xf numFmtId="3" fontId="51" fillId="0" borderId="31" xfId="0" applyNumberFormat="1" applyFont="1" applyFill="1" applyBorder="1" applyAlignment="1"/>
    <xf numFmtId="3" fontId="50" fillId="0" borderId="54" xfId="0" applyNumberFormat="1" applyFont="1" applyFill="1" applyBorder="1" applyAlignment="1"/>
    <xf numFmtId="49" fontId="48" fillId="0" borderId="41" xfId="0" applyNumberFormat="1" applyFont="1" applyFill="1" applyBorder="1" applyAlignment="1">
      <alignment horizontal="right"/>
    </xf>
    <xf numFmtId="0" fontId="48" fillId="0" borderId="30" xfId="0" applyFont="1" applyBorder="1"/>
    <xf numFmtId="3" fontId="50" fillId="0" borderId="55" xfId="0" applyNumberFormat="1" applyFont="1" applyFill="1" applyBorder="1" applyAlignment="1"/>
    <xf numFmtId="49" fontId="48" fillId="0" borderId="38" xfId="0" applyNumberFormat="1" applyFont="1" applyBorder="1" applyAlignment="1">
      <alignment horizontal="right"/>
    </xf>
    <xf numFmtId="49" fontId="50" fillId="0" borderId="45" xfId="0" applyNumberFormat="1" applyFont="1" applyFill="1" applyBorder="1" applyAlignment="1">
      <alignment horizontal="left"/>
    </xf>
    <xf numFmtId="3" fontId="50" fillId="0" borderId="39" xfId="0" applyNumberFormat="1" applyFont="1" applyFill="1" applyBorder="1" applyAlignment="1"/>
    <xf numFmtId="3" fontId="51" fillId="0" borderId="39" xfId="0" applyNumberFormat="1" applyFont="1" applyFill="1" applyBorder="1" applyAlignment="1"/>
    <xf numFmtId="3" fontId="50" fillId="0" borderId="68" xfId="0" applyNumberFormat="1" applyFont="1" applyFill="1" applyBorder="1" applyAlignment="1"/>
    <xf numFmtId="49" fontId="48" fillId="0" borderId="44" xfId="0" applyNumberFormat="1" applyFont="1" applyFill="1" applyBorder="1" applyAlignment="1">
      <alignment horizontal="right"/>
    </xf>
    <xf numFmtId="49" fontId="48" fillId="0" borderId="28" xfId="0" applyNumberFormat="1" applyFont="1" applyBorder="1" applyAlignment="1">
      <alignment horizontal="right"/>
    </xf>
    <xf numFmtId="49" fontId="50" fillId="0" borderId="20" xfId="0" applyNumberFormat="1" applyFont="1" applyFill="1" applyBorder="1" applyAlignment="1">
      <alignment horizontal="left"/>
    </xf>
    <xf numFmtId="3" fontId="50" fillId="0" borderId="21" xfId="0" applyNumberFormat="1" applyFont="1" applyFill="1" applyBorder="1" applyAlignment="1"/>
    <xf numFmtId="3" fontId="51" fillId="0" borderId="21" xfId="0" applyNumberFormat="1" applyFont="1" applyFill="1" applyBorder="1" applyAlignment="1"/>
    <xf numFmtId="3" fontId="50" fillId="0" borderId="63" xfId="0" applyNumberFormat="1" applyFont="1" applyFill="1" applyBorder="1" applyAlignment="1"/>
    <xf numFmtId="49" fontId="48" fillId="0" borderId="27" xfId="0" applyNumberFormat="1" applyFont="1" applyBorder="1" applyAlignment="1">
      <alignment horizontal="right"/>
    </xf>
    <xf numFmtId="49" fontId="50" fillId="0" borderId="17" xfId="0" applyNumberFormat="1" applyFont="1" applyFill="1" applyBorder="1" applyAlignment="1">
      <alignment horizontal="left"/>
    </xf>
    <xf numFmtId="49" fontId="48" fillId="0" borderId="7" xfId="0" applyNumberFormat="1" applyFont="1" applyBorder="1" applyAlignment="1">
      <alignment horizontal="right"/>
    </xf>
    <xf numFmtId="49" fontId="50" fillId="0" borderId="12" xfId="0" applyNumberFormat="1" applyFont="1" applyFill="1" applyBorder="1" applyAlignment="1">
      <alignment horizontal="left"/>
    </xf>
    <xf numFmtId="3" fontId="51" fillId="0" borderId="13" xfId="0" applyNumberFormat="1" applyFont="1" applyFill="1" applyBorder="1" applyAlignment="1"/>
    <xf numFmtId="49" fontId="48" fillId="0" borderId="22" xfId="0" applyNumberFormat="1" applyFont="1" applyBorder="1" applyAlignment="1">
      <alignment horizontal="right"/>
    </xf>
    <xf numFmtId="49" fontId="48" fillId="0" borderId="11" xfId="0" applyNumberFormat="1" applyFont="1" applyBorder="1" applyAlignment="1">
      <alignment horizontal="right"/>
    </xf>
    <xf numFmtId="0" fontId="50" fillId="0" borderId="24" xfId="0" applyFont="1" applyFill="1" applyBorder="1"/>
    <xf numFmtId="3" fontId="50" fillId="0" borderId="6" xfId="0" applyNumberFormat="1" applyFont="1" applyBorder="1" applyAlignment="1"/>
    <xf numFmtId="3" fontId="51" fillId="0" borderId="6" xfId="0" applyNumberFormat="1" applyFont="1" applyBorder="1" applyAlignment="1"/>
    <xf numFmtId="3" fontId="50" fillId="0" borderId="62" xfId="0" applyNumberFormat="1" applyFont="1" applyBorder="1" applyAlignment="1"/>
    <xf numFmtId="3" fontId="50" fillId="0" borderId="63" xfId="0" applyNumberFormat="1" applyFont="1" applyBorder="1" applyAlignment="1"/>
    <xf numFmtId="0" fontId="50" fillId="0" borderId="28" xfId="0" applyFont="1" applyFill="1" applyBorder="1"/>
    <xf numFmtId="3" fontId="50" fillId="0" borderId="49" xfId="0" applyNumberFormat="1" applyFont="1" applyBorder="1" applyAlignment="1"/>
    <xf numFmtId="3" fontId="51" fillId="0" borderId="49" xfId="0" applyNumberFormat="1" applyFont="1" applyBorder="1" applyAlignment="1"/>
    <xf numFmtId="0" fontId="50" fillId="0" borderId="41" xfId="0" applyFont="1" applyFill="1" applyBorder="1"/>
    <xf numFmtId="3" fontId="50" fillId="0" borderId="43" xfId="0" applyNumberFormat="1" applyFont="1" applyBorder="1" applyAlignment="1"/>
    <xf numFmtId="3" fontId="50" fillId="0" borderId="55" xfId="0" applyNumberFormat="1" applyFont="1" applyBorder="1" applyAlignment="1"/>
    <xf numFmtId="0" fontId="50" fillId="0" borderId="27" xfId="0" applyFont="1" applyFill="1" applyBorder="1"/>
    <xf numFmtId="3" fontId="50" fillId="0" borderId="74" xfId="0" applyNumberFormat="1" applyFont="1" applyBorder="1" applyAlignment="1"/>
    <xf numFmtId="3" fontId="51" fillId="0" borderId="74" xfId="0" applyNumberFormat="1" applyFont="1" applyBorder="1" applyAlignment="1"/>
    <xf numFmtId="3" fontId="50" fillId="0" borderId="67" xfId="0" applyNumberFormat="1" applyFont="1" applyBorder="1" applyAlignment="1"/>
    <xf numFmtId="0" fontId="50" fillId="0" borderId="22" xfId="0" applyFont="1" applyFill="1" applyBorder="1"/>
    <xf numFmtId="3" fontId="50" fillId="0" borderId="9" xfId="0" applyNumberFormat="1" applyFont="1" applyBorder="1" applyAlignment="1"/>
    <xf numFmtId="3" fontId="51" fillId="0" borderId="9" xfId="0" applyNumberFormat="1" applyFont="1" applyBorder="1" applyAlignment="1"/>
    <xf numFmtId="3" fontId="50" fillId="0" borderId="64" xfId="0" applyNumberFormat="1" applyFont="1" applyBorder="1" applyAlignment="1"/>
    <xf numFmtId="17" fontId="0" fillId="0" borderId="0" xfId="0" applyNumberFormat="1"/>
    <xf numFmtId="3" fontId="17" fillId="0" borderId="21" xfId="0" applyNumberFormat="1" applyFont="1" applyBorder="1"/>
    <xf numFmtId="0" fontId="0" fillId="4" borderId="37" xfId="0" applyFill="1" applyBorder="1" applyAlignment="1">
      <alignment horizontal="center"/>
    </xf>
    <xf numFmtId="0" fontId="0" fillId="4" borderId="25" xfId="0" applyFill="1" applyBorder="1"/>
    <xf numFmtId="3" fontId="0" fillId="4" borderId="6" xfId="0" applyNumberFormat="1" applyFill="1" applyBorder="1"/>
    <xf numFmtId="3" fontId="51" fillId="0" borderId="53" xfId="0" applyNumberFormat="1" applyFont="1" applyFill="1" applyBorder="1" applyAlignment="1">
      <alignment horizontal="right"/>
    </xf>
    <xf numFmtId="0" fontId="26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20" fillId="8" borderId="34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5" borderId="34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34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6" fillId="10" borderId="50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20" fillId="9" borderId="3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50" xfId="0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6" fillId="3" borderId="4" xfId="0" applyFont="1" applyFill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56" fillId="3" borderId="7" xfId="0" applyFont="1" applyFill="1" applyBorder="1" applyAlignment="1">
      <alignment horizontal="center" vertical="center"/>
    </xf>
    <xf numFmtId="0" fontId="56" fillId="3" borderId="8" xfId="0" applyFont="1" applyFill="1" applyBorder="1" applyAlignment="1">
      <alignment horizontal="center" vertical="center"/>
    </xf>
    <xf numFmtId="0" fontId="56" fillId="3" borderId="6" xfId="0" applyFont="1" applyFill="1" applyBorder="1" applyAlignment="1">
      <alignment horizontal="center" vertical="center" wrapText="1"/>
    </xf>
    <xf numFmtId="0" fontId="56" fillId="3" borderId="9" xfId="0" applyFont="1" applyFill="1" applyBorder="1" applyAlignment="1">
      <alignment horizontal="center" vertical="center" wrapText="1"/>
    </xf>
    <xf numFmtId="0" fontId="55" fillId="7" borderId="41" xfId="0" applyFont="1" applyFill="1" applyBorder="1" applyAlignment="1">
      <alignment horizontal="center"/>
    </xf>
    <xf numFmtId="0" fontId="55" fillId="7" borderId="0" xfId="0" applyFont="1" applyFill="1" applyBorder="1" applyAlignment="1">
      <alignment horizontal="center"/>
    </xf>
    <xf numFmtId="0" fontId="22" fillId="3" borderId="62" xfId="0" applyFont="1" applyFill="1" applyBorder="1" applyAlignment="1">
      <alignment horizontal="center" vertical="center" wrapText="1"/>
    </xf>
    <xf numFmtId="0" fontId="22" fillId="3" borderId="64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left"/>
    </xf>
    <xf numFmtId="0" fontId="56" fillId="2" borderId="2" xfId="0" applyFont="1" applyFill="1" applyBorder="1" applyAlignment="1">
      <alignment horizontal="left"/>
    </xf>
    <xf numFmtId="0" fontId="55" fillId="5" borderId="7" xfId="0" applyFont="1" applyFill="1" applyBorder="1" applyAlignment="1">
      <alignment horizontal="center"/>
    </xf>
    <xf numFmtId="0" fontId="55" fillId="5" borderId="8" xfId="0" applyFont="1" applyFill="1" applyBorder="1" applyAlignment="1">
      <alignment horizontal="center"/>
    </xf>
    <xf numFmtId="0" fontId="56" fillId="3" borderId="59" xfId="0" applyFont="1" applyFill="1" applyBorder="1" applyAlignment="1">
      <alignment horizontal="center" vertical="center" wrapText="1"/>
    </xf>
    <xf numFmtId="0" fontId="56" fillId="3" borderId="53" xfId="0" applyFont="1" applyFill="1" applyBorder="1" applyAlignment="1">
      <alignment horizontal="center" vertical="center" wrapText="1"/>
    </xf>
    <xf numFmtId="0" fontId="56" fillId="5" borderId="1" xfId="0" applyFont="1" applyFill="1" applyBorder="1" applyAlignment="1"/>
    <xf numFmtId="0" fontId="48" fillId="0" borderId="34" xfId="0" applyFont="1" applyBorder="1" applyAlignment="1"/>
    <xf numFmtId="0" fontId="56" fillId="7" borderId="1" xfId="0" applyFont="1" applyFill="1" applyBorder="1" applyAlignment="1">
      <alignment horizontal="center"/>
    </xf>
    <xf numFmtId="0" fontId="56" fillId="7" borderId="34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55" fillId="4" borderId="7" xfId="0" applyFont="1" applyFill="1" applyBorder="1" applyAlignment="1">
      <alignment horizontal="center"/>
    </xf>
    <xf numFmtId="0" fontId="55" fillId="4" borderId="8" xfId="0" applyFont="1" applyFill="1" applyBorder="1" applyAlignment="1">
      <alignment horizontal="center"/>
    </xf>
    <xf numFmtId="0" fontId="58" fillId="8" borderId="28" xfId="0" applyFont="1" applyFill="1" applyBorder="1" applyAlignment="1">
      <alignment horizontal="center"/>
    </xf>
    <xf numFmtId="0" fontId="58" fillId="8" borderId="46" xfId="0" applyFont="1" applyFill="1" applyBorder="1" applyAlignment="1">
      <alignment horizontal="center"/>
    </xf>
    <xf numFmtId="0" fontId="54" fillId="8" borderId="44" xfId="0" applyFont="1" applyFill="1" applyBorder="1" applyAlignment="1">
      <alignment horizontal="center"/>
    </xf>
    <xf numFmtId="0" fontId="54" fillId="8" borderId="48" xfId="0" applyFont="1" applyFill="1" applyBorder="1" applyAlignment="1">
      <alignment horizontal="center"/>
    </xf>
    <xf numFmtId="0" fontId="57" fillId="8" borderId="1" xfId="0" applyFont="1" applyFill="1" applyBorder="1" applyAlignment="1">
      <alignment horizontal="center"/>
    </xf>
    <xf numFmtId="0" fontId="57" fillId="8" borderId="2" xfId="0" applyFont="1" applyFill="1" applyBorder="1" applyAlignment="1">
      <alignment horizontal="center"/>
    </xf>
    <xf numFmtId="0" fontId="57" fillId="8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/>
    <xf numFmtId="0" fontId="0" fillId="0" borderId="34" xfId="0" applyBorder="1" applyAlignment="1"/>
    <xf numFmtId="0" fontId="1" fillId="7" borderId="4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3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2" fillId="8" borderId="46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8" borderId="48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/>
    <xf numFmtId="0" fontId="42" fillId="14" borderId="62" xfId="0" applyFont="1" applyFill="1" applyBorder="1" applyAlignment="1">
      <alignment horizontal="center" vertical="center" wrapText="1"/>
    </xf>
    <xf numFmtId="0" fontId="42" fillId="14" borderId="64" xfId="0" applyFont="1" applyFill="1" applyBorder="1" applyAlignment="1">
      <alignment horizontal="center" vertical="center" wrapText="1"/>
    </xf>
    <xf numFmtId="0" fontId="41" fillId="14" borderId="66" xfId="0" applyFont="1" applyFill="1" applyBorder="1" applyAlignment="1">
      <alignment horizontal="center" vertical="center"/>
    </xf>
    <xf numFmtId="0" fontId="42" fillId="14" borderId="50" xfId="0" applyFont="1" applyFill="1" applyBorder="1" applyAlignment="1"/>
    <xf numFmtId="0" fontId="41" fillId="14" borderId="54" xfId="0" applyFont="1" applyFill="1" applyBorder="1" applyAlignment="1">
      <alignment horizontal="center" vertical="center"/>
    </xf>
    <xf numFmtId="0" fontId="41" fillId="14" borderId="56" xfId="0" applyFont="1" applyFill="1" applyBorder="1" applyAlignment="1">
      <alignment horizontal="center" vertical="center"/>
    </xf>
  </cellXfs>
  <cellStyles count="3">
    <cellStyle name="Normálna 2" xfId="2"/>
    <cellStyle name="Normálne" xfId="0" builtinId="0"/>
    <cellStyle name="Percentá" xfId="1" builtinId="5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sqref="A1:F1"/>
    </sheetView>
  </sheetViews>
  <sheetFormatPr defaultRowHeight="15" x14ac:dyDescent="0.25"/>
  <cols>
    <col min="1" max="1" width="6.140625" customWidth="1"/>
    <col min="3" max="3" width="11" customWidth="1"/>
    <col min="4" max="4" width="26.85546875" customWidth="1"/>
    <col min="5" max="5" width="11.140625" customWidth="1"/>
    <col min="6" max="6" width="10.5703125" customWidth="1"/>
  </cols>
  <sheetData>
    <row r="1" spans="1:6" ht="18" x14ac:dyDescent="0.25">
      <c r="A1" s="933" t="s">
        <v>253</v>
      </c>
      <c r="B1" s="933"/>
      <c r="C1" s="933"/>
      <c r="D1" s="933"/>
      <c r="E1" s="933"/>
      <c r="F1" s="933"/>
    </row>
    <row r="4" spans="1:6" ht="15.75" x14ac:dyDescent="0.25">
      <c r="A4" s="934" t="s">
        <v>254</v>
      </c>
      <c r="B4" s="934"/>
      <c r="C4" s="934"/>
      <c r="D4" s="934"/>
      <c r="E4" s="934"/>
      <c r="F4" s="934"/>
    </row>
    <row r="5" spans="1:6" ht="15.75" x14ac:dyDescent="0.25">
      <c r="A5" s="934" t="s">
        <v>272</v>
      </c>
      <c r="B5" s="934"/>
      <c r="C5" s="934"/>
      <c r="D5" s="934"/>
      <c r="E5" s="934"/>
      <c r="F5" s="934"/>
    </row>
    <row r="6" spans="1:6" ht="15.75" thickBot="1" x14ac:dyDescent="0.3"/>
    <row r="7" spans="1:6" ht="39" thickBot="1" x14ac:dyDescent="0.3">
      <c r="A7" s="267" t="s">
        <v>255</v>
      </c>
      <c r="B7" s="268" t="s">
        <v>256</v>
      </c>
      <c r="C7" s="268" t="s">
        <v>257</v>
      </c>
      <c r="D7" s="269" t="s">
        <v>258</v>
      </c>
      <c r="E7" s="270" t="s">
        <v>259</v>
      </c>
      <c r="F7" s="271" t="s">
        <v>260</v>
      </c>
    </row>
    <row r="8" spans="1:6" x14ac:dyDescent="0.25">
      <c r="A8" s="272" t="s">
        <v>261</v>
      </c>
      <c r="B8" s="273">
        <v>384</v>
      </c>
      <c r="C8" s="274">
        <v>42774</v>
      </c>
      <c r="D8" s="275" t="s">
        <v>263</v>
      </c>
      <c r="E8" s="276">
        <v>24583</v>
      </c>
      <c r="F8" s="277">
        <v>24583</v>
      </c>
    </row>
    <row r="9" spans="1:6" x14ac:dyDescent="0.25">
      <c r="A9" s="278" t="s">
        <v>262</v>
      </c>
      <c r="B9" s="279">
        <v>405</v>
      </c>
      <c r="C9" s="280">
        <v>42807</v>
      </c>
      <c r="D9" s="275" t="s">
        <v>263</v>
      </c>
      <c r="E9" s="281">
        <v>118800</v>
      </c>
      <c r="F9" s="11">
        <v>118800</v>
      </c>
    </row>
    <row r="10" spans="1:6" x14ac:dyDescent="0.25">
      <c r="A10" s="282" t="s">
        <v>309</v>
      </c>
      <c r="B10" s="279">
        <v>439</v>
      </c>
      <c r="C10" s="280">
        <v>42864</v>
      </c>
      <c r="D10" s="275" t="s">
        <v>336</v>
      </c>
      <c r="E10" s="281">
        <v>29000</v>
      </c>
      <c r="F10" s="11">
        <v>29000</v>
      </c>
    </row>
    <row r="11" spans="1:6" x14ac:dyDescent="0.25">
      <c r="A11" s="282" t="s">
        <v>355</v>
      </c>
      <c r="B11" s="283">
        <v>461</v>
      </c>
      <c r="C11" s="280">
        <v>42907</v>
      </c>
      <c r="D11" s="275" t="s">
        <v>263</v>
      </c>
      <c r="E11" s="281">
        <v>79930</v>
      </c>
      <c r="F11" s="11">
        <v>79930</v>
      </c>
    </row>
    <row r="12" spans="1:6" x14ac:dyDescent="0.25">
      <c r="A12" s="278" t="s">
        <v>410</v>
      </c>
      <c r="B12" s="279">
        <v>528</v>
      </c>
      <c r="C12" s="280">
        <v>43004</v>
      </c>
      <c r="D12" s="275" t="s">
        <v>263</v>
      </c>
      <c r="E12" s="281">
        <v>-2425550</v>
      </c>
      <c r="F12" s="11">
        <v>-2425550</v>
      </c>
    </row>
    <row r="13" spans="1:6" x14ac:dyDescent="0.25">
      <c r="A13" s="282" t="s">
        <v>467</v>
      </c>
      <c r="B13" s="283">
        <v>553</v>
      </c>
      <c r="C13" s="280">
        <v>43039</v>
      </c>
      <c r="D13" s="275" t="s">
        <v>336</v>
      </c>
      <c r="E13" s="281">
        <v>1673</v>
      </c>
      <c r="F13" s="11">
        <v>1673</v>
      </c>
    </row>
    <row r="14" spans="1:6" x14ac:dyDescent="0.25">
      <c r="A14" s="282" t="s">
        <v>482</v>
      </c>
      <c r="B14" s="279">
        <v>576</v>
      </c>
      <c r="C14" s="280">
        <v>43080</v>
      </c>
      <c r="D14" s="275" t="s">
        <v>336</v>
      </c>
      <c r="E14" s="281">
        <v>13578</v>
      </c>
      <c r="F14" s="11">
        <v>13578</v>
      </c>
    </row>
    <row r="15" spans="1:6" ht="15.75" thickBot="1" x14ac:dyDescent="0.3">
      <c r="A15" s="284"/>
      <c r="B15" s="285"/>
      <c r="C15" s="285"/>
      <c r="D15" s="286"/>
      <c r="E15" s="287"/>
      <c r="F15" s="288"/>
    </row>
    <row r="17" spans="1:6" ht="17.25" customHeight="1" x14ac:dyDescent="0.25">
      <c r="A17" s="289" t="s">
        <v>264</v>
      </c>
      <c r="C17" s="290" t="s">
        <v>265</v>
      </c>
    </row>
    <row r="18" spans="1:6" ht="30" customHeight="1" x14ac:dyDescent="0.25">
      <c r="A18" s="932" t="s">
        <v>266</v>
      </c>
      <c r="B18" s="932"/>
      <c r="C18" s="932"/>
      <c r="D18" s="932"/>
      <c r="E18" s="932"/>
      <c r="F18" s="932"/>
    </row>
    <row r="19" spans="1:6" x14ac:dyDescent="0.25">
      <c r="A19" s="932" t="s">
        <v>267</v>
      </c>
      <c r="B19" s="932"/>
      <c r="C19" s="932"/>
      <c r="D19" s="932"/>
      <c r="E19" s="932"/>
      <c r="F19" s="932"/>
    </row>
    <row r="20" spans="1:6" x14ac:dyDescent="0.25">
      <c r="A20" s="932" t="s">
        <v>268</v>
      </c>
      <c r="B20" s="932"/>
      <c r="C20" s="932"/>
      <c r="D20" s="932"/>
      <c r="E20" s="932"/>
      <c r="F20" s="932"/>
    </row>
    <row r="21" spans="1:6" x14ac:dyDescent="0.25">
      <c r="A21" s="932" t="s">
        <v>269</v>
      </c>
      <c r="B21" s="932"/>
      <c r="C21" s="932"/>
      <c r="D21" s="932"/>
      <c r="E21" s="932"/>
      <c r="F21" s="932"/>
    </row>
    <row r="23" spans="1:6" x14ac:dyDescent="0.25">
      <c r="A23" s="261" t="s">
        <v>506</v>
      </c>
    </row>
    <row r="24" spans="1:6" x14ac:dyDescent="0.25">
      <c r="A24" t="s">
        <v>270</v>
      </c>
    </row>
    <row r="26" spans="1:6" x14ac:dyDescent="0.25">
      <c r="A26" t="s">
        <v>271</v>
      </c>
    </row>
  </sheetData>
  <mergeCells count="7">
    <mergeCell ref="A21:F21"/>
    <mergeCell ref="A1:F1"/>
    <mergeCell ref="A4:F4"/>
    <mergeCell ref="A5:F5"/>
    <mergeCell ref="A18:F18"/>
    <mergeCell ref="A19:F19"/>
    <mergeCell ref="A20:F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8"/>
  <sheetViews>
    <sheetView zoomScaleNormal="100" workbookViewId="0">
      <selection sqref="A1:C1"/>
    </sheetView>
  </sheetViews>
  <sheetFormatPr defaultRowHeight="15" x14ac:dyDescent="0.25"/>
  <cols>
    <col min="2" max="2" width="60.5703125" customWidth="1"/>
    <col min="3" max="3" width="12.85546875" customWidth="1"/>
    <col min="7" max="7" width="12.140625" bestFit="1" customWidth="1"/>
  </cols>
  <sheetData>
    <row r="1" spans="1:3" ht="23.25" customHeight="1" thickBot="1" x14ac:dyDescent="0.3">
      <c r="A1" s="1027" t="s">
        <v>0</v>
      </c>
      <c r="B1" s="1028"/>
      <c r="C1" s="1028"/>
    </row>
    <row r="2" spans="1:3" ht="15" customHeight="1" x14ac:dyDescent="0.25">
      <c r="A2" s="992" t="s">
        <v>1</v>
      </c>
      <c r="B2" s="993"/>
      <c r="C2" s="996">
        <v>2017</v>
      </c>
    </row>
    <row r="3" spans="1:3" ht="15.75" thickBot="1" x14ac:dyDescent="0.3">
      <c r="A3" s="994"/>
      <c r="B3" s="995"/>
      <c r="C3" s="997"/>
    </row>
    <row r="4" spans="1:3" ht="15.75" thickBot="1" x14ac:dyDescent="0.3">
      <c r="A4" s="1000" t="s">
        <v>2</v>
      </c>
      <c r="B4" s="1001"/>
      <c r="C4" s="1">
        <f t="shared" ref="C4" si="0">SUM(C5:C11)</f>
        <v>1009400</v>
      </c>
    </row>
    <row r="5" spans="1:3" ht="15.75" thickBot="1" x14ac:dyDescent="0.3">
      <c r="A5" s="2">
        <v>111</v>
      </c>
      <c r="B5" s="3" t="s">
        <v>3</v>
      </c>
      <c r="C5" s="4">
        <v>950000</v>
      </c>
    </row>
    <row r="6" spans="1:3" ht="15.75" thickBot="1" x14ac:dyDescent="0.3">
      <c r="A6" s="5">
        <v>121</v>
      </c>
      <c r="B6" s="6" t="s">
        <v>4</v>
      </c>
      <c r="C6" s="173">
        <v>32000</v>
      </c>
    </row>
    <row r="7" spans="1:3" x14ac:dyDescent="0.25">
      <c r="A7" s="7">
        <v>133</v>
      </c>
      <c r="B7" s="8" t="s">
        <v>5</v>
      </c>
      <c r="C7" s="18">
        <v>1000</v>
      </c>
    </row>
    <row r="8" spans="1:3" x14ac:dyDescent="0.25">
      <c r="A8" s="9">
        <v>133</v>
      </c>
      <c r="B8" s="10" t="s">
        <v>6</v>
      </c>
      <c r="C8" s="19">
        <v>400</v>
      </c>
    </row>
    <row r="9" spans="1:3" x14ac:dyDescent="0.25">
      <c r="A9" s="9">
        <v>133</v>
      </c>
      <c r="B9" s="10" t="s">
        <v>7</v>
      </c>
      <c r="C9" s="19">
        <v>2000</v>
      </c>
    </row>
    <row r="10" spans="1:3" x14ac:dyDescent="0.25">
      <c r="A10" s="9">
        <v>133</v>
      </c>
      <c r="B10" s="10" t="s">
        <v>8</v>
      </c>
      <c r="C10" s="19">
        <v>5000</v>
      </c>
    </row>
    <row r="11" spans="1:3" ht="15.75" thickBot="1" x14ac:dyDescent="0.3">
      <c r="A11" s="12">
        <v>133</v>
      </c>
      <c r="B11" s="13" t="s">
        <v>9</v>
      </c>
      <c r="C11" s="14">
        <v>19000</v>
      </c>
    </row>
    <row r="12" spans="1:3" ht="15.75" thickBot="1" x14ac:dyDescent="0.3">
      <c r="A12" s="1000" t="s">
        <v>10</v>
      </c>
      <c r="B12" s="1001"/>
      <c r="C12" s="1">
        <f t="shared" ref="C12" si="1">SUM(C13:C30)</f>
        <v>159850</v>
      </c>
    </row>
    <row r="13" spans="1:3" x14ac:dyDescent="0.25">
      <c r="A13" s="15">
        <v>212</v>
      </c>
      <c r="B13" s="16" t="s">
        <v>11</v>
      </c>
      <c r="C13" s="17">
        <v>2282</v>
      </c>
    </row>
    <row r="14" spans="1:3" x14ac:dyDescent="0.25">
      <c r="A14" s="7">
        <v>212</v>
      </c>
      <c r="B14" s="8" t="s">
        <v>12</v>
      </c>
      <c r="C14" s="18">
        <v>500</v>
      </c>
    </row>
    <row r="15" spans="1:3" x14ac:dyDescent="0.25">
      <c r="A15" s="9">
        <v>212</v>
      </c>
      <c r="B15" s="10" t="s">
        <v>13</v>
      </c>
      <c r="C15" s="19">
        <v>3943</v>
      </c>
    </row>
    <row r="16" spans="1:3" x14ac:dyDescent="0.25">
      <c r="A16" s="9">
        <v>212</v>
      </c>
      <c r="B16" s="10" t="s">
        <v>14</v>
      </c>
      <c r="C16" s="20">
        <v>15075</v>
      </c>
    </row>
    <row r="17" spans="1:6" ht="15.75" thickBot="1" x14ac:dyDescent="0.3">
      <c r="A17" s="21">
        <v>212</v>
      </c>
      <c r="B17" s="22" t="s">
        <v>15</v>
      </c>
      <c r="C17" s="23">
        <v>200</v>
      </c>
      <c r="D17" s="171"/>
      <c r="E17" s="171"/>
      <c r="F17" s="171"/>
    </row>
    <row r="18" spans="1:6" ht="15.75" thickBot="1" x14ac:dyDescent="0.3">
      <c r="A18" s="5">
        <v>221</v>
      </c>
      <c r="B18" s="6" t="s">
        <v>16</v>
      </c>
      <c r="C18" s="24">
        <v>11000</v>
      </c>
    </row>
    <row r="19" spans="1:6" ht="15.75" thickBot="1" x14ac:dyDescent="0.3">
      <c r="A19" s="21">
        <v>222</v>
      </c>
      <c r="B19" s="22" t="s">
        <v>17</v>
      </c>
      <c r="C19" s="23">
        <v>0</v>
      </c>
    </row>
    <row r="20" spans="1:6" x14ac:dyDescent="0.25">
      <c r="A20" s="7">
        <v>223</v>
      </c>
      <c r="B20" s="8" t="s">
        <v>18</v>
      </c>
      <c r="C20" s="18">
        <v>900</v>
      </c>
    </row>
    <row r="21" spans="1:6" x14ac:dyDescent="0.25">
      <c r="A21" s="9">
        <v>223</v>
      </c>
      <c r="B21" s="10" t="s">
        <v>19</v>
      </c>
      <c r="C21" s="19">
        <v>18000</v>
      </c>
    </row>
    <row r="22" spans="1:6" x14ac:dyDescent="0.25">
      <c r="A22" s="9">
        <v>223</v>
      </c>
      <c r="B22" s="10" t="s">
        <v>20</v>
      </c>
      <c r="C22" s="19">
        <v>30000</v>
      </c>
    </row>
    <row r="23" spans="1:6" x14ac:dyDescent="0.25">
      <c r="A23" s="9">
        <v>223</v>
      </c>
      <c r="B23" s="10" t="s">
        <v>21</v>
      </c>
      <c r="C23" s="19">
        <v>1000</v>
      </c>
    </row>
    <row r="24" spans="1:6" x14ac:dyDescent="0.25">
      <c r="A24" s="9">
        <v>223</v>
      </c>
      <c r="B24" s="10" t="s">
        <v>22</v>
      </c>
      <c r="C24" s="19">
        <v>700</v>
      </c>
    </row>
    <row r="25" spans="1:6" x14ac:dyDescent="0.25">
      <c r="A25" s="9">
        <v>223</v>
      </c>
      <c r="B25" s="10" t="s">
        <v>23</v>
      </c>
      <c r="C25" s="19">
        <v>24000</v>
      </c>
    </row>
    <row r="26" spans="1:6" x14ac:dyDescent="0.25">
      <c r="A26" s="9">
        <v>223</v>
      </c>
      <c r="B26" s="10" t="s">
        <v>24</v>
      </c>
      <c r="C26" s="19">
        <v>21650</v>
      </c>
    </row>
    <row r="27" spans="1:6" x14ac:dyDescent="0.25">
      <c r="A27" s="9">
        <v>223</v>
      </c>
      <c r="B27" s="10" t="s">
        <v>25</v>
      </c>
      <c r="C27" s="19">
        <v>18000</v>
      </c>
    </row>
    <row r="28" spans="1:6" x14ac:dyDescent="0.25">
      <c r="A28" s="9">
        <v>223</v>
      </c>
      <c r="B28" s="10" t="s">
        <v>26</v>
      </c>
      <c r="C28" s="25">
        <v>10000</v>
      </c>
    </row>
    <row r="29" spans="1:6" x14ac:dyDescent="0.25">
      <c r="A29" s="9">
        <v>223</v>
      </c>
      <c r="B29" s="10" t="s">
        <v>27</v>
      </c>
      <c r="C29" s="19">
        <v>2500</v>
      </c>
    </row>
    <row r="30" spans="1:6" ht="15.75" thickBot="1" x14ac:dyDescent="0.3">
      <c r="A30" s="12">
        <v>223</v>
      </c>
      <c r="B30" s="13" t="s">
        <v>28</v>
      </c>
      <c r="C30" s="26">
        <v>100</v>
      </c>
      <c r="D30" s="171"/>
      <c r="E30" s="171"/>
      <c r="F30" s="171"/>
    </row>
    <row r="31" spans="1:6" ht="15.75" thickBot="1" x14ac:dyDescent="0.3">
      <c r="A31" s="262" t="s">
        <v>29</v>
      </c>
      <c r="B31" s="263"/>
      <c r="C31" s="1">
        <f t="shared" ref="C31" si="2">SUM(C32)</f>
        <v>600</v>
      </c>
    </row>
    <row r="32" spans="1:6" ht="15.75" thickBot="1" x14ac:dyDescent="0.3">
      <c r="A32" s="27">
        <v>240</v>
      </c>
      <c r="B32" s="28" t="s">
        <v>30</v>
      </c>
      <c r="C32" s="23">
        <v>600</v>
      </c>
    </row>
    <row r="33" spans="1:3" ht="15.75" thickBot="1" x14ac:dyDescent="0.3">
      <c r="A33" s="262" t="s">
        <v>31</v>
      </c>
      <c r="B33" s="263"/>
      <c r="C33" s="1">
        <f t="shared" ref="C33" si="3">SUM(C34:C39)</f>
        <v>39730</v>
      </c>
    </row>
    <row r="34" spans="1:3" x14ac:dyDescent="0.25">
      <c r="A34" s="29">
        <v>292</v>
      </c>
      <c r="B34" s="30" t="s">
        <v>32</v>
      </c>
      <c r="C34" s="31">
        <v>200</v>
      </c>
    </row>
    <row r="35" spans="1:3" x14ac:dyDescent="0.25">
      <c r="A35" s="29">
        <v>292</v>
      </c>
      <c r="B35" s="30" t="s">
        <v>33</v>
      </c>
      <c r="C35" s="31">
        <v>300</v>
      </c>
    </row>
    <row r="36" spans="1:3" x14ac:dyDescent="0.25">
      <c r="A36" s="32">
        <v>292</v>
      </c>
      <c r="B36" s="33" t="s">
        <v>34</v>
      </c>
      <c r="C36" s="34">
        <v>15000</v>
      </c>
    </row>
    <row r="37" spans="1:3" x14ac:dyDescent="0.25">
      <c r="A37" s="32">
        <v>292</v>
      </c>
      <c r="B37" s="10" t="s">
        <v>35</v>
      </c>
      <c r="C37" s="35">
        <v>230</v>
      </c>
    </row>
    <row r="38" spans="1:3" x14ac:dyDescent="0.25">
      <c r="A38" s="32">
        <v>292</v>
      </c>
      <c r="B38" s="33" t="s">
        <v>36</v>
      </c>
      <c r="C38" s="34">
        <v>21000</v>
      </c>
    </row>
    <row r="39" spans="1:3" ht="15.75" thickBot="1" x14ac:dyDescent="0.3">
      <c r="A39" s="32">
        <v>292</v>
      </c>
      <c r="B39" s="33" t="s">
        <v>37</v>
      </c>
      <c r="C39" s="34">
        <v>3000</v>
      </c>
    </row>
    <row r="40" spans="1:3" ht="15.75" thickBot="1" x14ac:dyDescent="0.3">
      <c r="A40" s="36" t="s">
        <v>38</v>
      </c>
      <c r="B40" s="37"/>
      <c r="C40" s="1">
        <f t="shared" ref="C40" si="4">SUM(C41:C55)</f>
        <v>548960</v>
      </c>
    </row>
    <row r="41" spans="1:3" x14ac:dyDescent="0.25">
      <c r="A41" s="38">
        <v>312</v>
      </c>
      <c r="B41" s="39" t="s">
        <v>39</v>
      </c>
      <c r="C41" s="40">
        <v>3500</v>
      </c>
    </row>
    <row r="42" spans="1:3" x14ac:dyDescent="0.25">
      <c r="A42" s="41">
        <v>312</v>
      </c>
      <c r="B42" s="10" t="s">
        <v>40</v>
      </c>
      <c r="C42" s="18">
        <v>7200</v>
      </c>
    </row>
    <row r="43" spans="1:3" x14ac:dyDescent="0.25">
      <c r="A43" s="41">
        <v>312</v>
      </c>
      <c r="B43" s="10" t="s">
        <v>41</v>
      </c>
      <c r="C43" s="18">
        <v>3000</v>
      </c>
    </row>
    <row r="44" spans="1:3" x14ac:dyDescent="0.25">
      <c r="A44" s="41">
        <v>312</v>
      </c>
      <c r="B44" s="42" t="s">
        <v>200</v>
      </c>
      <c r="C44" s="43">
        <v>61000</v>
      </c>
    </row>
    <row r="45" spans="1:3" x14ac:dyDescent="0.25">
      <c r="A45" s="41">
        <v>312</v>
      </c>
      <c r="B45" s="42" t="s">
        <v>42</v>
      </c>
      <c r="C45" s="18">
        <v>12800</v>
      </c>
    </row>
    <row r="46" spans="1:3" x14ac:dyDescent="0.25">
      <c r="A46" s="41">
        <v>312</v>
      </c>
      <c r="B46" s="42" t="s">
        <v>43</v>
      </c>
      <c r="C46" s="18">
        <v>21800</v>
      </c>
    </row>
    <row r="47" spans="1:3" x14ac:dyDescent="0.25">
      <c r="A47" s="41">
        <v>312</v>
      </c>
      <c r="B47" s="42" t="s">
        <v>44</v>
      </c>
      <c r="C47" s="18">
        <v>7700</v>
      </c>
    </row>
    <row r="48" spans="1:3" x14ac:dyDescent="0.25">
      <c r="A48" s="41">
        <v>312</v>
      </c>
      <c r="B48" s="42" t="s">
        <v>45</v>
      </c>
      <c r="C48" s="18"/>
    </row>
    <row r="49" spans="1:6" x14ac:dyDescent="0.25">
      <c r="A49" s="41">
        <v>312</v>
      </c>
      <c r="B49" s="42" t="s">
        <v>46</v>
      </c>
      <c r="C49" s="18">
        <v>15500</v>
      </c>
    </row>
    <row r="50" spans="1:6" x14ac:dyDescent="0.25">
      <c r="A50" s="41">
        <v>312</v>
      </c>
      <c r="B50" s="42" t="s">
        <v>47</v>
      </c>
      <c r="C50" s="18">
        <v>700</v>
      </c>
    </row>
    <row r="51" spans="1:6" x14ac:dyDescent="0.25">
      <c r="A51" s="44">
        <v>312</v>
      </c>
      <c r="B51" s="39" t="s">
        <v>48</v>
      </c>
      <c r="C51" s="45"/>
    </row>
    <row r="52" spans="1:6" x14ac:dyDescent="0.25">
      <c r="A52" s="46">
        <v>312</v>
      </c>
      <c r="B52" s="10" t="s">
        <v>49</v>
      </c>
      <c r="C52" s="19">
        <f t="shared" ref="C52" si="5">3900+220</f>
        <v>4120</v>
      </c>
    </row>
    <row r="53" spans="1:6" x14ac:dyDescent="0.25">
      <c r="A53" s="46">
        <v>312</v>
      </c>
      <c r="B53" s="47" t="s">
        <v>50</v>
      </c>
      <c r="C53" s="20">
        <v>3000</v>
      </c>
    </row>
    <row r="54" spans="1:6" x14ac:dyDescent="0.25">
      <c r="A54" s="46">
        <v>312</v>
      </c>
      <c r="B54" s="48" t="s">
        <v>51</v>
      </c>
      <c r="C54" s="20">
        <v>2200</v>
      </c>
    </row>
    <row r="55" spans="1:6" ht="15.75" thickBot="1" x14ac:dyDescent="0.3">
      <c r="A55" s="49">
        <v>312</v>
      </c>
      <c r="B55" s="50" t="s">
        <v>52</v>
      </c>
      <c r="C55" s="51">
        <v>406440</v>
      </c>
    </row>
    <row r="56" spans="1:6" ht="18.75" customHeight="1" thickBot="1" x14ac:dyDescent="0.3">
      <c r="A56" s="52" t="s">
        <v>53</v>
      </c>
      <c r="B56" s="53"/>
      <c r="C56" s="54">
        <f t="shared" ref="C56" si="6">SUM(C4+C12+C31+C33+C40)</f>
        <v>1758540</v>
      </c>
      <c r="D56" s="171"/>
      <c r="E56" s="171"/>
    </row>
    <row r="57" spans="1:6" ht="16.5" thickBot="1" x14ac:dyDescent="0.3">
      <c r="A57" s="55" t="s">
        <v>54</v>
      </c>
      <c r="B57" s="56" t="s">
        <v>55</v>
      </c>
      <c r="C57" s="57">
        <v>3000</v>
      </c>
    </row>
    <row r="58" spans="1:6" ht="19.5" customHeight="1" thickBot="1" x14ac:dyDescent="0.3">
      <c r="A58" s="52" t="s">
        <v>56</v>
      </c>
      <c r="B58" s="37"/>
      <c r="C58" s="54">
        <f t="shared" ref="C58" si="7">SUM(C56:C57)</f>
        <v>1761540</v>
      </c>
    </row>
    <row r="59" spans="1:6" ht="15.75" x14ac:dyDescent="0.25">
      <c r="A59" s="58"/>
      <c r="B59" s="59"/>
      <c r="C59" s="60"/>
      <c r="D59" s="60"/>
      <c r="E59" s="60"/>
      <c r="F59" s="60"/>
    </row>
    <row r="60" spans="1:6" ht="16.5" thickBot="1" x14ac:dyDescent="0.3">
      <c r="A60" s="58"/>
      <c r="B60" s="59"/>
      <c r="C60" s="59"/>
      <c r="D60" s="59"/>
      <c r="E60" s="59"/>
      <c r="F60" s="59"/>
    </row>
    <row r="61" spans="1:6" ht="22.5" customHeight="1" thickBot="1" x14ac:dyDescent="0.3">
      <c r="A61" s="1021" t="s">
        <v>57</v>
      </c>
      <c r="B61" s="1022"/>
      <c r="C61" s="1022"/>
    </row>
    <row r="62" spans="1:6" ht="15" customHeight="1" x14ac:dyDescent="0.25">
      <c r="A62" s="992" t="s">
        <v>1</v>
      </c>
      <c r="B62" s="993"/>
      <c r="C62" s="996">
        <v>2017</v>
      </c>
    </row>
    <row r="63" spans="1:6" ht="15.75" thickBot="1" x14ac:dyDescent="0.3">
      <c r="A63" s="994"/>
      <c r="B63" s="995"/>
      <c r="C63" s="997"/>
    </row>
    <row r="64" spans="1:6" ht="15.75" thickBot="1" x14ac:dyDescent="0.3">
      <c r="A64" s="61" t="s">
        <v>58</v>
      </c>
      <c r="B64" s="62"/>
      <c r="C64" s="63">
        <f t="shared" ref="C64" si="8">SUM(C65:C69)</f>
        <v>188500</v>
      </c>
    </row>
    <row r="65" spans="1:3" x14ac:dyDescent="0.25">
      <c r="A65" s="64" t="s">
        <v>59</v>
      </c>
      <c r="B65" s="65" t="s">
        <v>60</v>
      </c>
      <c r="C65" s="66">
        <f>80000+16500</f>
        <v>96500</v>
      </c>
    </row>
    <row r="66" spans="1:3" x14ac:dyDescent="0.25">
      <c r="A66" s="67" t="s">
        <v>61</v>
      </c>
      <c r="B66" s="42" t="s">
        <v>209</v>
      </c>
      <c r="C66" s="68">
        <f>7100+10600+32300</f>
        <v>50000</v>
      </c>
    </row>
    <row r="67" spans="1:3" x14ac:dyDescent="0.25">
      <c r="A67" s="67" t="s">
        <v>62</v>
      </c>
      <c r="B67" s="42" t="s">
        <v>208</v>
      </c>
      <c r="C67" s="68">
        <v>2000</v>
      </c>
    </row>
    <row r="68" spans="1:3" x14ac:dyDescent="0.25">
      <c r="A68" s="69" t="s">
        <v>63</v>
      </c>
      <c r="B68" s="42" t="s">
        <v>64</v>
      </c>
      <c r="C68" s="34">
        <f>3000+900+220+32380</f>
        <v>36500</v>
      </c>
    </row>
    <row r="69" spans="1:3" ht="15.75" thickBot="1" x14ac:dyDescent="0.3">
      <c r="A69" s="70" t="s">
        <v>65</v>
      </c>
      <c r="B69" s="3" t="s">
        <v>66</v>
      </c>
      <c r="C69" s="71">
        <v>3500</v>
      </c>
    </row>
    <row r="70" spans="1:3" ht="15.75" thickBot="1" x14ac:dyDescent="0.3">
      <c r="A70" s="72" t="s">
        <v>67</v>
      </c>
      <c r="B70" s="73"/>
      <c r="C70" s="63">
        <f t="shared" ref="C70" si="9">SUM(C71)</f>
        <v>1500</v>
      </c>
    </row>
    <row r="71" spans="1:3" ht="15.75" thickBot="1" x14ac:dyDescent="0.3">
      <c r="A71" s="74" t="s">
        <v>68</v>
      </c>
      <c r="B71" s="59" t="s">
        <v>69</v>
      </c>
      <c r="C71" s="75">
        <v>1500</v>
      </c>
    </row>
    <row r="72" spans="1:3" ht="15.75" thickBot="1" x14ac:dyDescent="0.3">
      <c r="A72" s="72" t="s">
        <v>70</v>
      </c>
      <c r="B72" s="73"/>
      <c r="C72" s="63">
        <f t="shared" ref="C72" si="10">SUM(C73:C74)</f>
        <v>10900</v>
      </c>
    </row>
    <row r="73" spans="1:3" x14ac:dyDescent="0.25">
      <c r="A73" s="76" t="s">
        <v>71</v>
      </c>
      <c r="B73" s="77" t="s">
        <v>72</v>
      </c>
      <c r="C73" s="78">
        <v>10600</v>
      </c>
    </row>
    <row r="74" spans="1:3" ht="15.75" thickBot="1" x14ac:dyDescent="0.3">
      <c r="A74" s="79" t="s">
        <v>73</v>
      </c>
      <c r="B74" s="80" t="s">
        <v>74</v>
      </c>
      <c r="C74" s="81">
        <v>300</v>
      </c>
    </row>
    <row r="75" spans="1:3" ht="15.75" thickBot="1" x14ac:dyDescent="0.3">
      <c r="A75" s="61" t="s">
        <v>75</v>
      </c>
      <c r="B75" s="82"/>
      <c r="C75" s="63">
        <f t="shared" ref="C75" si="11">SUM(C76:C79)</f>
        <v>57000</v>
      </c>
    </row>
    <row r="76" spans="1:3" x14ac:dyDescent="0.25">
      <c r="A76" s="83" t="s">
        <v>76</v>
      </c>
      <c r="B76" s="30" t="s">
        <v>77</v>
      </c>
      <c r="C76" s="31">
        <f>15900+1500+6000</f>
        <v>23400</v>
      </c>
    </row>
    <row r="77" spans="1:3" x14ac:dyDescent="0.25">
      <c r="A77" s="69" t="s">
        <v>78</v>
      </c>
      <c r="B77" s="42" t="s">
        <v>79</v>
      </c>
      <c r="C77" s="68">
        <v>18500</v>
      </c>
    </row>
    <row r="78" spans="1:3" x14ac:dyDescent="0.25">
      <c r="A78" s="69" t="s">
        <v>80</v>
      </c>
      <c r="B78" s="42" t="s">
        <v>81</v>
      </c>
      <c r="C78" s="34">
        <v>15000</v>
      </c>
    </row>
    <row r="79" spans="1:3" ht="15.75" thickBot="1" x14ac:dyDescent="0.3">
      <c r="A79" s="69" t="s">
        <v>82</v>
      </c>
      <c r="B79" s="42" t="s">
        <v>83</v>
      </c>
      <c r="C79" s="34">
        <v>100</v>
      </c>
    </row>
    <row r="80" spans="1:3" ht="15.75" thickBot="1" x14ac:dyDescent="0.3">
      <c r="A80" s="1006" t="s">
        <v>84</v>
      </c>
      <c r="B80" s="1007"/>
      <c r="C80" s="63">
        <f t="shared" ref="C80" si="12">SUM(C81:C84)</f>
        <v>88750</v>
      </c>
    </row>
    <row r="81" spans="1:3" x14ac:dyDescent="0.25">
      <c r="A81" s="84" t="s">
        <v>85</v>
      </c>
      <c r="B81" s="85" t="s">
        <v>86</v>
      </c>
      <c r="C81" s="86">
        <f>25000+20000</f>
        <v>45000</v>
      </c>
    </row>
    <row r="82" spans="1:3" x14ac:dyDescent="0.25">
      <c r="A82" s="69" t="s">
        <v>87</v>
      </c>
      <c r="B82" s="42" t="s">
        <v>88</v>
      </c>
      <c r="C82" s="68">
        <v>36000</v>
      </c>
    </row>
    <row r="83" spans="1:3" x14ac:dyDescent="0.25">
      <c r="A83" s="74" t="s">
        <v>89</v>
      </c>
      <c r="B83" s="87" t="s">
        <v>90</v>
      </c>
      <c r="C83" s="88">
        <v>950</v>
      </c>
    </row>
    <row r="84" spans="1:3" ht="15.75" thickBot="1" x14ac:dyDescent="0.3">
      <c r="A84" s="89" t="s">
        <v>91</v>
      </c>
      <c r="B84" s="90" t="s">
        <v>204</v>
      </c>
      <c r="C84" s="91">
        <f>5700+1000+100</f>
        <v>6800</v>
      </c>
    </row>
    <row r="85" spans="1:3" ht="15.75" thickBot="1" x14ac:dyDescent="0.3">
      <c r="A85" s="61" t="s">
        <v>92</v>
      </c>
      <c r="B85" s="82"/>
      <c r="C85" s="63">
        <f t="shared" ref="C85" si="13">SUM(C86:C88)</f>
        <v>144000</v>
      </c>
    </row>
    <row r="86" spans="1:3" x14ac:dyDescent="0.25">
      <c r="A86" s="83" t="s">
        <v>93</v>
      </c>
      <c r="B86" s="65" t="s">
        <v>94</v>
      </c>
      <c r="C86" s="92">
        <v>108000</v>
      </c>
    </row>
    <row r="87" spans="1:3" x14ac:dyDescent="0.25">
      <c r="A87" s="93" t="s">
        <v>95</v>
      </c>
      <c r="B87" s="42" t="s">
        <v>96</v>
      </c>
      <c r="C87" s="94">
        <v>19000</v>
      </c>
    </row>
    <row r="88" spans="1:3" ht="15.75" thickBot="1" x14ac:dyDescent="0.3">
      <c r="A88" s="95" t="s">
        <v>97</v>
      </c>
      <c r="B88" s="90" t="s">
        <v>98</v>
      </c>
      <c r="C88" s="209">
        <f>2000+14000+400+600</f>
        <v>17000</v>
      </c>
    </row>
    <row r="89" spans="1:3" ht="15.75" thickBot="1" x14ac:dyDescent="0.3">
      <c r="A89" s="97" t="s">
        <v>99</v>
      </c>
      <c r="B89" s="98"/>
      <c r="C89" s="99">
        <f t="shared" ref="C89" si="14">SUM(C90:C92)</f>
        <v>450</v>
      </c>
    </row>
    <row r="90" spans="1:3" x14ac:dyDescent="0.25">
      <c r="A90" s="76" t="s">
        <v>100</v>
      </c>
      <c r="B90" s="85" t="s">
        <v>101</v>
      </c>
      <c r="C90" s="100">
        <v>50</v>
      </c>
    </row>
    <row r="91" spans="1:3" x14ac:dyDescent="0.25">
      <c r="A91" s="93" t="s">
        <v>102</v>
      </c>
      <c r="B91" s="42" t="s">
        <v>103</v>
      </c>
      <c r="C91" s="94">
        <v>50</v>
      </c>
    </row>
    <row r="92" spans="1:3" ht="15.75" thickBot="1" x14ac:dyDescent="0.3">
      <c r="A92" s="95" t="s">
        <v>104</v>
      </c>
      <c r="B92" s="90" t="s">
        <v>105</v>
      </c>
      <c r="C92" s="96">
        <v>350</v>
      </c>
    </row>
    <row r="93" spans="1:3" ht="15.75" thickBot="1" x14ac:dyDescent="0.3">
      <c r="A93" s="101" t="s">
        <v>106</v>
      </c>
      <c r="B93" s="102"/>
      <c r="C93" s="103">
        <f t="shared" ref="C93" si="15">SUM(C94:C98)</f>
        <v>108100</v>
      </c>
    </row>
    <row r="94" spans="1:3" x14ac:dyDescent="0.25">
      <c r="A94" s="84" t="s">
        <v>107</v>
      </c>
      <c r="B94" s="85" t="s">
        <v>108</v>
      </c>
      <c r="C94" s="86">
        <f>9300+7300</f>
        <v>16600</v>
      </c>
    </row>
    <row r="95" spans="1:3" x14ac:dyDescent="0.25">
      <c r="A95" s="104" t="s">
        <v>109</v>
      </c>
      <c r="B95" s="105" t="s">
        <v>110</v>
      </c>
      <c r="C95" s="31">
        <f>12600+1800+2000+48600</f>
        <v>65000</v>
      </c>
    </row>
    <row r="96" spans="1:3" x14ac:dyDescent="0.25">
      <c r="A96" s="104" t="s">
        <v>111</v>
      </c>
      <c r="B96" s="65" t="s">
        <v>112</v>
      </c>
      <c r="C96" s="66">
        <f>2800+700</f>
        <v>3500</v>
      </c>
    </row>
    <row r="97" spans="1:3" x14ac:dyDescent="0.25">
      <c r="A97" s="104" t="s">
        <v>113</v>
      </c>
      <c r="B97" s="65" t="s">
        <v>114</v>
      </c>
      <c r="C97" s="66">
        <f>7400+3000+2600</f>
        <v>13000</v>
      </c>
    </row>
    <row r="98" spans="1:3" ht="15.75" thickBot="1" x14ac:dyDescent="0.3">
      <c r="A98" s="89" t="s">
        <v>115</v>
      </c>
      <c r="B98" s="90" t="s">
        <v>203</v>
      </c>
      <c r="C98" s="91">
        <v>10000</v>
      </c>
    </row>
    <row r="99" spans="1:3" ht="15.75" thickBot="1" x14ac:dyDescent="0.3">
      <c r="A99" s="72" t="s">
        <v>116</v>
      </c>
      <c r="B99" s="73"/>
      <c r="C99" s="63">
        <f t="shared" ref="C99" si="16">SUM(C100:C106)</f>
        <v>384700</v>
      </c>
    </row>
    <row r="100" spans="1:3" x14ac:dyDescent="0.25">
      <c r="A100" s="106" t="s">
        <v>117</v>
      </c>
      <c r="B100" s="107" t="s">
        <v>118</v>
      </c>
      <c r="C100" s="78">
        <v>118000</v>
      </c>
    </row>
    <row r="101" spans="1:3" x14ac:dyDescent="0.25">
      <c r="A101" s="108" t="s">
        <v>119</v>
      </c>
      <c r="B101" s="33" t="s">
        <v>187</v>
      </c>
      <c r="C101" s="34">
        <f>177000+2600</f>
        <v>179600</v>
      </c>
    </row>
    <row r="102" spans="1:3" x14ac:dyDescent="0.25">
      <c r="A102" s="108" t="s">
        <v>120</v>
      </c>
      <c r="B102" s="33" t="s">
        <v>121</v>
      </c>
      <c r="C102" s="34">
        <v>11800</v>
      </c>
    </row>
    <row r="103" spans="1:3" x14ac:dyDescent="0.25">
      <c r="A103" s="108" t="s">
        <v>122</v>
      </c>
      <c r="B103" s="33" t="s">
        <v>123</v>
      </c>
      <c r="C103" s="34">
        <v>17200</v>
      </c>
    </row>
    <row r="104" spans="1:3" x14ac:dyDescent="0.25">
      <c r="A104" s="108" t="s">
        <v>124</v>
      </c>
      <c r="B104" s="33" t="s">
        <v>125</v>
      </c>
      <c r="C104" s="34">
        <v>17200</v>
      </c>
    </row>
    <row r="105" spans="1:3" x14ac:dyDescent="0.25">
      <c r="A105" s="109" t="s">
        <v>126</v>
      </c>
      <c r="B105" s="33" t="s">
        <v>127</v>
      </c>
      <c r="C105" s="110">
        <f>11800+4400+21800+300</f>
        <v>38300</v>
      </c>
    </row>
    <row r="106" spans="1:3" ht="15.75" thickBot="1" x14ac:dyDescent="0.3">
      <c r="A106" s="108" t="s">
        <v>128</v>
      </c>
      <c r="B106" s="33" t="s">
        <v>129</v>
      </c>
      <c r="C106" s="110">
        <v>2600</v>
      </c>
    </row>
    <row r="107" spans="1:3" ht="15.75" thickBot="1" x14ac:dyDescent="0.3">
      <c r="A107" s="61" t="s">
        <v>130</v>
      </c>
      <c r="B107" s="62"/>
      <c r="C107" s="63">
        <f t="shared" ref="C107" si="17">SUM(C108:C112)</f>
        <v>196800</v>
      </c>
    </row>
    <row r="108" spans="1:3" x14ac:dyDescent="0.25">
      <c r="A108" s="104" t="s">
        <v>131</v>
      </c>
      <c r="B108" s="65" t="s">
        <v>132</v>
      </c>
      <c r="C108" s="66">
        <f>100000+15600</f>
        <v>115600</v>
      </c>
    </row>
    <row r="109" spans="1:3" x14ac:dyDescent="0.25">
      <c r="A109" s="104" t="s">
        <v>133</v>
      </c>
      <c r="B109" s="65" t="s">
        <v>201</v>
      </c>
      <c r="C109" s="66">
        <f>7200+3000</f>
        <v>10200</v>
      </c>
    </row>
    <row r="110" spans="1:3" x14ac:dyDescent="0.25">
      <c r="A110" s="69" t="s">
        <v>134</v>
      </c>
      <c r="B110" s="42" t="s">
        <v>202</v>
      </c>
      <c r="C110" s="68">
        <f>12000+49000+9000</f>
        <v>70000</v>
      </c>
    </row>
    <row r="111" spans="1:3" x14ac:dyDescent="0.25">
      <c r="A111" s="69" t="s">
        <v>135</v>
      </c>
      <c r="B111" s="42" t="s">
        <v>136</v>
      </c>
      <c r="C111" s="68">
        <v>500</v>
      </c>
    </row>
    <row r="112" spans="1:3" ht="15.75" thickBot="1" x14ac:dyDescent="0.3">
      <c r="A112" s="89" t="s">
        <v>137</v>
      </c>
      <c r="B112" s="90" t="s">
        <v>138</v>
      </c>
      <c r="C112" s="91">
        <v>500</v>
      </c>
    </row>
    <row r="113" spans="1:3" ht="16.5" thickBot="1" x14ac:dyDescent="0.3">
      <c r="A113" s="111" t="s">
        <v>139</v>
      </c>
      <c r="B113" s="98"/>
      <c r="C113" s="112">
        <f t="shared" ref="C113" si="18">SUM(C64+C70+C72+C75+C80+C85+C89+C93+C99+C107)</f>
        <v>1180700</v>
      </c>
    </row>
    <row r="114" spans="1:3" x14ac:dyDescent="0.25">
      <c r="A114" s="181" t="s">
        <v>140</v>
      </c>
      <c r="B114" s="113" t="s">
        <v>141</v>
      </c>
      <c r="C114" s="114">
        <f>C55+C57</f>
        <v>409440</v>
      </c>
    </row>
    <row r="115" spans="1:3" x14ac:dyDescent="0.25">
      <c r="A115" s="180" t="s">
        <v>142</v>
      </c>
      <c r="B115" s="50" t="s">
        <v>143</v>
      </c>
      <c r="C115" s="115">
        <v>19000</v>
      </c>
    </row>
    <row r="116" spans="1:3" ht="15.75" thickBot="1" x14ac:dyDescent="0.3">
      <c r="A116" s="116" t="s">
        <v>144</v>
      </c>
      <c r="B116" s="117"/>
      <c r="C116" s="118">
        <f>SUM(C114:C115)</f>
        <v>428440</v>
      </c>
    </row>
    <row r="117" spans="1:3" ht="16.5" thickBot="1" x14ac:dyDescent="0.3">
      <c r="A117" s="119" t="s">
        <v>145</v>
      </c>
      <c r="B117" s="82"/>
      <c r="C117" s="120">
        <f>C113+C116</f>
        <v>1609140</v>
      </c>
    </row>
    <row r="119" spans="1:3" ht="15.75" thickBot="1" x14ac:dyDescent="0.3"/>
    <row r="120" spans="1:3" ht="23.25" customHeight="1" thickBot="1" x14ac:dyDescent="0.3">
      <c r="A120" s="1024" t="s">
        <v>146</v>
      </c>
      <c r="B120" s="1025"/>
      <c r="C120" s="1025"/>
    </row>
    <row r="121" spans="1:3" ht="15" customHeight="1" x14ac:dyDescent="0.25">
      <c r="A121" s="992" t="s">
        <v>1</v>
      </c>
      <c r="B121" s="993"/>
      <c r="C121" s="996">
        <v>2017</v>
      </c>
    </row>
    <row r="122" spans="1:3" ht="15.75" thickBot="1" x14ac:dyDescent="0.3">
      <c r="A122" s="994"/>
      <c r="B122" s="995"/>
      <c r="C122" s="997"/>
    </row>
    <row r="123" spans="1:3" ht="16.5" thickBot="1" x14ac:dyDescent="0.3">
      <c r="A123" s="1010" t="s">
        <v>147</v>
      </c>
      <c r="B123" s="1011"/>
      <c r="C123" s="121">
        <f t="shared" ref="C123" si="19">SUM(C124:C131)</f>
        <v>1669100</v>
      </c>
    </row>
    <row r="124" spans="1:3" x14ac:dyDescent="0.25">
      <c r="A124" s="122">
        <v>231</v>
      </c>
      <c r="B124" s="85" t="s">
        <v>148</v>
      </c>
      <c r="C124" s="123">
        <v>0</v>
      </c>
    </row>
    <row r="125" spans="1:3" x14ac:dyDescent="0.25">
      <c r="A125" s="46">
        <v>233</v>
      </c>
      <c r="B125" s="42" t="s">
        <v>149</v>
      </c>
      <c r="C125" s="124">
        <v>1000</v>
      </c>
    </row>
    <row r="126" spans="1:3" x14ac:dyDescent="0.25">
      <c r="A126" s="174">
        <v>322</v>
      </c>
      <c r="B126" s="175" t="s">
        <v>192</v>
      </c>
      <c r="C126" s="176">
        <v>134200</v>
      </c>
    </row>
    <row r="127" spans="1:3" x14ac:dyDescent="0.25">
      <c r="A127" s="174">
        <v>322</v>
      </c>
      <c r="B127" s="175" t="s">
        <v>193</v>
      </c>
      <c r="C127" s="176">
        <v>155400</v>
      </c>
    </row>
    <row r="128" spans="1:3" x14ac:dyDescent="0.25">
      <c r="A128" s="174">
        <v>322</v>
      </c>
      <c r="B128" s="175" t="s">
        <v>194</v>
      </c>
      <c r="C128" s="176">
        <v>39900</v>
      </c>
    </row>
    <row r="129" spans="1:7" x14ac:dyDescent="0.25">
      <c r="A129" s="174">
        <v>322</v>
      </c>
      <c r="B129" s="175" t="s">
        <v>195</v>
      </c>
      <c r="C129" s="176">
        <v>1222600</v>
      </c>
    </row>
    <row r="130" spans="1:7" x14ac:dyDescent="0.25">
      <c r="A130" s="174">
        <v>322</v>
      </c>
      <c r="B130" s="175" t="s">
        <v>196</v>
      </c>
      <c r="C130" s="176">
        <v>103500</v>
      </c>
    </row>
    <row r="131" spans="1:7" ht="15.75" thickBot="1" x14ac:dyDescent="0.3">
      <c r="A131" s="125">
        <v>322</v>
      </c>
      <c r="B131" s="126" t="s">
        <v>150</v>
      </c>
      <c r="C131" s="127">
        <v>12500</v>
      </c>
      <c r="G131" s="178"/>
    </row>
    <row r="132" spans="1:7" ht="16.5" thickBot="1" x14ac:dyDescent="0.3">
      <c r="A132" s="1010" t="s">
        <v>151</v>
      </c>
      <c r="B132" s="1011"/>
      <c r="C132" s="121">
        <f>SUM(C133:C151)</f>
        <v>2481900</v>
      </c>
      <c r="D132" s="171"/>
    </row>
    <row r="133" spans="1:7" x14ac:dyDescent="0.25">
      <c r="A133" s="128" t="s">
        <v>59</v>
      </c>
      <c r="B133" s="129" t="s">
        <v>185</v>
      </c>
      <c r="C133" s="135">
        <v>3000</v>
      </c>
    </row>
    <row r="134" spans="1:7" ht="15.75" thickBot="1" x14ac:dyDescent="0.3">
      <c r="A134" s="200" t="s">
        <v>59</v>
      </c>
      <c r="B134" s="201" t="s">
        <v>184</v>
      </c>
      <c r="C134" s="210">
        <v>108200</v>
      </c>
      <c r="E134" s="171"/>
    </row>
    <row r="135" spans="1:7" x14ac:dyDescent="0.25">
      <c r="A135" s="190" t="s">
        <v>73</v>
      </c>
      <c r="B135" s="131" t="s">
        <v>152</v>
      </c>
      <c r="C135" s="133">
        <v>14800</v>
      </c>
      <c r="E135" s="171"/>
    </row>
    <row r="136" spans="1:7" ht="15.75" thickBot="1" x14ac:dyDescent="0.3">
      <c r="A136" s="202" t="s">
        <v>78</v>
      </c>
      <c r="B136" s="203" t="s">
        <v>190</v>
      </c>
      <c r="C136" s="210">
        <v>0</v>
      </c>
    </row>
    <row r="137" spans="1:7" x14ac:dyDescent="0.25">
      <c r="A137" s="191" t="s">
        <v>80</v>
      </c>
      <c r="B137" s="186" t="s">
        <v>197</v>
      </c>
      <c r="C137" s="135">
        <v>40000</v>
      </c>
    </row>
    <row r="138" spans="1:7" ht="15.75" thickBot="1" x14ac:dyDescent="0.3">
      <c r="A138" s="190" t="s">
        <v>80</v>
      </c>
      <c r="B138" s="185" t="s">
        <v>153</v>
      </c>
      <c r="C138" s="133">
        <v>10000</v>
      </c>
    </row>
    <row r="139" spans="1:7" ht="15.75" thickBot="1" x14ac:dyDescent="0.3">
      <c r="A139" s="187" t="s">
        <v>87</v>
      </c>
      <c r="B139" s="186" t="s">
        <v>198</v>
      </c>
      <c r="C139" s="135">
        <v>1287000</v>
      </c>
    </row>
    <row r="140" spans="1:7" ht="15.75" thickBot="1" x14ac:dyDescent="0.3">
      <c r="A140" s="192" t="s">
        <v>154</v>
      </c>
      <c r="B140" s="188" t="s">
        <v>155</v>
      </c>
      <c r="C140" s="134">
        <v>50000</v>
      </c>
      <c r="F140" s="140"/>
    </row>
    <row r="141" spans="1:7" ht="15.75" thickBot="1" x14ac:dyDescent="0.3">
      <c r="A141" s="192" t="s">
        <v>97</v>
      </c>
      <c r="B141" s="188" t="s">
        <v>206</v>
      </c>
      <c r="C141" s="134">
        <v>163600</v>
      </c>
      <c r="D141" s="140"/>
      <c r="F141" s="140"/>
    </row>
    <row r="142" spans="1:7" x14ac:dyDescent="0.25">
      <c r="A142" s="198" t="s">
        <v>107</v>
      </c>
      <c r="B142" s="199" t="s">
        <v>207</v>
      </c>
      <c r="C142" s="133">
        <v>42000</v>
      </c>
      <c r="D142" s="140"/>
      <c r="F142" s="140"/>
      <c r="G142" s="140"/>
    </row>
    <row r="143" spans="1:7" x14ac:dyDescent="0.25">
      <c r="A143" s="193" t="s">
        <v>107</v>
      </c>
      <c r="B143" s="189" t="s">
        <v>205</v>
      </c>
      <c r="C143" s="177">
        <v>56400</v>
      </c>
      <c r="D143" s="140"/>
      <c r="E143" s="138"/>
      <c r="F143" s="143"/>
      <c r="G143" s="142"/>
    </row>
    <row r="144" spans="1:7" x14ac:dyDescent="0.25">
      <c r="A144" s="193" t="s">
        <v>107</v>
      </c>
      <c r="B144" s="189" t="s">
        <v>183</v>
      </c>
      <c r="C144" s="177">
        <v>30000</v>
      </c>
      <c r="D144" s="140"/>
      <c r="E144" s="138"/>
      <c r="G144" s="142"/>
    </row>
    <row r="145" spans="1:7" x14ac:dyDescent="0.25">
      <c r="A145" s="193" t="s">
        <v>107</v>
      </c>
      <c r="B145" s="189" t="s">
        <v>188</v>
      </c>
      <c r="C145" s="177">
        <v>10000</v>
      </c>
      <c r="D145" s="140"/>
      <c r="E145" s="157"/>
    </row>
    <row r="146" spans="1:7" x14ac:dyDescent="0.25">
      <c r="A146" s="193" t="s">
        <v>107</v>
      </c>
      <c r="B146" s="189" t="s">
        <v>189</v>
      </c>
      <c r="C146" s="177">
        <v>10000</v>
      </c>
      <c r="D146" s="140"/>
    </row>
    <row r="147" spans="1:7" x14ac:dyDescent="0.25">
      <c r="A147" s="193" t="s">
        <v>109</v>
      </c>
      <c r="B147" s="189" t="s">
        <v>182</v>
      </c>
      <c r="C147" s="177">
        <v>500000</v>
      </c>
      <c r="D147" s="143"/>
    </row>
    <row r="148" spans="1:7" ht="15" customHeight="1" x14ac:dyDescent="0.25">
      <c r="A148" s="194" t="s">
        <v>111</v>
      </c>
      <c r="B148" s="195" t="s">
        <v>156</v>
      </c>
      <c r="C148" s="136">
        <v>2700</v>
      </c>
      <c r="D148" s="143"/>
      <c r="F148" s="141"/>
    </row>
    <row r="149" spans="1:7" x14ac:dyDescent="0.25">
      <c r="A149" s="194" t="s">
        <v>117</v>
      </c>
      <c r="B149" s="195" t="s">
        <v>199</v>
      </c>
      <c r="C149" s="136">
        <v>141200</v>
      </c>
      <c r="D149" s="143"/>
    </row>
    <row r="150" spans="1:7" x14ac:dyDescent="0.25">
      <c r="A150" s="197" t="s">
        <v>126</v>
      </c>
      <c r="B150" s="185" t="s">
        <v>186</v>
      </c>
      <c r="C150" s="133">
        <v>13000</v>
      </c>
      <c r="D150" s="141"/>
    </row>
    <row r="151" spans="1:7" ht="15.75" thickBot="1" x14ac:dyDescent="0.3">
      <c r="A151" s="204"/>
      <c r="B151" s="205" t="s">
        <v>191</v>
      </c>
      <c r="C151" s="206"/>
    </row>
    <row r="152" spans="1:7" x14ac:dyDescent="0.25">
      <c r="A152" s="137"/>
      <c r="B152" s="138"/>
      <c r="C152" s="140"/>
    </row>
    <row r="153" spans="1:7" ht="15.75" thickBot="1" x14ac:dyDescent="0.3">
      <c r="A153" s="141"/>
      <c r="B153" s="142"/>
      <c r="C153" s="143" t="s">
        <v>157</v>
      </c>
    </row>
    <row r="154" spans="1:7" ht="21.75" customHeight="1" thickBot="1" x14ac:dyDescent="0.3">
      <c r="A154" s="1030" t="s">
        <v>158</v>
      </c>
      <c r="B154" s="1031"/>
      <c r="C154" s="1031"/>
    </row>
    <row r="155" spans="1:7" x14ac:dyDescent="0.25">
      <c r="A155" s="992" t="s">
        <v>1</v>
      </c>
      <c r="B155" s="993"/>
      <c r="C155" s="996">
        <v>2017</v>
      </c>
      <c r="F155" s="157"/>
      <c r="G155" s="157"/>
    </row>
    <row r="156" spans="1:7" ht="15.75" thickBot="1" x14ac:dyDescent="0.3">
      <c r="A156" s="994"/>
      <c r="B156" s="995"/>
      <c r="C156" s="997"/>
      <c r="F156" s="157"/>
      <c r="G156" s="157"/>
    </row>
    <row r="157" spans="1:7" ht="16.5" thickBot="1" x14ac:dyDescent="0.3">
      <c r="A157" s="144" t="s">
        <v>159</v>
      </c>
      <c r="B157" s="145"/>
      <c r="C157" s="146">
        <f t="shared" ref="C157" si="20">SUM(C158:C160)</f>
        <v>714200</v>
      </c>
      <c r="F157" s="157"/>
      <c r="G157" s="138"/>
    </row>
    <row r="158" spans="1:7" x14ac:dyDescent="0.25">
      <c r="A158" s="147">
        <v>454</v>
      </c>
      <c r="B158" s="47" t="s">
        <v>160</v>
      </c>
      <c r="C158" s="148">
        <f>312800</f>
        <v>312800</v>
      </c>
    </row>
    <row r="159" spans="1:7" x14ac:dyDescent="0.25">
      <c r="A159" s="149">
        <v>453</v>
      </c>
      <c r="B159" s="150" t="s">
        <v>161</v>
      </c>
      <c r="C159" s="151">
        <v>1500</v>
      </c>
    </row>
    <row r="160" spans="1:7" ht="16.5" customHeight="1" thickBot="1" x14ac:dyDescent="0.3">
      <c r="A160" s="149">
        <v>513</v>
      </c>
      <c r="B160" s="150" t="s">
        <v>162</v>
      </c>
      <c r="C160" s="151">
        <f>500000-100100</f>
        <v>399900</v>
      </c>
      <c r="D160" s="291"/>
    </row>
    <row r="161" spans="1:5" ht="19.5" customHeight="1" thickBot="1" x14ac:dyDescent="0.3">
      <c r="A161" s="144" t="s">
        <v>163</v>
      </c>
      <c r="B161" s="145"/>
      <c r="C161" s="146">
        <f t="shared" ref="C161" si="21">SUM(C162:C163)</f>
        <v>53800</v>
      </c>
      <c r="D161" s="157"/>
    </row>
    <row r="162" spans="1:5" x14ac:dyDescent="0.25">
      <c r="A162" s="152">
        <v>821</v>
      </c>
      <c r="B162" s="153" t="s">
        <v>164</v>
      </c>
      <c r="C162" s="154">
        <v>53000</v>
      </c>
      <c r="D162" s="138"/>
    </row>
    <row r="163" spans="1:5" ht="15.75" thickBot="1" x14ac:dyDescent="0.3">
      <c r="A163" s="27">
        <v>821</v>
      </c>
      <c r="B163" s="155" t="s">
        <v>165</v>
      </c>
      <c r="C163" s="71">
        <v>800</v>
      </c>
    </row>
    <row r="164" spans="1:5" x14ac:dyDescent="0.25">
      <c r="A164" s="141"/>
      <c r="B164" s="156"/>
      <c r="C164" s="157"/>
    </row>
    <row r="165" spans="1:5" x14ac:dyDescent="0.25">
      <c r="A165" s="141"/>
      <c r="B165" s="156"/>
      <c r="C165" s="157"/>
    </row>
    <row r="166" spans="1:5" ht="16.5" thickBot="1" x14ac:dyDescent="0.3">
      <c r="A166" s="58"/>
      <c r="B166" s="138"/>
      <c r="C166" s="138"/>
      <c r="E166" s="172"/>
    </row>
    <row r="167" spans="1:5" ht="18.75" thickBot="1" x14ac:dyDescent="0.3">
      <c r="A167" s="1018" t="s">
        <v>166</v>
      </c>
      <c r="B167" s="1019"/>
      <c r="C167" s="1019"/>
    </row>
    <row r="168" spans="1:5" x14ac:dyDescent="0.25">
      <c r="A168" s="992" t="s">
        <v>1</v>
      </c>
      <c r="B168" s="993"/>
      <c r="C168" s="996">
        <v>2017</v>
      </c>
    </row>
    <row r="169" spans="1:5" ht="15.75" thickBot="1" x14ac:dyDescent="0.3">
      <c r="A169" s="994"/>
      <c r="B169" s="995"/>
      <c r="C169" s="997"/>
    </row>
    <row r="170" spans="1:5" ht="15.75" x14ac:dyDescent="0.25">
      <c r="A170" s="158" t="s">
        <v>167</v>
      </c>
      <c r="B170" s="16"/>
      <c r="C170" s="159">
        <f>C58</f>
        <v>1761540</v>
      </c>
    </row>
    <row r="171" spans="1:5" ht="15.75" x14ac:dyDescent="0.25">
      <c r="A171" s="160" t="s">
        <v>168</v>
      </c>
      <c r="B171" s="10"/>
      <c r="C171" s="161">
        <f>C117</f>
        <v>1609140</v>
      </c>
    </row>
    <row r="172" spans="1:5" ht="15.75" x14ac:dyDescent="0.25">
      <c r="A172" s="1014" t="s">
        <v>169</v>
      </c>
      <c r="B172" s="1015"/>
      <c r="C172" s="162">
        <f t="shared" ref="C172" si="22">C170-C171</f>
        <v>152400</v>
      </c>
    </row>
    <row r="173" spans="1:5" ht="15.75" x14ac:dyDescent="0.25">
      <c r="A173" s="160" t="s">
        <v>170</v>
      </c>
      <c r="B173" s="10"/>
      <c r="C173" s="161">
        <f>C123</f>
        <v>1669100</v>
      </c>
    </row>
    <row r="174" spans="1:5" ht="15.75" x14ac:dyDescent="0.25">
      <c r="A174" s="160" t="s">
        <v>171</v>
      </c>
      <c r="B174" s="10"/>
      <c r="C174" s="11">
        <f>C132</f>
        <v>2481900</v>
      </c>
    </row>
    <row r="175" spans="1:5" ht="15.75" x14ac:dyDescent="0.25">
      <c r="A175" s="1014" t="s">
        <v>172</v>
      </c>
      <c r="B175" s="1015"/>
      <c r="C175" s="162">
        <f t="shared" ref="C175" si="23">C173-C174</f>
        <v>-812800</v>
      </c>
    </row>
    <row r="176" spans="1:5" ht="15.75" x14ac:dyDescent="0.25">
      <c r="A176" s="163" t="s">
        <v>173</v>
      </c>
      <c r="B176" s="164"/>
      <c r="C176" s="165">
        <f>C157</f>
        <v>714200</v>
      </c>
    </row>
    <row r="177" spans="1:7" ht="15.75" x14ac:dyDescent="0.25">
      <c r="A177" s="163" t="s">
        <v>174</v>
      </c>
      <c r="B177" s="164"/>
      <c r="C177" s="165">
        <f>C161</f>
        <v>53800</v>
      </c>
    </row>
    <row r="178" spans="1:7" ht="16.5" thickBot="1" x14ac:dyDescent="0.3">
      <c r="A178" s="1016" t="s">
        <v>175</v>
      </c>
      <c r="B178" s="1017"/>
      <c r="C178" s="166">
        <f t="shared" ref="C178" si="24">C176-C177</f>
        <v>660400</v>
      </c>
    </row>
    <row r="179" spans="1:7" ht="16.5" thickBot="1" x14ac:dyDescent="0.3">
      <c r="A179" s="167" t="s">
        <v>176</v>
      </c>
      <c r="B179" s="168"/>
      <c r="C179" s="169">
        <f t="shared" ref="C179" si="25">C172+C175+C178</f>
        <v>0</v>
      </c>
      <c r="F179" s="172"/>
      <c r="G179" s="172"/>
    </row>
    <row r="181" spans="1:7" x14ac:dyDescent="0.25">
      <c r="B181" s="170" t="s">
        <v>177</v>
      </c>
      <c r="C181" s="171">
        <f t="shared" ref="C181:C182" si="26">C170+C173+C176</f>
        <v>4144840</v>
      </c>
    </row>
    <row r="182" spans="1:7" x14ac:dyDescent="0.25">
      <c r="B182" s="170" t="s">
        <v>178</v>
      </c>
      <c r="C182" s="171">
        <f t="shared" si="26"/>
        <v>4144840</v>
      </c>
    </row>
    <row r="183" spans="1:7" x14ac:dyDescent="0.25">
      <c r="B183" s="170"/>
      <c r="C183" s="171"/>
    </row>
    <row r="184" spans="1:7" x14ac:dyDescent="0.25">
      <c r="B184" s="170" t="s">
        <v>179</v>
      </c>
      <c r="C184" s="171">
        <f>C181-C57</f>
        <v>4141840</v>
      </c>
      <c r="D184" s="172"/>
    </row>
    <row r="185" spans="1:7" x14ac:dyDescent="0.25">
      <c r="B185" s="170" t="s">
        <v>180</v>
      </c>
      <c r="C185" s="171">
        <f>C182-C116</f>
        <v>3716400</v>
      </c>
    </row>
    <row r="187" spans="1:7" x14ac:dyDescent="0.25">
      <c r="B187" t="s">
        <v>181</v>
      </c>
    </row>
    <row r="188" spans="1:7" x14ac:dyDescent="0.25">
      <c r="B188" s="172" t="s">
        <v>210</v>
      </c>
      <c r="C188" s="172"/>
    </row>
  </sheetData>
  <mergeCells count="23">
    <mergeCell ref="A1:C1"/>
    <mergeCell ref="A2:B3"/>
    <mergeCell ref="C2:C3"/>
    <mergeCell ref="A80:B80"/>
    <mergeCell ref="A120:C120"/>
    <mergeCell ref="A121:B122"/>
    <mergeCell ref="C121:C122"/>
    <mergeCell ref="A4:B4"/>
    <mergeCell ref="A12:B12"/>
    <mergeCell ref="A61:C61"/>
    <mergeCell ref="A62:B63"/>
    <mergeCell ref="C62:C63"/>
    <mergeCell ref="A123:B123"/>
    <mergeCell ref="A132:B132"/>
    <mergeCell ref="A154:C154"/>
    <mergeCell ref="A155:B156"/>
    <mergeCell ref="C155:C156"/>
    <mergeCell ref="A172:B172"/>
    <mergeCell ref="A175:B175"/>
    <mergeCell ref="A178:B178"/>
    <mergeCell ref="A167:C167"/>
    <mergeCell ref="A168:B169"/>
    <mergeCell ref="C168:C169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&amp;C&amp;"-,Tučné"&amp;12Rozpočet obce Heľpa na rok 2017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8"/>
  <sheetViews>
    <sheetView zoomScaleNormal="100" workbookViewId="0">
      <selection sqref="A1:F1"/>
    </sheetView>
  </sheetViews>
  <sheetFormatPr defaultRowHeight="15" x14ac:dyDescent="0.25"/>
  <cols>
    <col min="2" max="2" width="60.5703125" customWidth="1"/>
    <col min="3" max="3" width="14.5703125" customWidth="1"/>
    <col min="4" max="4" width="12.85546875" customWidth="1"/>
    <col min="5" max="5" width="12.7109375" customWidth="1"/>
    <col min="6" max="6" width="12" customWidth="1"/>
    <col min="7" max="7" width="9.7109375" bestFit="1" customWidth="1"/>
    <col min="11" max="11" width="12.140625" bestFit="1" customWidth="1"/>
  </cols>
  <sheetData>
    <row r="1" spans="1:6" ht="23.25" customHeight="1" thickBot="1" x14ac:dyDescent="0.3">
      <c r="A1" s="1027" t="s">
        <v>0</v>
      </c>
      <c r="B1" s="1028"/>
      <c r="C1" s="1028"/>
      <c r="D1" s="1028"/>
      <c r="E1" s="1028"/>
      <c r="F1" s="1029"/>
    </row>
    <row r="2" spans="1:6" ht="15" customHeight="1" x14ac:dyDescent="0.25">
      <c r="A2" s="992" t="s">
        <v>1</v>
      </c>
      <c r="B2" s="993"/>
      <c r="C2" s="996">
        <v>2016</v>
      </c>
      <c r="D2" s="996">
        <v>2017</v>
      </c>
      <c r="E2" s="996">
        <v>2018</v>
      </c>
      <c r="F2" s="996">
        <v>2019</v>
      </c>
    </row>
    <row r="3" spans="1:6" ht="15.75" thickBot="1" x14ac:dyDescent="0.3">
      <c r="A3" s="994"/>
      <c r="B3" s="995"/>
      <c r="C3" s="997"/>
      <c r="D3" s="997"/>
      <c r="E3" s="997"/>
      <c r="F3" s="997"/>
    </row>
    <row r="4" spans="1:6" ht="15.75" thickBot="1" x14ac:dyDescent="0.3">
      <c r="A4" s="1000" t="s">
        <v>2</v>
      </c>
      <c r="B4" s="1001"/>
      <c r="C4" s="1">
        <f t="shared" ref="C4:F4" si="0">SUM(C5:C11)</f>
        <v>913170</v>
      </c>
      <c r="D4" s="1">
        <f t="shared" si="0"/>
        <v>1009400</v>
      </c>
      <c r="E4" s="1">
        <f t="shared" si="0"/>
        <v>1009400</v>
      </c>
      <c r="F4" s="1">
        <f t="shared" si="0"/>
        <v>1009400</v>
      </c>
    </row>
    <row r="5" spans="1:6" ht="15.75" thickBot="1" x14ac:dyDescent="0.3">
      <c r="A5" s="2">
        <v>111</v>
      </c>
      <c r="B5" s="3" t="s">
        <v>3</v>
      </c>
      <c r="C5" s="4">
        <f>837000+20000</f>
        <v>857000</v>
      </c>
      <c r="D5" s="4">
        <v>950000</v>
      </c>
      <c r="E5" s="4">
        <v>950000</v>
      </c>
      <c r="F5" s="4">
        <v>950000</v>
      </c>
    </row>
    <row r="6" spans="1:6" ht="15.75" thickBot="1" x14ac:dyDescent="0.3">
      <c r="A6" s="5">
        <v>121</v>
      </c>
      <c r="B6" s="6" t="s">
        <v>4</v>
      </c>
      <c r="C6" s="173">
        <v>30770</v>
      </c>
      <c r="D6" s="173">
        <v>32000</v>
      </c>
      <c r="E6" s="173">
        <v>32000</v>
      </c>
      <c r="F6" s="173">
        <v>32000</v>
      </c>
    </row>
    <row r="7" spans="1:6" x14ac:dyDescent="0.25">
      <c r="A7" s="7">
        <v>133</v>
      </c>
      <c r="B7" s="8" t="s">
        <v>5</v>
      </c>
      <c r="C7" s="18">
        <v>1000</v>
      </c>
      <c r="D7" s="18">
        <v>1000</v>
      </c>
      <c r="E7" s="18">
        <v>1000</v>
      </c>
      <c r="F7" s="18">
        <v>1000</v>
      </c>
    </row>
    <row r="8" spans="1:6" x14ac:dyDescent="0.25">
      <c r="A8" s="9">
        <v>133</v>
      </c>
      <c r="B8" s="10" t="s">
        <v>6</v>
      </c>
      <c r="C8" s="19">
        <v>400</v>
      </c>
      <c r="D8" s="19">
        <v>400</v>
      </c>
      <c r="E8" s="19">
        <v>400</v>
      </c>
      <c r="F8" s="19">
        <v>400</v>
      </c>
    </row>
    <row r="9" spans="1:6" x14ac:dyDescent="0.25">
      <c r="A9" s="9">
        <v>133</v>
      </c>
      <c r="B9" s="10" t="s">
        <v>7</v>
      </c>
      <c r="C9" s="19">
        <v>2000</v>
      </c>
      <c r="D9" s="19">
        <v>2000</v>
      </c>
      <c r="E9" s="19">
        <v>2000</v>
      </c>
      <c r="F9" s="19">
        <v>2000</v>
      </c>
    </row>
    <row r="10" spans="1:6" x14ac:dyDescent="0.25">
      <c r="A10" s="9">
        <v>133</v>
      </c>
      <c r="B10" s="10" t="s">
        <v>8</v>
      </c>
      <c r="C10" s="19">
        <v>5000</v>
      </c>
      <c r="D10" s="19">
        <v>5000</v>
      </c>
      <c r="E10" s="19">
        <v>5000</v>
      </c>
      <c r="F10" s="19">
        <v>5000</v>
      </c>
    </row>
    <row r="11" spans="1:6" ht="15.75" thickBot="1" x14ac:dyDescent="0.3">
      <c r="A11" s="12">
        <v>133</v>
      </c>
      <c r="B11" s="13" t="s">
        <v>9</v>
      </c>
      <c r="C11" s="14">
        <v>17000</v>
      </c>
      <c r="D11" s="14">
        <v>19000</v>
      </c>
      <c r="E11" s="14">
        <v>19000</v>
      </c>
      <c r="F11" s="14">
        <v>19000</v>
      </c>
    </row>
    <row r="12" spans="1:6" ht="15.75" thickBot="1" x14ac:dyDescent="0.3">
      <c r="A12" s="1000" t="s">
        <v>10</v>
      </c>
      <c r="B12" s="1001"/>
      <c r="C12" s="1">
        <f t="shared" ref="C12:F12" si="1">SUM(C13:C30)</f>
        <v>162660</v>
      </c>
      <c r="D12" s="1">
        <f t="shared" si="1"/>
        <v>159850</v>
      </c>
      <c r="E12" s="1">
        <f t="shared" si="1"/>
        <v>179350</v>
      </c>
      <c r="F12" s="1">
        <f t="shared" si="1"/>
        <v>169350</v>
      </c>
    </row>
    <row r="13" spans="1:6" x14ac:dyDescent="0.25">
      <c r="A13" s="15">
        <v>212</v>
      </c>
      <c r="B13" s="16" t="s">
        <v>11</v>
      </c>
      <c r="C13" s="17">
        <f>490+22+480+1200</f>
        <v>2192</v>
      </c>
      <c r="D13" s="17">
        <v>2282</v>
      </c>
      <c r="E13" s="17">
        <v>2282</v>
      </c>
      <c r="F13" s="17">
        <v>2282</v>
      </c>
    </row>
    <row r="14" spans="1:6" x14ac:dyDescent="0.25">
      <c r="A14" s="7">
        <v>212</v>
      </c>
      <c r="B14" s="8" t="s">
        <v>12</v>
      </c>
      <c r="C14" s="18">
        <v>200</v>
      </c>
      <c r="D14" s="18">
        <v>500</v>
      </c>
      <c r="E14" s="18">
        <v>20000</v>
      </c>
      <c r="F14" s="18">
        <v>10000</v>
      </c>
    </row>
    <row r="15" spans="1:6" x14ac:dyDescent="0.25">
      <c r="A15" s="9">
        <v>212</v>
      </c>
      <c r="B15" s="10" t="s">
        <v>13</v>
      </c>
      <c r="C15" s="19">
        <v>3943</v>
      </c>
      <c r="D15" s="19">
        <v>3943</v>
      </c>
      <c r="E15" s="19">
        <v>3943</v>
      </c>
      <c r="F15" s="19">
        <v>3943</v>
      </c>
    </row>
    <row r="16" spans="1:6" x14ac:dyDescent="0.25">
      <c r="A16" s="9">
        <v>212</v>
      </c>
      <c r="B16" s="10" t="s">
        <v>14</v>
      </c>
      <c r="C16" s="20">
        <f>14169+610+3600+1000-1200</f>
        <v>18179</v>
      </c>
      <c r="D16" s="20">
        <v>15075</v>
      </c>
      <c r="E16" s="20">
        <v>15075</v>
      </c>
      <c r="F16" s="20">
        <v>15075</v>
      </c>
    </row>
    <row r="17" spans="1:10" ht="15.75" thickBot="1" x14ac:dyDescent="0.3">
      <c r="A17" s="21">
        <v>212</v>
      </c>
      <c r="B17" s="22" t="s">
        <v>15</v>
      </c>
      <c r="C17" s="23">
        <f>100+30</f>
        <v>130</v>
      </c>
      <c r="D17" s="23">
        <v>200</v>
      </c>
      <c r="E17" s="23">
        <v>200</v>
      </c>
      <c r="F17" s="23">
        <v>200</v>
      </c>
      <c r="G17" s="171">
        <f>SUM(D13:D17)</f>
        <v>22000</v>
      </c>
      <c r="H17" s="171"/>
      <c r="I17" s="171"/>
      <c r="J17" s="171"/>
    </row>
    <row r="18" spans="1:10" ht="15.75" thickBot="1" x14ac:dyDescent="0.3">
      <c r="A18" s="5">
        <v>221</v>
      </c>
      <c r="B18" s="6" t="s">
        <v>16</v>
      </c>
      <c r="C18" s="24">
        <v>11700</v>
      </c>
      <c r="D18" s="24">
        <v>11000</v>
      </c>
      <c r="E18" s="24">
        <v>11000</v>
      </c>
      <c r="F18" s="24">
        <v>11000</v>
      </c>
    </row>
    <row r="19" spans="1:10" ht="15.75" thickBot="1" x14ac:dyDescent="0.3">
      <c r="A19" s="21">
        <v>222</v>
      </c>
      <c r="B19" s="22" t="s">
        <v>17</v>
      </c>
      <c r="C19" s="23">
        <v>0</v>
      </c>
      <c r="D19" s="23">
        <v>0</v>
      </c>
      <c r="E19" s="23">
        <v>0</v>
      </c>
      <c r="F19" s="23">
        <v>0</v>
      </c>
    </row>
    <row r="20" spans="1:10" x14ac:dyDescent="0.25">
      <c r="A20" s="7">
        <v>223</v>
      </c>
      <c r="B20" s="8" t="s">
        <v>18</v>
      </c>
      <c r="C20" s="18">
        <v>900</v>
      </c>
      <c r="D20" s="18">
        <v>900</v>
      </c>
      <c r="E20" s="18">
        <v>900</v>
      </c>
      <c r="F20" s="18">
        <v>900</v>
      </c>
    </row>
    <row r="21" spans="1:10" x14ac:dyDescent="0.25">
      <c r="A21" s="9">
        <v>223</v>
      </c>
      <c r="B21" s="10" t="s">
        <v>19</v>
      </c>
      <c r="C21" s="19">
        <f>12000+2500</f>
        <v>14500</v>
      </c>
      <c r="D21" s="19">
        <v>18000</v>
      </c>
      <c r="E21" s="19">
        <v>18000</v>
      </c>
      <c r="F21" s="19">
        <v>18000</v>
      </c>
    </row>
    <row r="22" spans="1:10" x14ac:dyDescent="0.25">
      <c r="A22" s="9">
        <v>223</v>
      </c>
      <c r="B22" s="10" t="s">
        <v>20</v>
      </c>
      <c r="C22" s="19">
        <f>23000+2866+3200</f>
        <v>29066</v>
      </c>
      <c r="D22" s="19">
        <v>30000</v>
      </c>
      <c r="E22" s="19">
        <v>30000</v>
      </c>
      <c r="F22" s="19">
        <v>30000</v>
      </c>
    </row>
    <row r="23" spans="1:10" x14ac:dyDescent="0.25">
      <c r="A23" s="9">
        <v>223</v>
      </c>
      <c r="B23" s="10" t="s">
        <v>21</v>
      </c>
      <c r="C23" s="19">
        <f>2000+15500+1000-15500</f>
        <v>3000</v>
      </c>
      <c r="D23" s="19">
        <v>1000</v>
      </c>
      <c r="E23" s="19">
        <v>1000</v>
      </c>
      <c r="F23" s="19">
        <v>1000</v>
      </c>
    </row>
    <row r="24" spans="1:10" x14ac:dyDescent="0.25">
      <c r="A24" s="9">
        <v>223</v>
      </c>
      <c r="B24" s="10" t="s">
        <v>22</v>
      </c>
      <c r="C24" s="19">
        <v>700</v>
      </c>
      <c r="D24" s="19">
        <v>700</v>
      </c>
      <c r="E24" s="19">
        <v>700</v>
      </c>
      <c r="F24" s="19">
        <v>700</v>
      </c>
    </row>
    <row r="25" spans="1:10" x14ac:dyDescent="0.25">
      <c r="A25" s="9">
        <v>223</v>
      </c>
      <c r="B25" s="10" t="s">
        <v>23</v>
      </c>
      <c r="C25" s="19">
        <f>25000+3000</f>
        <v>28000</v>
      </c>
      <c r="D25" s="19">
        <v>24000</v>
      </c>
      <c r="E25" s="19">
        <v>24000</v>
      </c>
      <c r="F25" s="19">
        <v>24000</v>
      </c>
    </row>
    <row r="26" spans="1:10" x14ac:dyDescent="0.25">
      <c r="A26" s="9">
        <v>223</v>
      </c>
      <c r="B26" s="10" t="s">
        <v>24</v>
      </c>
      <c r="C26" s="19">
        <v>21650</v>
      </c>
      <c r="D26" s="19">
        <v>21650</v>
      </c>
      <c r="E26" s="19">
        <v>21650</v>
      </c>
      <c r="F26" s="19">
        <v>21650</v>
      </c>
    </row>
    <row r="27" spans="1:10" x14ac:dyDescent="0.25">
      <c r="A27" s="9">
        <v>223</v>
      </c>
      <c r="B27" s="10" t="s">
        <v>25</v>
      </c>
      <c r="C27" s="19">
        <f>12000+6000</f>
        <v>18000</v>
      </c>
      <c r="D27" s="19">
        <v>18000</v>
      </c>
      <c r="E27" s="19">
        <v>18000</v>
      </c>
      <c r="F27" s="19">
        <v>18000</v>
      </c>
    </row>
    <row r="28" spans="1:10" x14ac:dyDescent="0.25">
      <c r="A28" s="9">
        <v>223</v>
      </c>
      <c r="B28" s="10" t="s">
        <v>26</v>
      </c>
      <c r="C28" s="25">
        <v>9000</v>
      </c>
      <c r="D28" s="25">
        <v>10000</v>
      </c>
      <c r="E28" s="25">
        <v>10000</v>
      </c>
      <c r="F28" s="25">
        <v>10000</v>
      </c>
    </row>
    <row r="29" spans="1:10" x14ac:dyDescent="0.25">
      <c r="A29" s="9">
        <v>223</v>
      </c>
      <c r="B29" s="10" t="s">
        <v>27</v>
      </c>
      <c r="C29" s="19">
        <v>1400</v>
      </c>
      <c r="D29" s="19">
        <v>2500</v>
      </c>
      <c r="E29" s="19">
        <v>2500</v>
      </c>
      <c r="F29" s="19">
        <v>2500</v>
      </c>
    </row>
    <row r="30" spans="1:10" ht="15.75" thickBot="1" x14ac:dyDescent="0.3">
      <c r="A30" s="12">
        <v>223</v>
      </c>
      <c r="B30" s="13" t="s">
        <v>28</v>
      </c>
      <c r="C30" s="26">
        <v>100</v>
      </c>
      <c r="D30" s="26">
        <v>100</v>
      </c>
      <c r="E30" s="26">
        <v>100</v>
      </c>
      <c r="F30" s="26">
        <v>100</v>
      </c>
      <c r="G30" s="171">
        <f>SUM(D20:D30)</f>
        <v>126850</v>
      </c>
      <c r="H30" s="171">
        <f>SUM(D18:D30)</f>
        <v>137850</v>
      </c>
      <c r="I30" s="171"/>
      <c r="J30" s="171"/>
    </row>
    <row r="31" spans="1:10" ht="15.75" thickBot="1" x14ac:dyDescent="0.3">
      <c r="A31" s="183" t="s">
        <v>29</v>
      </c>
      <c r="B31" s="184"/>
      <c r="C31" s="1">
        <f t="shared" ref="C31" si="2">SUM(C32)</f>
        <v>600</v>
      </c>
      <c r="D31" s="1">
        <f t="shared" ref="D31:F31" si="3">SUM(D32)</f>
        <v>600</v>
      </c>
      <c r="E31" s="1">
        <f t="shared" si="3"/>
        <v>600</v>
      </c>
      <c r="F31" s="1">
        <f t="shared" si="3"/>
        <v>600</v>
      </c>
    </row>
    <row r="32" spans="1:10" ht="15.75" thickBot="1" x14ac:dyDescent="0.3">
      <c r="A32" s="27">
        <v>240</v>
      </c>
      <c r="B32" s="28" t="s">
        <v>30</v>
      </c>
      <c r="C32" s="23">
        <f>200+200+200</f>
        <v>600</v>
      </c>
      <c r="D32" s="23">
        <v>600</v>
      </c>
      <c r="E32" s="23">
        <f>200+200+200</f>
        <v>600</v>
      </c>
      <c r="F32" s="23">
        <f>200+200+200</f>
        <v>600</v>
      </c>
    </row>
    <row r="33" spans="1:7" ht="15.75" thickBot="1" x14ac:dyDescent="0.3">
      <c r="A33" s="183" t="s">
        <v>31</v>
      </c>
      <c r="B33" s="184"/>
      <c r="C33" s="1">
        <f>SUM(C34:C39)</f>
        <v>42833</v>
      </c>
      <c r="D33" s="1">
        <f t="shared" ref="D33:F33" si="4">SUM(D34:D39)</f>
        <v>39730</v>
      </c>
      <c r="E33" s="1">
        <f t="shared" si="4"/>
        <v>39730</v>
      </c>
      <c r="F33" s="1">
        <f t="shared" si="4"/>
        <v>39730</v>
      </c>
    </row>
    <row r="34" spans="1:7" x14ac:dyDescent="0.25">
      <c r="A34" s="29">
        <v>292</v>
      </c>
      <c r="B34" s="30" t="s">
        <v>32</v>
      </c>
      <c r="C34" s="31">
        <v>200</v>
      </c>
      <c r="D34" s="31">
        <v>200</v>
      </c>
      <c r="E34" s="31">
        <v>200</v>
      </c>
      <c r="F34" s="31">
        <v>200</v>
      </c>
    </row>
    <row r="35" spans="1:7" x14ac:dyDescent="0.25">
      <c r="A35" s="29">
        <v>292</v>
      </c>
      <c r="B35" s="30" t="s">
        <v>33</v>
      </c>
      <c r="C35" s="31">
        <v>300</v>
      </c>
      <c r="D35" s="31">
        <v>300</v>
      </c>
      <c r="E35" s="31">
        <v>300</v>
      </c>
      <c r="F35" s="31">
        <v>300</v>
      </c>
    </row>
    <row r="36" spans="1:7" x14ac:dyDescent="0.25">
      <c r="A36" s="32">
        <v>292</v>
      </c>
      <c r="B36" s="33" t="s">
        <v>34</v>
      </c>
      <c r="C36" s="34">
        <f>700+700+100+15500</f>
        <v>17000</v>
      </c>
      <c r="D36" s="34">
        <v>15000</v>
      </c>
      <c r="E36" s="34">
        <v>15000</v>
      </c>
      <c r="F36" s="34">
        <v>15000</v>
      </c>
    </row>
    <row r="37" spans="1:7" x14ac:dyDescent="0.25">
      <c r="A37" s="32">
        <v>292</v>
      </c>
      <c r="B37" s="10" t="s">
        <v>35</v>
      </c>
      <c r="C37" s="35">
        <f>200+33</f>
        <v>233</v>
      </c>
      <c r="D37" s="35">
        <v>230</v>
      </c>
      <c r="E37" s="35">
        <v>230</v>
      </c>
      <c r="F37" s="35">
        <v>230</v>
      </c>
    </row>
    <row r="38" spans="1:7" x14ac:dyDescent="0.25">
      <c r="A38" s="32">
        <v>292</v>
      </c>
      <c r="B38" s="33" t="s">
        <v>36</v>
      </c>
      <c r="C38" s="34">
        <f>11300+2300+3800+2000+1400+1200+100</f>
        <v>22100</v>
      </c>
      <c r="D38" s="34">
        <v>21000</v>
      </c>
      <c r="E38" s="34">
        <v>21000</v>
      </c>
      <c r="F38" s="34">
        <v>21000</v>
      </c>
    </row>
    <row r="39" spans="1:7" ht="15.75" thickBot="1" x14ac:dyDescent="0.3">
      <c r="A39" s="32">
        <v>292</v>
      </c>
      <c r="B39" s="33" t="s">
        <v>37</v>
      </c>
      <c r="C39" s="34">
        <v>3000</v>
      </c>
      <c r="D39" s="34">
        <v>3000</v>
      </c>
      <c r="E39" s="34">
        <v>3000</v>
      </c>
      <c r="F39" s="34">
        <v>3000</v>
      </c>
      <c r="G39" s="171"/>
    </row>
    <row r="40" spans="1:7" ht="15.75" thickBot="1" x14ac:dyDescent="0.3">
      <c r="A40" s="36" t="s">
        <v>38</v>
      </c>
      <c r="B40" s="37"/>
      <c r="C40" s="1">
        <f t="shared" ref="C40:F40" si="5">SUM(C41:C55)</f>
        <v>542587</v>
      </c>
      <c r="D40" s="1">
        <f t="shared" si="5"/>
        <v>548960</v>
      </c>
      <c r="E40" s="1">
        <f t="shared" si="5"/>
        <v>532960</v>
      </c>
      <c r="F40" s="1">
        <f t="shared" si="5"/>
        <v>531960</v>
      </c>
    </row>
    <row r="41" spans="1:7" x14ac:dyDescent="0.25">
      <c r="A41" s="38">
        <v>312</v>
      </c>
      <c r="B41" s="39" t="s">
        <v>39</v>
      </c>
      <c r="C41" s="40">
        <v>3000</v>
      </c>
      <c r="D41" s="40">
        <v>3500</v>
      </c>
      <c r="E41" s="40">
        <v>6000</v>
      </c>
      <c r="F41" s="40">
        <v>5000</v>
      </c>
    </row>
    <row r="42" spans="1:7" x14ac:dyDescent="0.25">
      <c r="A42" s="41">
        <v>312</v>
      </c>
      <c r="B42" s="10" t="s">
        <v>40</v>
      </c>
      <c r="C42" s="18">
        <v>7200</v>
      </c>
      <c r="D42" s="18">
        <v>7200</v>
      </c>
      <c r="E42" s="18">
        <v>7200</v>
      </c>
      <c r="F42" s="18">
        <v>7200</v>
      </c>
    </row>
    <row r="43" spans="1:7" x14ac:dyDescent="0.25">
      <c r="A43" s="41">
        <v>312</v>
      </c>
      <c r="B43" s="10" t="s">
        <v>41</v>
      </c>
      <c r="C43" s="18">
        <f>1100+1000+1100+1210</f>
        <v>4410</v>
      </c>
      <c r="D43" s="18">
        <v>3000</v>
      </c>
      <c r="E43" s="18">
        <v>0</v>
      </c>
      <c r="F43" s="18">
        <v>0</v>
      </c>
    </row>
    <row r="44" spans="1:7" x14ac:dyDescent="0.25">
      <c r="A44" s="41">
        <v>312</v>
      </c>
      <c r="B44" s="42" t="s">
        <v>200</v>
      </c>
      <c r="C44" s="43">
        <f t="shared" ref="C44" si="6">12500+48500</f>
        <v>61000</v>
      </c>
      <c r="D44" s="43">
        <v>61000</v>
      </c>
      <c r="E44" s="43">
        <v>61000</v>
      </c>
      <c r="F44" s="43">
        <v>61000</v>
      </c>
    </row>
    <row r="45" spans="1:7" x14ac:dyDescent="0.25">
      <c r="A45" s="41">
        <v>312</v>
      </c>
      <c r="B45" s="42" t="s">
        <v>42</v>
      </c>
      <c r="C45" s="18">
        <f>10000+800</f>
        <v>10800</v>
      </c>
      <c r="D45" s="18">
        <v>12800</v>
      </c>
      <c r="E45" s="18">
        <v>12800</v>
      </c>
      <c r="F45" s="18">
        <v>12800</v>
      </c>
    </row>
    <row r="46" spans="1:7" x14ac:dyDescent="0.25">
      <c r="A46" s="41">
        <v>312</v>
      </c>
      <c r="B46" s="42" t="s">
        <v>43</v>
      </c>
      <c r="C46" s="18">
        <f>16500+300</f>
        <v>16800</v>
      </c>
      <c r="D46" s="18">
        <v>21800</v>
      </c>
      <c r="E46" s="18">
        <v>21800</v>
      </c>
      <c r="F46" s="18">
        <v>21800</v>
      </c>
    </row>
    <row r="47" spans="1:7" x14ac:dyDescent="0.25">
      <c r="A47" s="41">
        <v>312</v>
      </c>
      <c r="B47" s="42" t="s">
        <v>44</v>
      </c>
      <c r="C47" s="18">
        <v>7700</v>
      </c>
      <c r="D47" s="18">
        <v>7700</v>
      </c>
      <c r="E47" s="18">
        <v>7700</v>
      </c>
      <c r="F47" s="18">
        <v>7700</v>
      </c>
    </row>
    <row r="48" spans="1:7" x14ac:dyDescent="0.25">
      <c r="A48" s="41">
        <v>312</v>
      </c>
      <c r="B48" s="42" t="s">
        <v>45</v>
      </c>
      <c r="C48" s="18">
        <v>1870</v>
      </c>
      <c r="D48" s="18"/>
      <c r="E48" s="18"/>
      <c r="F48" s="18"/>
    </row>
    <row r="49" spans="1:10" x14ac:dyDescent="0.25">
      <c r="A49" s="41">
        <v>312</v>
      </c>
      <c r="B49" s="42" t="s">
        <v>46</v>
      </c>
      <c r="C49" s="18">
        <v>15500</v>
      </c>
      <c r="D49" s="18">
        <v>15500</v>
      </c>
      <c r="E49" s="18"/>
      <c r="F49" s="18"/>
    </row>
    <row r="50" spans="1:10" x14ac:dyDescent="0.25">
      <c r="A50" s="41">
        <v>312</v>
      </c>
      <c r="B50" s="42" t="s">
        <v>47</v>
      </c>
      <c r="C50" s="18">
        <v>700</v>
      </c>
      <c r="D50" s="18">
        <v>700</v>
      </c>
      <c r="E50" s="18">
        <v>700</v>
      </c>
      <c r="F50" s="18">
        <v>700</v>
      </c>
    </row>
    <row r="51" spans="1:10" x14ac:dyDescent="0.25">
      <c r="A51" s="44">
        <v>312</v>
      </c>
      <c r="B51" s="39" t="s">
        <v>48</v>
      </c>
      <c r="C51" s="45">
        <v>5500</v>
      </c>
      <c r="D51" s="45"/>
      <c r="E51" s="45"/>
      <c r="F51" s="45"/>
    </row>
    <row r="52" spans="1:10" x14ac:dyDescent="0.25">
      <c r="A52" s="46">
        <v>312</v>
      </c>
      <c r="B52" s="10" t="s">
        <v>49</v>
      </c>
      <c r="C52" s="19">
        <f t="shared" ref="C52" si="7">3900+220</f>
        <v>4120</v>
      </c>
      <c r="D52" s="19">
        <f t="shared" ref="D52:F52" si="8">3900+220</f>
        <v>4120</v>
      </c>
      <c r="E52" s="19">
        <f t="shared" si="8"/>
        <v>4120</v>
      </c>
      <c r="F52" s="19">
        <f t="shared" si="8"/>
        <v>4120</v>
      </c>
    </row>
    <row r="53" spans="1:10" x14ac:dyDescent="0.25">
      <c r="A53" s="46">
        <v>312</v>
      </c>
      <c r="B53" s="47" t="s">
        <v>50</v>
      </c>
      <c r="C53" s="20">
        <v>3000</v>
      </c>
      <c r="D53" s="20">
        <v>3000</v>
      </c>
      <c r="E53" s="20">
        <v>3000</v>
      </c>
      <c r="F53" s="20">
        <v>3000</v>
      </c>
    </row>
    <row r="54" spans="1:10" x14ac:dyDescent="0.25">
      <c r="A54" s="46">
        <v>312</v>
      </c>
      <c r="B54" s="48" t="s">
        <v>51</v>
      </c>
      <c r="C54" s="20">
        <f>2000+279</f>
        <v>2279</v>
      </c>
      <c r="D54" s="20">
        <v>2200</v>
      </c>
      <c r="E54" s="20">
        <v>2200</v>
      </c>
      <c r="F54" s="20">
        <v>2200</v>
      </c>
    </row>
    <row r="55" spans="1:10" ht="15.75" thickBot="1" x14ac:dyDescent="0.3">
      <c r="A55" s="49">
        <v>312</v>
      </c>
      <c r="B55" s="50" t="s">
        <v>52</v>
      </c>
      <c r="C55" s="51">
        <f>384300+7465-5786+5680+2094+4611+344</f>
        <v>398708</v>
      </c>
      <c r="D55" s="51">
        <v>406440</v>
      </c>
      <c r="E55" s="51">
        <v>406440</v>
      </c>
      <c r="F55" s="51">
        <v>406440</v>
      </c>
    </row>
    <row r="56" spans="1:10" ht="18.75" customHeight="1" thickBot="1" x14ac:dyDescent="0.3">
      <c r="A56" s="52" t="s">
        <v>53</v>
      </c>
      <c r="B56" s="53"/>
      <c r="C56" s="54">
        <f>SUM(C4+C12+C31+C33+C40)</f>
        <v>1661850</v>
      </c>
      <c r="D56" s="54">
        <f t="shared" ref="D56:F56" si="9">SUM(D4+D12+D31+D33+D40)</f>
        <v>1758540</v>
      </c>
      <c r="E56" s="54">
        <f t="shared" si="9"/>
        <v>1762040</v>
      </c>
      <c r="F56" s="54">
        <f t="shared" si="9"/>
        <v>1751040</v>
      </c>
      <c r="G56" s="171"/>
      <c r="H56" s="171"/>
      <c r="I56" s="171"/>
    </row>
    <row r="57" spans="1:10" ht="16.5" thickBot="1" x14ac:dyDescent="0.3">
      <c r="A57" s="55" t="s">
        <v>54</v>
      </c>
      <c r="B57" s="56" t="s">
        <v>55</v>
      </c>
      <c r="C57" s="57">
        <f>1500+1800</f>
        <v>3300</v>
      </c>
      <c r="D57" s="57">
        <v>3000</v>
      </c>
      <c r="E57" s="57">
        <v>3000</v>
      </c>
      <c r="F57" s="57">
        <v>3000</v>
      </c>
    </row>
    <row r="58" spans="1:10" ht="19.5" customHeight="1" thickBot="1" x14ac:dyDescent="0.3">
      <c r="A58" s="52" t="s">
        <v>56</v>
      </c>
      <c r="B58" s="37"/>
      <c r="C58" s="54">
        <f t="shared" ref="C58:F58" si="10">SUM(C56:C57)</f>
        <v>1665150</v>
      </c>
      <c r="D58" s="54">
        <f t="shared" si="10"/>
        <v>1761540</v>
      </c>
      <c r="E58" s="54">
        <f t="shared" si="10"/>
        <v>1765040</v>
      </c>
      <c r="F58" s="54">
        <f t="shared" si="10"/>
        <v>1754040</v>
      </c>
    </row>
    <row r="59" spans="1:10" ht="15.75" x14ac:dyDescent="0.25">
      <c r="A59" s="58"/>
      <c r="B59" s="59"/>
      <c r="C59" s="59"/>
      <c r="D59" s="60"/>
      <c r="E59" s="60"/>
      <c r="F59" s="60"/>
      <c r="G59" s="60"/>
      <c r="H59" s="60"/>
      <c r="I59" s="60"/>
      <c r="J59" s="60"/>
    </row>
    <row r="60" spans="1:10" ht="16.5" thickBot="1" x14ac:dyDescent="0.3">
      <c r="A60" s="58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22.5" customHeight="1" thickBot="1" x14ac:dyDescent="0.3">
      <c r="A61" s="1021" t="s">
        <v>57</v>
      </c>
      <c r="B61" s="1022"/>
      <c r="C61" s="1022"/>
      <c r="D61" s="1022"/>
      <c r="E61" s="1022"/>
      <c r="F61" s="1023"/>
    </row>
    <row r="62" spans="1:10" ht="15" customHeight="1" x14ac:dyDescent="0.25">
      <c r="A62" s="992" t="s">
        <v>1</v>
      </c>
      <c r="B62" s="993"/>
      <c r="C62" s="996">
        <v>2016</v>
      </c>
      <c r="D62" s="996">
        <v>2017</v>
      </c>
      <c r="E62" s="996">
        <v>2018</v>
      </c>
      <c r="F62" s="996">
        <v>2019</v>
      </c>
    </row>
    <row r="63" spans="1:10" ht="15.75" thickBot="1" x14ac:dyDescent="0.3">
      <c r="A63" s="994"/>
      <c r="B63" s="995"/>
      <c r="C63" s="997"/>
      <c r="D63" s="997"/>
      <c r="E63" s="997"/>
      <c r="F63" s="997"/>
    </row>
    <row r="64" spans="1:10" ht="15.75" thickBot="1" x14ac:dyDescent="0.3">
      <c r="A64" s="61" t="s">
        <v>58</v>
      </c>
      <c r="B64" s="62"/>
      <c r="C64" s="63">
        <f t="shared" ref="C64" si="11">SUM(C65:C69)</f>
        <v>206920</v>
      </c>
      <c r="D64" s="63">
        <f t="shared" ref="D64:F64" si="12">SUM(D65:D69)</f>
        <v>188500</v>
      </c>
      <c r="E64" s="63">
        <f t="shared" si="12"/>
        <v>188600</v>
      </c>
      <c r="F64" s="63">
        <f t="shared" si="12"/>
        <v>187600</v>
      </c>
    </row>
    <row r="65" spans="1:6" x14ac:dyDescent="0.25">
      <c r="A65" s="64" t="s">
        <v>59</v>
      </c>
      <c r="B65" s="65" t="s">
        <v>60</v>
      </c>
      <c r="C65" s="66">
        <f>101580+500+1000+500+2320</f>
        <v>105900</v>
      </c>
      <c r="D65" s="66">
        <f>80000+16500</f>
        <v>96500</v>
      </c>
      <c r="E65" s="66">
        <f>77600+16500</f>
        <v>94100</v>
      </c>
      <c r="F65" s="66">
        <f>77600+16500</f>
        <v>94100</v>
      </c>
    </row>
    <row r="66" spans="1:6" x14ac:dyDescent="0.25">
      <c r="A66" s="67" t="s">
        <v>61</v>
      </c>
      <c r="B66" s="42" t="s">
        <v>209</v>
      </c>
      <c r="C66" s="68">
        <f>50110-200-500-500</f>
        <v>48910</v>
      </c>
      <c r="D66" s="68">
        <f>7100+10600+32300</f>
        <v>50000</v>
      </c>
      <c r="E66" s="68">
        <f t="shared" ref="E66:F66" si="13">7100+10600+32300</f>
        <v>50000</v>
      </c>
      <c r="F66" s="68">
        <f t="shared" si="13"/>
        <v>50000</v>
      </c>
    </row>
    <row r="67" spans="1:6" x14ac:dyDescent="0.25">
      <c r="A67" s="67" t="s">
        <v>62</v>
      </c>
      <c r="B67" s="42" t="s">
        <v>208</v>
      </c>
      <c r="C67" s="68">
        <f>1000+1000</f>
        <v>2000</v>
      </c>
      <c r="D67" s="68">
        <v>2000</v>
      </c>
      <c r="E67" s="68">
        <f>1000+1000</f>
        <v>2000</v>
      </c>
      <c r="F67" s="68">
        <f>1000+1000</f>
        <v>2000</v>
      </c>
    </row>
    <row r="68" spans="1:6" x14ac:dyDescent="0.25">
      <c r="A68" s="69" t="s">
        <v>63</v>
      </c>
      <c r="B68" s="42" t="s">
        <v>64</v>
      </c>
      <c r="C68" s="68">
        <f>45860+220+500+300+230</f>
        <v>47110</v>
      </c>
      <c r="D68" s="34">
        <f>3000+900+220+32380</f>
        <v>36500</v>
      </c>
      <c r="E68" s="34">
        <f t="shared" ref="E68:F68" si="14">3000+900+220+32380</f>
        <v>36500</v>
      </c>
      <c r="F68" s="34">
        <f t="shared" si="14"/>
        <v>36500</v>
      </c>
    </row>
    <row r="69" spans="1:6" ht="15.75" thickBot="1" x14ac:dyDescent="0.3">
      <c r="A69" s="70" t="s">
        <v>65</v>
      </c>
      <c r="B69" s="3" t="s">
        <v>66</v>
      </c>
      <c r="C69" s="71">
        <v>3000</v>
      </c>
      <c r="D69" s="71">
        <v>3500</v>
      </c>
      <c r="E69" s="71">
        <v>6000</v>
      </c>
      <c r="F69" s="71">
        <v>5000</v>
      </c>
    </row>
    <row r="70" spans="1:6" ht="15.75" thickBot="1" x14ac:dyDescent="0.3">
      <c r="A70" s="72" t="s">
        <v>67</v>
      </c>
      <c r="B70" s="73"/>
      <c r="C70" s="63">
        <f t="shared" ref="C70" si="15">SUM(C71)</f>
        <v>1453</v>
      </c>
      <c r="D70" s="63">
        <f t="shared" ref="D70:F70" si="16">SUM(D71)</f>
        <v>1500</v>
      </c>
      <c r="E70" s="63">
        <f t="shared" si="16"/>
        <v>1500</v>
      </c>
      <c r="F70" s="63">
        <f t="shared" si="16"/>
        <v>1500</v>
      </c>
    </row>
    <row r="71" spans="1:6" ht="15.75" thickBot="1" x14ac:dyDescent="0.3">
      <c r="A71" s="74" t="s">
        <v>68</v>
      </c>
      <c r="B71" s="59" t="s">
        <v>69</v>
      </c>
      <c r="C71" s="75">
        <f>1420+33</f>
        <v>1453</v>
      </c>
      <c r="D71" s="75">
        <v>1500</v>
      </c>
      <c r="E71" s="75">
        <v>1500</v>
      </c>
      <c r="F71" s="75">
        <v>1500</v>
      </c>
    </row>
    <row r="72" spans="1:6" ht="15.75" thickBot="1" x14ac:dyDescent="0.3">
      <c r="A72" s="72" t="s">
        <v>70</v>
      </c>
      <c r="B72" s="73"/>
      <c r="C72" s="63">
        <f t="shared" ref="C72" si="17">SUM(C73:C74)</f>
        <v>11500</v>
      </c>
      <c r="D72" s="63">
        <f t="shared" ref="D72:F72" si="18">SUM(D73:D74)</f>
        <v>10900</v>
      </c>
      <c r="E72" s="63">
        <f t="shared" si="18"/>
        <v>10900</v>
      </c>
      <c r="F72" s="63">
        <f t="shared" si="18"/>
        <v>10900</v>
      </c>
    </row>
    <row r="73" spans="1:6" x14ac:dyDescent="0.25">
      <c r="A73" s="76" t="s">
        <v>71</v>
      </c>
      <c r="B73" s="77" t="s">
        <v>72</v>
      </c>
      <c r="C73" s="78">
        <f>8800+400+700+1000</f>
        <v>10900</v>
      </c>
      <c r="D73" s="78">
        <v>10600</v>
      </c>
      <c r="E73" s="78">
        <v>10600</v>
      </c>
      <c r="F73" s="78">
        <v>10600</v>
      </c>
    </row>
    <row r="74" spans="1:6" ht="15.75" thickBot="1" x14ac:dyDescent="0.3">
      <c r="A74" s="79" t="s">
        <v>73</v>
      </c>
      <c r="B74" s="80" t="s">
        <v>74</v>
      </c>
      <c r="C74" s="81">
        <f>300+300</f>
        <v>600</v>
      </c>
      <c r="D74" s="81">
        <v>300</v>
      </c>
      <c r="E74" s="81">
        <v>300</v>
      </c>
      <c r="F74" s="81">
        <v>300</v>
      </c>
    </row>
    <row r="75" spans="1:6" ht="15.75" thickBot="1" x14ac:dyDescent="0.3">
      <c r="A75" s="61" t="s">
        <v>75</v>
      </c>
      <c r="B75" s="82"/>
      <c r="C75" s="63">
        <f t="shared" ref="C75" si="19">SUM(C76:C79)</f>
        <v>44910</v>
      </c>
      <c r="D75" s="63">
        <f t="shared" ref="D75:F75" si="20">SUM(D76:D79)</f>
        <v>57000</v>
      </c>
      <c r="E75" s="63">
        <f t="shared" si="20"/>
        <v>56000</v>
      </c>
      <c r="F75" s="63">
        <f t="shared" si="20"/>
        <v>56000</v>
      </c>
    </row>
    <row r="76" spans="1:6" x14ac:dyDescent="0.25">
      <c r="A76" s="83" t="s">
        <v>76</v>
      </c>
      <c r="B76" s="30" t="s">
        <v>77</v>
      </c>
      <c r="C76" s="31">
        <f>12260+1400</f>
        <v>13660</v>
      </c>
      <c r="D76" s="31">
        <f>15900+1500+6000</f>
        <v>23400</v>
      </c>
      <c r="E76" s="31">
        <f>15900+1500+6000</f>
        <v>23400</v>
      </c>
      <c r="F76" s="31">
        <f>15900+1500+6000</f>
        <v>23400</v>
      </c>
    </row>
    <row r="77" spans="1:6" x14ac:dyDescent="0.25">
      <c r="A77" s="69" t="s">
        <v>78</v>
      </c>
      <c r="B77" s="42" t="s">
        <v>79</v>
      </c>
      <c r="C77" s="68">
        <v>17800</v>
      </c>
      <c r="D77" s="68">
        <v>18500</v>
      </c>
      <c r="E77" s="68">
        <v>18500</v>
      </c>
      <c r="F77" s="68">
        <v>18500</v>
      </c>
    </row>
    <row r="78" spans="1:6" x14ac:dyDescent="0.25">
      <c r="A78" s="69" t="s">
        <v>80</v>
      </c>
      <c r="B78" s="42" t="s">
        <v>81</v>
      </c>
      <c r="C78" s="34">
        <v>13250</v>
      </c>
      <c r="D78" s="34">
        <v>15000</v>
      </c>
      <c r="E78" s="34">
        <v>14000</v>
      </c>
      <c r="F78" s="34">
        <v>14000</v>
      </c>
    </row>
    <row r="79" spans="1:6" ht="15.75" thickBot="1" x14ac:dyDescent="0.3">
      <c r="A79" s="69" t="s">
        <v>82</v>
      </c>
      <c r="B79" s="42" t="s">
        <v>83</v>
      </c>
      <c r="C79" s="34">
        <v>200</v>
      </c>
      <c r="D79" s="34">
        <v>100</v>
      </c>
      <c r="E79" s="34">
        <v>100</v>
      </c>
      <c r="F79" s="34">
        <v>100</v>
      </c>
    </row>
    <row r="80" spans="1:6" ht="15.75" thickBot="1" x14ac:dyDescent="0.3">
      <c r="A80" s="1006" t="s">
        <v>84</v>
      </c>
      <c r="B80" s="1007"/>
      <c r="C80" s="63">
        <f t="shared" ref="C80" si="21">SUM(C81:C84)</f>
        <v>106302</v>
      </c>
      <c r="D80" s="63">
        <f t="shared" ref="D80:F80" si="22">SUM(D81:D84)</f>
        <v>88750</v>
      </c>
      <c r="E80" s="63">
        <f t="shared" si="22"/>
        <v>89750</v>
      </c>
      <c r="F80" s="63">
        <f t="shared" si="22"/>
        <v>87750</v>
      </c>
    </row>
    <row r="81" spans="1:7" x14ac:dyDescent="0.25">
      <c r="A81" s="84" t="s">
        <v>85</v>
      </c>
      <c r="B81" s="85" t="s">
        <v>86</v>
      </c>
      <c r="C81" s="86">
        <f>39000+3102+15500+4700</f>
        <v>62302</v>
      </c>
      <c r="D81" s="86">
        <f>25000+20000</f>
        <v>45000</v>
      </c>
      <c r="E81" s="86">
        <f t="shared" ref="E81:F81" si="23">25000+20000</f>
        <v>45000</v>
      </c>
      <c r="F81" s="86">
        <f t="shared" si="23"/>
        <v>45000</v>
      </c>
    </row>
    <row r="82" spans="1:7" x14ac:dyDescent="0.25">
      <c r="A82" s="69" t="s">
        <v>87</v>
      </c>
      <c r="B82" s="42" t="s">
        <v>88</v>
      </c>
      <c r="C82" s="68">
        <f>37400</f>
        <v>37400</v>
      </c>
      <c r="D82" s="68">
        <v>36000</v>
      </c>
      <c r="E82" s="68">
        <v>38000</v>
      </c>
      <c r="F82" s="68">
        <v>36000</v>
      </c>
    </row>
    <row r="83" spans="1:7" x14ac:dyDescent="0.25">
      <c r="A83" s="74" t="s">
        <v>89</v>
      </c>
      <c r="B83" s="87" t="s">
        <v>90</v>
      </c>
      <c r="C83" s="88">
        <v>830</v>
      </c>
      <c r="D83" s="88">
        <v>950</v>
      </c>
      <c r="E83" s="88">
        <v>950</v>
      </c>
      <c r="F83" s="88">
        <v>950</v>
      </c>
    </row>
    <row r="84" spans="1:7" ht="15.75" thickBot="1" x14ac:dyDescent="0.3">
      <c r="A84" s="89" t="s">
        <v>91</v>
      </c>
      <c r="B84" s="90" t="s">
        <v>204</v>
      </c>
      <c r="C84" s="91">
        <f>5270+500</f>
        <v>5770</v>
      </c>
      <c r="D84" s="91">
        <f>5700+1000+100</f>
        <v>6800</v>
      </c>
      <c r="E84" s="91">
        <f>4700+1000+100</f>
        <v>5800</v>
      </c>
      <c r="F84" s="91">
        <f>4700+1000+100</f>
        <v>5800</v>
      </c>
      <c r="G84" s="171"/>
    </row>
    <row r="85" spans="1:7" ht="15.75" thickBot="1" x14ac:dyDescent="0.3">
      <c r="A85" s="61" t="s">
        <v>92</v>
      </c>
      <c r="B85" s="82"/>
      <c r="C85" s="63">
        <f t="shared" ref="C85" si="24">SUM(C86:C88)</f>
        <v>153942</v>
      </c>
      <c r="D85" s="63">
        <f t="shared" ref="D85:F85" si="25">SUM(D86:D88)</f>
        <v>144000</v>
      </c>
      <c r="E85" s="63">
        <f t="shared" si="25"/>
        <v>139000</v>
      </c>
      <c r="F85" s="63">
        <f t="shared" si="25"/>
        <v>139000</v>
      </c>
    </row>
    <row r="86" spans="1:7" x14ac:dyDescent="0.25">
      <c r="A86" s="83" t="s">
        <v>93</v>
      </c>
      <c r="B86" s="65" t="s">
        <v>94</v>
      </c>
      <c r="C86" s="92">
        <f>101402+1800+1480+11880</f>
        <v>116562</v>
      </c>
      <c r="D86" s="92">
        <v>108000</v>
      </c>
      <c r="E86" s="92">
        <v>104000</v>
      </c>
      <c r="F86" s="92">
        <v>104000</v>
      </c>
    </row>
    <row r="87" spans="1:7" x14ac:dyDescent="0.25">
      <c r="A87" s="93" t="s">
        <v>95</v>
      </c>
      <c r="B87" s="42" t="s">
        <v>96</v>
      </c>
      <c r="C87" s="94">
        <f>17300+1300+300</f>
        <v>18900</v>
      </c>
      <c r="D87" s="94">
        <v>19000</v>
      </c>
      <c r="E87" s="94">
        <v>19000</v>
      </c>
      <c r="F87" s="94">
        <v>19000</v>
      </c>
    </row>
    <row r="88" spans="1:7" ht="15.75" thickBot="1" x14ac:dyDescent="0.3">
      <c r="A88" s="95" t="s">
        <v>97</v>
      </c>
      <c r="B88" s="90" t="s">
        <v>98</v>
      </c>
      <c r="C88" s="96">
        <v>18480</v>
      </c>
      <c r="D88" s="209">
        <f>2000+14000+400+600</f>
        <v>17000</v>
      </c>
      <c r="E88" s="96">
        <f>1000+14000+400+600</f>
        <v>16000</v>
      </c>
      <c r="F88" s="96">
        <f>1000+14000+400+600</f>
        <v>16000</v>
      </c>
    </row>
    <row r="89" spans="1:7" ht="15.75" thickBot="1" x14ac:dyDescent="0.3">
      <c r="A89" s="97" t="s">
        <v>99</v>
      </c>
      <c r="B89" s="98"/>
      <c r="C89" s="99">
        <f t="shared" ref="C89" si="26">SUM(C90:C92)</f>
        <v>1940</v>
      </c>
      <c r="D89" s="99">
        <f t="shared" ref="D89:F89" si="27">SUM(D90:D92)</f>
        <v>450</v>
      </c>
      <c r="E89" s="99">
        <f t="shared" si="27"/>
        <v>350</v>
      </c>
      <c r="F89" s="99">
        <f t="shared" si="27"/>
        <v>350</v>
      </c>
    </row>
    <row r="90" spans="1:7" x14ac:dyDescent="0.25">
      <c r="A90" s="76" t="s">
        <v>100</v>
      </c>
      <c r="B90" s="85" t="s">
        <v>101</v>
      </c>
      <c r="C90" s="100">
        <v>100</v>
      </c>
      <c r="D90" s="100">
        <v>50</v>
      </c>
      <c r="E90" s="100">
        <v>50</v>
      </c>
      <c r="F90" s="100">
        <v>50</v>
      </c>
    </row>
    <row r="91" spans="1:7" x14ac:dyDescent="0.25">
      <c r="A91" s="93" t="s">
        <v>102</v>
      </c>
      <c r="B91" s="42" t="s">
        <v>103</v>
      </c>
      <c r="C91" s="94">
        <v>100</v>
      </c>
      <c r="D91" s="94">
        <v>50</v>
      </c>
      <c r="E91" s="94">
        <v>50</v>
      </c>
      <c r="F91" s="94">
        <v>50</v>
      </c>
    </row>
    <row r="92" spans="1:7" ht="15.75" thickBot="1" x14ac:dyDescent="0.3">
      <c r="A92" s="95" t="s">
        <v>104</v>
      </c>
      <c r="B92" s="90" t="s">
        <v>105</v>
      </c>
      <c r="C92" s="96">
        <f>1340+200+200</f>
        <v>1740</v>
      </c>
      <c r="D92" s="96">
        <v>350</v>
      </c>
      <c r="E92" s="96">
        <v>250</v>
      </c>
      <c r="F92" s="96">
        <v>250</v>
      </c>
    </row>
    <row r="93" spans="1:7" ht="15.75" thickBot="1" x14ac:dyDescent="0.3">
      <c r="A93" s="101" t="s">
        <v>106</v>
      </c>
      <c r="B93" s="102"/>
      <c r="C93" s="103">
        <f t="shared" ref="C93" si="28">SUM(C94:C98)</f>
        <v>118366</v>
      </c>
      <c r="D93" s="103">
        <f t="shared" ref="D93:F93" si="29">SUM(D94:D98)</f>
        <v>108100</v>
      </c>
      <c r="E93" s="103">
        <f t="shared" si="29"/>
        <v>106100</v>
      </c>
      <c r="F93" s="103">
        <f t="shared" si="29"/>
        <v>106100</v>
      </c>
    </row>
    <row r="94" spans="1:7" x14ac:dyDescent="0.25">
      <c r="A94" s="84" t="s">
        <v>107</v>
      </c>
      <c r="B94" s="85" t="s">
        <v>108</v>
      </c>
      <c r="C94" s="86">
        <v>16600</v>
      </c>
      <c r="D94" s="86">
        <f>9300+7300</f>
        <v>16600</v>
      </c>
      <c r="E94" s="86">
        <f t="shared" ref="E94:F94" si="30">9300+7300</f>
        <v>16600</v>
      </c>
      <c r="F94" s="86">
        <f t="shared" si="30"/>
        <v>16600</v>
      </c>
    </row>
    <row r="95" spans="1:7" x14ac:dyDescent="0.25">
      <c r="A95" s="104" t="s">
        <v>109</v>
      </c>
      <c r="B95" s="105" t="s">
        <v>110</v>
      </c>
      <c r="C95" s="31">
        <f>58400+1422+948+230+2866+5500+3200+200</f>
        <v>72766</v>
      </c>
      <c r="D95" s="31">
        <f>12600+1800+2000+48600</f>
        <v>65000</v>
      </c>
      <c r="E95" s="31">
        <f t="shared" ref="E95:F95" si="31">12600+1800+2000+48600</f>
        <v>65000</v>
      </c>
      <c r="F95" s="31">
        <f t="shared" si="31"/>
        <v>65000</v>
      </c>
    </row>
    <row r="96" spans="1:7" x14ac:dyDescent="0.25">
      <c r="A96" s="104" t="s">
        <v>111</v>
      </c>
      <c r="B96" s="65" t="s">
        <v>112</v>
      </c>
      <c r="C96" s="66">
        <v>3500</v>
      </c>
      <c r="D96" s="66">
        <f>2800+700</f>
        <v>3500</v>
      </c>
      <c r="E96" s="66">
        <f t="shared" ref="E96:F96" si="32">2800+700</f>
        <v>3500</v>
      </c>
      <c r="F96" s="66">
        <f t="shared" si="32"/>
        <v>3500</v>
      </c>
    </row>
    <row r="97" spans="1:7" x14ac:dyDescent="0.25">
      <c r="A97" s="104" t="s">
        <v>113</v>
      </c>
      <c r="B97" s="65" t="s">
        <v>114</v>
      </c>
      <c r="C97" s="66">
        <v>10600</v>
      </c>
      <c r="D97" s="66">
        <f>7400+3000+2600</f>
        <v>13000</v>
      </c>
      <c r="E97" s="66">
        <f>5400+3000+2600</f>
        <v>11000</v>
      </c>
      <c r="F97" s="66">
        <f>5400+3000+2600</f>
        <v>11000</v>
      </c>
    </row>
    <row r="98" spans="1:7" ht="15.75" thickBot="1" x14ac:dyDescent="0.3">
      <c r="A98" s="89" t="s">
        <v>115</v>
      </c>
      <c r="B98" s="90" t="s">
        <v>203</v>
      </c>
      <c r="C98" s="91">
        <f>8200+2000+700+4000</f>
        <v>14900</v>
      </c>
      <c r="D98" s="91">
        <v>10000</v>
      </c>
      <c r="E98" s="91">
        <v>10000</v>
      </c>
      <c r="F98" s="91">
        <v>10000</v>
      </c>
    </row>
    <row r="99" spans="1:7" ht="15.75" thickBot="1" x14ac:dyDescent="0.3">
      <c r="A99" s="72" t="s">
        <v>116</v>
      </c>
      <c r="B99" s="73"/>
      <c r="C99" s="63">
        <f t="shared" ref="C99" si="33">SUM(C100:C106)</f>
        <v>359199</v>
      </c>
      <c r="D99" s="63">
        <f t="shared" ref="D99:F99" si="34">SUM(D100:D106)</f>
        <v>384700</v>
      </c>
      <c r="E99" s="63">
        <f t="shared" si="34"/>
        <v>379300</v>
      </c>
      <c r="F99" s="63">
        <f t="shared" si="34"/>
        <v>379300</v>
      </c>
    </row>
    <row r="100" spans="1:7" x14ac:dyDescent="0.25">
      <c r="A100" s="106" t="s">
        <v>117</v>
      </c>
      <c r="B100" s="107" t="s">
        <v>118</v>
      </c>
      <c r="C100" s="78">
        <f>118530+279</f>
        <v>118809</v>
      </c>
      <c r="D100" s="78">
        <v>118000</v>
      </c>
      <c r="E100" s="78">
        <v>114000</v>
      </c>
      <c r="F100" s="78">
        <v>114000</v>
      </c>
    </row>
    <row r="101" spans="1:7" x14ac:dyDescent="0.25">
      <c r="A101" s="108" t="s">
        <v>119</v>
      </c>
      <c r="B101" s="33" t="s">
        <v>187</v>
      </c>
      <c r="C101" s="34">
        <f>148380+200+500+10000</f>
        <v>159080</v>
      </c>
      <c r="D101" s="34">
        <f>177000+2600</f>
        <v>179600</v>
      </c>
      <c r="E101" s="34">
        <f t="shared" ref="E101:F101" si="35">177000+2600</f>
        <v>179600</v>
      </c>
      <c r="F101" s="34">
        <f t="shared" si="35"/>
        <v>179600</v>
      </c>
      <c r="G101" s="207"/>
    </row>
    <row r="102" spans="1:7" x14ac:dyDescent="0.25">
      <c r="A102" s="108" t="s">
        <v>120</v>
      </c>
      <c r="B102" s="33" t="s">
        <v>121</v>
      </c>
      <c r="C102" s="34">
        <f t="shared" ref="C102" si="36">11900-450</f>
        <v>11450</v>
      </c>
      <c r="D102" s="34">
        <v>11800</v>
      </c>
      <c r="E102" s="34">
        <v>11800</v>
      </c>
      <c r="F102" s="34">
        <v>11800</v>
      </c>
    </row>
    <row r="103" spans="1:7" x14ac:dyDescent="0.25">
      <c r="A103" s="108" t="s">
        <v>122</v>
      </c>
      <c r="B103" s="33" t="s">
        <v>123</v>
      </c>
      <c r="C103" s="34">
        <f t="shared" ref="C103:C104" si="37">17540-550</f>
        <v>16990</v>
      </c>
      <c r="D103" s="34">
        <v>17200</v>
      </c>
      <c r="E103" s="34">
        <v>17200</v>
      </c>
      <c r="F103" s="34">
        <v>17200</v>
      </c>
    </row>
    <row r="104" spans="1:7" x14ac:dyDescent="0.25">
      <c r="A104" s="108" t="s">
        <v>124</v>
      </c>
      <c r="B104" s="33" t="s">
        <v>125</v>
      </c>
      <c r="C104" s="34">
        <f t="shared" si="37"/>
        <v>16990</v>
      </c>
      <c r="D104" s="34">
        <v>17200</v>
      </c>
      <c r="E104" s="34">
        <v>17200</v>
      </c>
      <c r="F104" s="34">
        <v>17200</v>
      </c>
    </row>
    <row r="105" spans="1:7" x14ac:dyDescent="0.25">
      <c r="A105" s="109" t="s">
        <v>126</v>
      </c>
      <c r="B105" s="33" t="s">
        <v>127</v>
      </c>
      <c r="C105" s="110">
        <f>33460-450+400</f>
        <v>33410</v>
      </c>
      <c r="D105" s="110">
        <f>11800+4400+21800+300</f>
        <v>38300</v>
      </c>
      <c r="E105" s="110">
        <f>11800+3000+21800+300</f>
        <v>36900</v>
      </c>
      <c r="F105" s="110">
        <f>11800+3000+21800+300</f>
        <v>36900</v>
      </c>
      <c r="G105" s="171">
        <f>SUM(D102:D105)-21800-300</f>
        <v>62400</v>
      </c>
    </row>
    <row r="106" spans="1:7" ht="15.75" thickBot="1" x14ac:dyDescent="0.3">
      <c r="A106" s="108" t="s">
        <v>128</v>
      </c>
      <c r="B106" s="33" t="s">
        <v>129</v>
      </c>
      <c r="C106" s="110">
        <v>2470</v>
      </c>
      <c r="D106" s="110">
        <v>2600</v>
      </c>
      <c r="E106" s="110">
        <v>2600</v>
      </c>
      <c r="F106" s="110">
        <v>2600</v>
      </c>
    </row>
    <row r="107" spans="1:7" ht="15.75" thickBot="1" x14ac:dyDescent="0.3">
      <c r="A107" s="61" t="s">
        <v>130</v>
      </c>
      <c r="B107" s="62"/>
      <c r="C107" s="63">
        <f t="shared" ref="C107" si="38">SUM(C108:C112)</f>
        <v>203310</v>
      </c>
      <c r="D107" s="63">
        <f t="shared" ref="D107:F107" si="39">SUM(D108:D112)</f>
        <v>196800</v>
      </c>
      <c r="E107" s="63">
        <f t="shared" si="39"/>
        <v>193800</v>
      </c>
      <c r="F107" s="63">
        <f t="shared" si="39"/>
        <v>193800</v>
      </c>
    </row>
    <row r="108" spans="1:7" x14ac:dyDescent="0.25">
      <c r="A108" s="104" t="s">
        <v>131</v>
      </c>
      <c r="B108" s="65" t="s">
        <v>132</v>
      </c>
      <c r="C108" s="66">
        <f>104100+2000+4000</f>
        <v>110100</v>
      </c>
      <c r="D108" s="66">
        <f>100000+15600</f>
        <v>115600</v>
      </c>
      <c r="E108" s="66">
        <f t="shared" ref="E108:F108" si="40">100000+15600</f>
        <v>115600</v>
      </c>
      <c r="F108" s="66">
        <f t="shared" si="40"/>
        <v>115600</v>
      </c>
    </row>
    <row r="109" spans="1:7" x14ac:dyDescent="0.25">
      <c r="A109" s="104" t="s">
        <v>133</v>
      </c>
      <c r="B109" s="65" t="s">
        <v>201</v>
      </c>
      <c r="C109" s="66">
        <f>8300+2100+1210</f>
        <v>11610</v>
      </c>
      <c r="D109" s="66">
        <f>7200+3000</f>
        <v>10200</v>
      </c>
      <c r="E109" s="66">
        <v>7200</v>
      </c>
      <c r="F109" s="66">
        <v>7200</v>
      </c>
    </row>
    <row r="110" spans="1:7" x14ac:dyDescent="0.25">
      <c r="A110" s="69" t="s">
        <v>134</v>
      </c>
      <c r="B110" s="42" t="s">
        <v>202</v>
      </c>
      <c r="C110" s="68">
        <f>68100+7500+5000</f>
        <v>80600</v>
      </c>
      <c r="D110" s="68">
        <f>12000+49000+9000</f>
        <v>70000</v>
      </c>
      <c r="E110" s="68">
        <f t="shared" ref="E110:F110" si="41">12000+49000+9000</f>
        <v>70000</v>
      </c>
      <c r="F110" s="68">
        <f t="shared" si="41"/>
        <v>70000</v>
      </c>
    </row>
    <row r="111" spans="1:7" x14ac:dyDescent="0.25">
      <c r="A111" s="69" t="s">
        <v>135</v>
      </c>
      <c r="B111" s="42" t="s">
        <v>136</v>
      </c>
      <c r="C111" s="68">
        <v>500</v>
      </c>
      <c r="D111" s="68">
        <v>500</v>
      </c>
      <c r="E111" s="68">
        <v>500</v>
      </c>
      <c r="F111" s="68">
        <v>500</v>
      </c>
    </row>
    <row r="112" spans="1:7" ht="15.75" thickBot="1" x14ac:dyDescent="0.3">
      <c r="A112" s="89" t="s">
        <v>137</v>
      </c>
      <c r="B112" s="90" t="s">
        <v>138</v>
      </c>
      <c r="C112" s="91">
        <v>500</v>
      </c>
      <c r="D112" s="91">
        <v>500</v>
      </c>
      <c r="E112" s="91">
        <v>500</v>
      </c>
      <c r="F112" s="91">
        <v>500</v>
      </c>
    </row>
    <row r="113" spans="1:6" ht="16.5" thickBot="1" x14ac:dyDescent="0.3">
      <c r="A113" s="111" t="s">
        <v>139</v>
      </c>
      <c r="B113" s="98"/>
      <c r="C113" s="112">
        <f t="shared" ref="C113:F113" si="42">SUM(C64+C70+C72+C75+C80+C85+C89+C93+C99+C107)</f>
        <v>1207842</v>
      </c>
      <c r="D113" s="112">
        <f t="shared" si="42"/>
        <v>1180700</v>
      </c>
      <c r="E113" s="112">
        <f t="shared" si="42"/>
        <v>1165300</v>
      </c>
      <c r="F113" s="112">
        <f t="shared" si="42"/>
        <v>1162300</v>
      </c>
    </row>
    <row r="114" spans="1:6" x14ac:dyDescent="0.25">
      <c r="A114" s="181" t="s">
        <v>140</v>
      </c>
      <c r="B114" s="113" t="s">
        <v>141</v>
      </c>
      <c r="C114" s="114">
        <f t="shared" ref="C114" si="43">C55+C57</f>
        <v>402008</v>
      </c>
      <c r="D114" s="114">
        <f>D55+D57</f>
        <v>409440</v>
      </c>
      <c r="E114" s="114">
        <f t="shared" ref="E114:F114" si="44">E55+E57</f>
        <v>409440</v>
      </c>
      <c r="F114" s="114">
        <f t="shared" si="44"/>
        <v>409440</v>
      </c>
    </row>
    <row r="115" spans="1:6" x14ac:dyDescent="0.25">
      <c r="A115" s="180" t="s">
        <v>142</v>
      </c>
      <c r="B115" s="50" t="s">
        <v>143</v>
      </c>
      <c r="C115" s="115">
        <v>19000</v>
      </c>
      <c r="D115" s="115">
        <v>19000</v>
      </c>
      <c r="E115" s="115">
        <v>19000</v>
      </c>
      <c r="F115" s="115">
        <v>19000</v>
      </c>
    </row>
    <row r="116" spans="1:6" ht="15.75" thickBot="1" x14ac:dyDescent="0.3">
      <c r="A116" s="116" t="s">
        <v>144</v>
      </c>
      <c r="B116" s="117"/>
      <c r="C116" s="118">
        <f>SUM(C114:C115)</f>
        <v>421008</v>
      </c>
      <c r="D116" s="118">
        <f>SUM(D114:D115)</f>
        <v>428440</v>
      </c>
      <c r="E116" s="118">
        <f t="shared" ref="E116:F116" si="45">SUM(E114:E115)</f>
        <v>428440</v>
      </c>
      <c r="F116" s="118">
        <f t="shared" si="45"/>
        <v>428440</v>
      </c>
    </row>
    <row r="117" spans="1:6" ht="16.5" thickBot="1" x14ac:dyDescent="0.3">
      <c r="A117" s="119" t="s">
        <v>145</v>
      </c>
      <c r="B117" s="82"/>
      <c r="C117" s="120">
        <f>C113+C116</f>
        <v>1628850</v>
      </c>
      <c r="D117" s="120">
        <f>D113+D116</f>
        <v>1609140</v>
      </c>
      <c r="E117" s="120">
        <f>E113+E116</f>
        <v>1593740</v>
      </c>
      <c r="F117" s="120">
        <f>F113+F116</f>
        <v>1590740</v>
      </c>
    </row>
    <row r="119" spans="1:6" ht="15.75" thickBot="1" x14ac:dyDescent="0.3"/>
    <row r="120" spans="1:6" ht="23.25" customHeight="1" thickBot="1" x14ac:dyDescent="0.3">
      <c r="A120" s="1024" t="s">
        <v>146</v>
      </c>
      <c r="B120" s="1025"/>
      <c r="C120" s="1025"/>
      <c r="D120" s="1025"/>
      <c r="E120" s="1025"/>
      <c r="F120" s="1026"/>
    </row>
    <row r="121" spans="1:6" ht="15" customHeight="1" x14ac:dyDescent="0.25">
      <c r="A121" s="992" t="s">
        <v>1</v>
      </c>
      <c r="B121" s="993"/>
      <c r="C121" s="996">
        <v>2016</v>
      </c>
      <c r="D121" s="996">
        <v>2017</v>
      </c>
      <c r="E121" s="996">
        <v>2018</v>
      </c>
      <c r="F121" s="996">
        <v>2019</v>
      </c>
    </row>
    <row r="122" spans="1:6" ht="15.75" thickBot="1" x14ac:dyDescent="0.3">
      <c r="A122" s="994"/>
      <c r="B122" s="995"/>
      <c r="C122" s="997"/>
      <c r="D122" s="997"/>
      <c r="E122" s="997"/>
      <c r="F122" s="997"/>
    </row>
    <row r="123" spans="1:6" ht="16.5" thickBot="1" x14ac:dyDescent="0.3">
      <c r="A123" s="1010" t="s">
        <v>147</v>
      </c>
      <c r="B123" s="1011"/>
      <c r="C123" s="121">
        <f>SUM(C124:C131)</f>
        <v>15050</v>
      </c>
      <c r="D123" s="121">
        <f t="shared" ref="D123:F123" si="46">SUM(D124:D131)</f>
        <v>1669100</v>
      </c>
      <c r="E123" s="121">
        <f t="shared" si="46"/>
        <v>0</v>
      </c>
      <c r="F123" s="121">
        <f t="shared" si="46"/>
        <v>0</v>
      </c>
    </row>
    <row r="124" spans="1:6" x14ac:dyDescent="0.25">
      <c r="A124" s="122">
        <v>231</v>
      </c>
      <c r="B124" s="85" t="s">
        <v>148</v>
      </c>
      <c r="C124" s="123">
        <v>0</v>
      </c>
      <c r="D124" s="123">
        <v>0</v>
      </c>
      <c r="E124" s="123"/>
      <c r="F124" s="123"/>
    </row>
    <row r="125" spans="1:6" x14ac:dyDescent="0.25">
      <c r="A125" s="46">
        <v>233</v>
      </c>
      <c r="B125" s="42" t="s">
        <v>149</v>
      </c>
      <c r="C125" s="124">
        <f>200+1820+430</f>
        <v>2450</v>
      </c>
      <c r="D125" s="124">
        <v>1000</v>
      </c>
      <c r="E125" s="124"/>
      <c r="F125" s="124"/>
    </row>
    <row r="126" spans="1:6" x14ac:dyDescent="0.25">
      <c r="A126" s="174">
        <v>322</v>
      </c>
      <c r="B126" s="175" t="s">
        <v>192</v>
      </c>
      <c r="C126" s="124"/>
      <c r="D126" s="176">
        <v>134200</v>
      </c>
      <c r="E126" s="176"/>
      <c r="F126" s="176"/>
    </row>
    <row r="127" spans="1:6" x14ac:dyDescent="0.25">
      <c r="A127" s="174">
        <v>322</v>
      </c>
      <c r="B127" s="175" t="s">
        <v>193</v>
      </c>
      <c r="C127" s="124"/>
      <c r="D127" s="176">
        <v>155400</v>
      </c>
      <c r="E127" s="176"/>
      <c r="F127" s="176"/>
    </row>
    <row r="128" spans="1:6" x14ac:dyDescent="0.25">
      <c r="A128" s="174">
        <v>322</v>
      </c>
      <c r="B128" s="175" t="s">
        <v>194</v>
      </c>
      <c r="C128" s="124"/>
      <c r="D128" s="176">
        <v>39900</v>
      </c>
      <c r="E128" s="176"/>
      <c r="F128" s="176"/>
    </row>
    <row r="129" spans="1:11" x14ac:dyDescent="0.25">
      <c r="A129" s="174">
        <v>322</v>
      </c>
      <c r="B129" s="175" t="s">
        <v>195</v>
      </c>
      <c r="C129" s="124"/>
      <c r="D129" s="176">
        <v>1222600</v>
      </c>
      <c r="E129" s="176"/>
      <c r="F129" s="176"/>
    </row>
    <row r="130" spans="1:11" x14ac:dyDescent="0.25">
      <c r="A130" s="174">
        <v>322</v>
      </c>
      <c r="B130" s="175" t="s">
        <v>196</v>
      </c>
      <c r="C130" s="124"/>
      <c r="D130" s="176">
        <v>103500</v>
      </c>
      <c r="E130" s="176"/>
      <c r="F130" s="176"/>
    </row>
    <row r="131" spans="1:11" ht="15.75" thickBot="1" x14ac:dyDescent="0.3">
      <c r="A131" s="125">
        <v>322</v>
      </c>
      <c r="B131" s="126" t="s">
        <v>150</v>
      </c>
      <c r="C131" s="127">
        <v>12600</v>
      </c>
      <c r="D131" s="127">
        <v>12500</v>
      </c>
      <c r="E131" s="127"/>
      <c r="F131" s="127"/>
      <c r="K131" s="178"/>
    </row>
    <row r="132" spans="1:11" ht="16.5" thickBot="1" x14ac:dyDescent="0.3">
      <c r="A132" s="1010" t="s">
        <v>151</v>
      </c>
      <c r="B132" s="1011"/>
      <c r="C132" s="121">
        <f>SUM(C133:C151)</f>
        <v>319340</v>
      </c>
      <c r="D132" s="121">
        <f>SUM(D133:D151)</f>
        <v>2481900</v>
      </c>
      <c r="E132" s="121">
        <f>SUM(E133:E151)</f>
        <v>118000</v>
      </c>
      <c r="F132" s="121">
        <f>SUM(F133:F151)</f>
        <v>110000</v>
      </c>
      <c r="G132" s="171"/>
      <c r="H132" s="171">
        <f>D132-D123-D157+1500</f>
        <v>100100</v>
      </c>
    </row>
    <row r="133" spans="1:11" x14ac:dyDescent="0.25">
      <c r="A133" s="128" t="s">
        <v>59</v>
      </c>
      <c r="B133" s="129" t="s">
        <v>185</v>
      </c>
      <c r="C133" s="130">
        <v>0</v>
      </c>
      <c r="D133" s="135">
        <v>3000</v>
      </c>
      <c r="E133" s="130"/>
      <c r="F133" s="130"/>
    </row>
    <row r="134" spans="1:11" ht="15.75" thickBot="1" x14ac:dyDescent="0.3">
      <c r="A134" s="200" t="s">
        <v>59</v>
      </c>
      <c r="B134" s="201" t="s">
        <v>184</v>
      </c>
      <c r="C134" s="196">
        <v>0</v>
      </c>
      <c r="D134" s="210">
        <v>108200</v>
      </c>
      <c r="E134" s="196"/>
      <c r="F134" s="196"/>
      <c r="I134" s="171"/>
    </row>
    <row r="135" spans="1:11" x14ac:dyDescent="0.25">
      <c r="A135" s="190" t="s">
        <v>73</v>
      </c>
      <c r="B135" s="131" t="s">
        <v>152</v>
      </c>
      <c r="C135" s="132">
        <v>14800</v>
      </c>
      <c r="D135" s="133">
        <v>14800</v>
      </c>
      <c r="E135" s="132"/>
      <c r="F135" s="132"/>
      <c r="I135" s="171"/>
    </row>
    <row r="136" spans="1:11" ht="15.75" thickBot="1" x14ac:dyDescent="0.3">
      <c r="A136" s="202" t="s">
        <v>78</v>
      </c>
      <c r="B136" s="203" t="s">
        <v>190</v>
      </c>
      <c r="C136" s="196">
        <v>0</v>
      </c>
      <c r="D136" s="210">
        <v>0</v>
      </c>
      <c r="E136" s="196"/>
      <c r="F136" s="196"/>
    </row>
    <row r="137" spans="1:11" x14ac:dyDescent="0.25">
      <c r="A137" s="191" t="s">
        <v>80</v>
      </c>
      <c r="B137" s="186" t="s">
        <v>197</v>
      </c>
      <c r="C137" s="135">
        <v>17600</v>
      </c>
      <c r="D137" s="135">
        <v>40000</v>
      </c>
      <c r="E137" s="135"/>
      <c r="F137" s="135"/>
    </row>
    <row r="138" spans="1:11" ht="15.75" thickBot="1" x14ac:dyDescent="0.3">
      <c r="A138" s="190" t="s">
        <v>80</v>
      </c>
      <c r="B138" s="185" t="s">
        <v>153</v>
      </c>
      <c r="C138" s="182">
        <v>10000</v>
      </c>
      <c r="D138" s="133">
        <v>10000</v>
      </c>
      <c r="E138" s="133"/>
      <c r="F138" s="133"/>
    </row>
    <row r="139" spans="1:11" ht="15.75" thickBot="1" x14ac:dyDescent="0.3">
      <c r="A139" s="187" t="s">
        <v>87</v>
      </c>
      <c r="B139" s="186" t="s">
        <v>198</v>
      </c>
      <c r="C139" s="134">
        <v>20700</v>
      </c>
      <c r="D139" s="135">
        <v>1287000</v>
      </c>
      <c r="E139" s="135"/>
      <c r="F139" s="135"/>
    </row>
    <row r="140" spans="1:11" ht="15.75" thickBot="1" x14ac:dyDescent="0.3">
      <c r="A140" s="192" t="s">
        <v>154</v>
      </c>
      <c r="B140" s="188" t="s">
        <v>155</v>
      </c>
      <c r="C140" s="134">
        <f>91440+1300</f>
        <v>92740</v>
      </c>
      <c r="D140" s="134">
        <v>50000</v>
      </c>
      <c r="E140" s="134"/>
      <c r="F140" s="134"/>
      <c r="J140" s="140"/>
    </row>
    <row r="141" spans="1:11" ht="15.75" thickBot="1" x14ac:dyDescent="0.3">
      <c r="A141" s="192" t="s">
        <v>97</v>
      </c>
      <c r="B141" s="188" t="s">
        <v>206</v>
      </c>
      <c r="C141" s="134">
        <v>0</v>
      </c>
      <c r="D141" s="134">
        <v>163600</v>
      </c>
      <c r="E141" s="134"/>
      <c r="F141" s="134"/>
      <c r="G141" s="140"/>
      <c r="H141" s="140"/>
      <c r="J141" s="140"/>
    </row>
    <row r="142" spans="1:11" x14ac:dyDescent="0.25">
      <c r="A142" s="198" t="s">
        <v>107</v>
      </c>
      <c r="B142" s="199" t="s">
        <v>207</v>
      </c>
      <c r="C142" s="133">
        <v>0</v>
      </c>
      <c r="D142" s="133">
        <v>42000</v>
      </c>
      <c r="E142" s="133"/>
      <c r="F142" s="133"/>
      <c r="G142" s="140"/>
      <c r="H142" s="140"/>
      <c r="J142" s="140"/>
      <c r="K142" s="140"/>
    </row>
    <row r="143" spans="1:11" x14ac:dyDescent="0.25">
      <c r="A143" s="193" t="s">
        <v>107</v>
      </c>
      <c r="B143" s="189" t="s">
        <v>205</v>
      </c>
      <c r="C143" s="133">
        <v>0</v>
      </c>
      <c r="D143" s="177">
        <v>56400</v>
      </c>
      <c r="E143" s="177"/>
      <c r="F143" s="177"/>
      <c r="G143" s="140"/>
      <c r="H143" s="140"/>
      <c r="I143" s="138"/>
      <c r="J143" s="143"/>
      <c r="K143" s="142"/>
    </row>
    <row r="144" spans="1:11" x14ac:dyDescent="0.25">
      <c r="A144" s="193" t="s">
        <v>107</v>
      </c>
      <c r="B144" s="189" t="s">
        <v>183</v>
      </c>
      <c r="C144" s="133">
        <v>0</v>
      </c>
      <c r="D144" s="177">
        <v>30000</v>
      </c>
      <c r="E144" s="177"/>
      <c r="F144" s="177"/>
      <c r="G144" s="140"/>
      <c r="H144" s="140"/>
      <c r="I144" s="138"/>
      <c r="K144" s="142"/>
    </row>
    <row r="145" spans="1:11" x14ac:dyDescent="0.25">
      <c r="A145" s="193" t="s">
        <v>107</v>
      </c>
      <c r="B145" s="189" t="s">
        <v>188</v>
      </c>
      <c r="C145" s="133">
        <v>0</v>
      </c>
      <c r="D145" s="177">
        <v>10000</v>
      </c>
      <c r="E145" s="177"/>
      <c r="F145" s="177"/>
      <c r="G145" s="140"/>
      <c r="H145" s="140"/>
      <c r="I145" s="157"/>
    </row>
    <row r="146" spans="1:11" x14ac:dyDescent="0.25">
      <c r="A146" s="193" t="s">
        <v>107</v>
      </c>
      <c r="B146" s="189" t="s">
        <v>189</v>
      </c>
      <c r="C146" s="133">
        <v>0</v>
      </c>
      <c r="D146" s="177">
        <v>10000</v>
      </c>
      <c r="E146" s="177"/>
      <c r="F146" s="177"/>
      <c r="G146" s="140"/>
      <c r="H146" s="140"/>
    </row>
    <row r="147" spans="1:11" x14ac:dyDescent="0.25">
      <c r="A147" s="193" t="s">
        <v>109</v>
      </c>
      <c r="B147" s="189" t="s">
        <v>182</v>
      </c>
      <c r="C147" s="136">
        <v>0</v>
      </c>
      <c r="D147" s="177">
        <v>500000</v>
      </c>
      <c r="E147" s="177">
        <v>118000</v>
      </c>
      <c r="F147" s="177">
        <v>110000</v>
      </c>
      <c r="G147" s="143"/>
      <c r="H147" s="143"/>
    </row>
    <row r="148" spans="1:11" ht="15" customHeight="1" x14ac:dyDescent="0.25">
      <c r="A148" s="194" t="s">
        <v>111</v>
      </c>
      <c r="B148" s="195" t="s">
        <v>156</v>
      </c>
      <c r="C148" s="136">
        <v>2700</v>
      </c>
      <c r="D148" s="136">
        <v>2700</v>
      </c>
      <c r="E148" s="136"/>
      <c r="F148" s="136"/>
      <c r="G148" s="143"/>
      <c r="H148" s="143"/>
      <c r="J148" s="141"/>
    </row>
    <row r="149" spans="1:11" x14ac:dyDescent="0.25">
      <c r="A149" s="194" t="s">
        <v>117</v>
      </c>
      <c r="B149" s="195" t="s">
        <v>199</v>
      </c>
      <c r="C149" s="136">
        <v>0</v>
      </c>
      <c r="D149" s="136">
        <v>141200</v>
      </c>
      <c r="E149" s="136"/>
      <c r="F149" s="136"/>
      <c r="G149" s="143"/>
      <c r="H149" s="143"/>
    </row>
    <row r="150" spans="1:11" x14ac:dyDescent="0.25">
      <c r="A150" s="197" t="s">
        <v>126</v>
      </c>
      <c r="B150" s="185" t="s">
        <v>186</v>
      </c>
      <c r="C150" s="133">
        <v>0</v>
      </c>
      <c r="D150" s="133">
        <v>13000</v>
      </c>
      <c r="E150" s="133"/>
      <c r="F150" s="133"/>
      <c r="H150" s="141"/>
    </row>
    <row r="151" spans="1:11" ht="15.75" thickBot="1" x14ac:dyDescent="0.3">
      <c r="A151" s="204"/>
      <c r="B151" s="205" t="s">
        <v>191</v>
      </c>
      <c r="C151" s="196">
        <f>30000+3500+17000+5900+6000+5000+23400+70000</f>
        <v>160800</v>
      </c>
      <c r="D151" s="206"/>
      <c r="E151" s="206"/>
      <c r="F151" s="206"/>
    </row>
    <row r="152" spans="1:11" x14ac:dyDescent="0.25">
      <c r="A152" s="137"/>
      <c r="B152" s="138"/>
      <c r="C152" s="139"/>
      <c r="D152" s="140"/>
      <c r="E152" s="140"/>
    </row>
    <row r="153" spans="1:11" ht="15.75" thickBot="1" x14ac:dyDescent="0.3">
      <c r="A153" s="141"/>
      <c r="B153" s="142"/>
      <c r="C153" s="143"/>
      <c r="D153" s="143" t="s">
        <v>157</v>
      </c>
      <c r="E153" s="143"/>
    </row>
    <row r="154" spans="1:11" ht="21.75" customHeight="1" thickBot="1" x14ac:dyDescent="0.3">
      <c r="A154" s="1030" t="s">
        <v>158</v>
      </c>
      <c r="B154" s="1031"/>
      <c r="C154" s="1031"/>
      <c r="D154" s="1031"/>
      <c r="E154" s="1031"/>
      <c r="F154" s="1032"/>
    </row>
    <row r="155" spans="1:11" x14ac:dyDescent="0.25">
      <c r="A155" s="992" t="s">
        <v>1</v>
      </c>
      <c r="B155" s="993"/>
      <c r="C155" s="996">
        <v>2016</v>
      </c>
      <c r="D155" s="996">
        <v>2017</v>
      </c>
      <c r="E155" s="996">
        <v>2018</v>
      </c>
      <c r="F155" s="996">
        <v>2019</v>
      </c>
      <c r="J155" s="157"/>
      <c r="K155" s="157"/>
    </row>
    <row r="156" spans="1:11" ht="15.75" thickBot="1" x14ac:dyDescent="0.3">
      <c r="A156" s="994"/>
      <c r="B156" s="995"/>
      <c r="C156" s="997"/>
      <c r="D156" s="997"/>
      <c r="E156" s="997"/>
      <c r="F156" s="997"/>
      <c r="J156" s="157"/>
      <c r="K156" s="157"/>
    </row>
    <row r="157" spans="1:11" ht="16.5" thickBot="1" x14ac:dyDescent="0.3">
      <c r="A157" s="144" t="s">
        <v>159</v>
      </c>
      <c r="B157" s="145"/>
      <c r="C157" s="146">
        <f t="shared" ref="C157:F157" si="47">SUM(C158:C160)</f>
        <v>305790</v>
      </c>
      <c r="D157" s="146">
        <f t="shared" si="47"/>
        <v>714200</v>
      </c>
      <c r="E157" s="146">
        <f t="shared" si="47"/>
        <v>500</v>
      </c>
      <c r="F157" s="146">
        <f t="shared" si="47"/>
        <v>500</v>
      </c>
      <c r="J157" s="157"/>
      <c r="K157" s="138"/>
    </row>
    <row r="158" spans="1:11" x14ac:dyDescent="0.25">
      <c r="A158" s="147">
        <v>454</v>
      </c>
      <c r="B158" s="47" t="s">
        <v>160</v>
      </c>
      <c r="C158" s="148">
        <f>89750+78470+131000+5070</f>
        <v>304290</v>
      </c>
      <c r="D158" s="148">
        <v>312800</v>
      </c>
      <c r="E158" s="148"/>
      <c r="F158" s="148"/>
    </row>
    <row r="159" spans="1:11" x14ac:dyDescent="0.25">
      <c r="A159" s="149">
        <v>453</v>
      </c>
      <c r="B159" s="150" t="s">
        <v>161</v>
      </c>
      <c r="C159" s="151">
        <v>1500</v>
      </c>
      <c r="D159" s="151">
        <v>1500</v>
      </c>
      <c r="E159" s="151">
        <v>500</v>
      </c>
      <c r="F159" s="151">
        <v>500</v>
      </c>
    </row>
    <row r="160" spans="1:11" ht="16.5" customHeight="1" thickBot="1" x14ac:dyDescent="0.3">
      <c r="A160" s="149">
        <v>513</v>
      </c>
      <c r="B160" s="150" t="s">
        <v>162</v>
      </c>
      <c r="C160" s="151">
        <v>0</v>
      </c>
      <c r="D160" s="151">
        <f>500000-100100</f>
        <v>399900</v>
      </c>
      <c r="E160" s="151">
        <v>0</v>
      </c>
      <c r="F160" s="151">
        <v>0</v>
      </c>
      <c r="G160" s="1033"/>
      <c r="H160" s="1034"/>
    </row>
    <row r="161" spans="1:9" ht="19.5" customHeight="1" thickBot="1" x14ac:dyDescent="0.3">
      <c r="A161" s="144" t="s">
        <v>163</v>
      </c>
      <c r="B161" s="145"/>
      <c r="C161" s="146">
        <f t="shared" ref="C161:F161" si="48">SUM(C162:C163)</f>
        <v>37800</v>
      </c>
      <c r="D161" s="146">
        <f t="shared" si="48"/>
        <v>53800</v>
      </c>
      <c r="E161" s="146">
        <f t="shared" si="48"/>
        <v>53800</v>
      </c>
      <c r="F161" s="146">
        <f t="shared" si="48"/>
        <v>53800</v>
      </c>
      <c r="G161" s="179"/>
      <c r="H161" s="157"/>
    </row>
    <row r="162" spans="1:9" x14ac:dyDescent="0.25">
      <c r="A162" s="152">
        <v>821</v>
      </c>
      <c r="B162" s="153" t="s">
        <v>164</v>
      </c>
      <c r="C162" s="154">
        <v>37000</v>
      </c>
      <c r="D162" s="154">
        <v>53000</v>
      </c>
      <c r="E162" s="154">
        <v>53000</v>
      </c>
      <c r="F162" s="154">
        <v>53000</v>
      </c>
      <c r="H162" s="138"/>
    </row>
    <row r="163" spans="1:9" ht="15.75" thickBot="1" x14ac:dyDescent="0.3">
      <c r="A163" s="27">
        <v>821</v>
      </c>
      <c r="B163" s="155" t="s">
        <v>165</v>
      </c>
      <c r="C163" s="71">
        <v>800</v>
      </c>
      <c r="D163" s="71">
        <v>800</v>
      </c>
      <c r="E163" s="71">
        <v>800</v>
      </c>
      <c r="F163" s="71">
        <v>800</v>
      </c>
    </row>
    <row r="164" spans="1:9" x14ac:dyDescent="0.25">
      <c r="A164" s="141"/>
      <c r="B164" s="156"/>
      <c r="C164" s="156"/>
      <c r="D164" s="157"/>
      <c r="E164" s="157"/>
      <c r="F164" s="157"/>
    </row>
    <row r="165" spans="1:9" x14ac:dyDescent="0.25">
      <c r="A165" s="141"/>
      <c r="B165" s="156"/>
      <c r="C165" s="156"/>
      <c r="D165" s="157"/>
      <c r="E165" s="157"/>
      <c r="F165" s="157"/>
    </row>
    <row r="166" spans="1:9" ht="16.5" thickBot="1" x14ac:dyDescent="0.3">
      <c r="A166" s="58"/>
      <c r="B166" s="138"/>
      <c r="C166" s="138"/>
      <c r="D166" s="138"/>
      <c r="E166" s="138"/>
      <c r="F166" s="138"/>
      <c r="I166" s="172"/>
    </row>
    <row r="167" spans="1:9" ht="18.75" thickBot="1" x14ac:dyDescent="0.3">
      <c r="A167" s="1018" t="s">
        <v>166</v>
      </c>
      <c r="B167" s="1019"/>
      <c r="C167" s="1019"/>
      <c r="D167" s="1019"/>
      <c r="E167" s="1019"/>
      <c r="F167" s="1020"/>
    </row>
    <row r="168" spans="1:9" x14ac:dyDescent="0.25">
      <c r="A168" s="992" t="s">
        <v>1</v>
      </c>
      <c r="B168" s="993"/>
      <c r="C168" s="996">
        <v>2016</v>
      </c>
      <c r="D168" s="996">
        <v>2017</v>
      </c>
      <c r="E168" s="996">
        <v>2018</v>
      </c>
      <c r="F168" s="996">
        <v>2019</v>
      </c>
    </row>
    <row r="169" spans="1:9" ht="15.75" thickBot="1" x14ac:dyDescent="0.3">
      <c r="A169" s="994"/>
      <c r="B169" s="995"/>
      <c r="C169" s="997"/>
      <c r="D169" s="997"/>
      <c r="E169" s="997"/>
      <c r="F169" s="997"/>
    </row>
    <row r="170" spans="1:9" ht="15.75" x14ac:dyDescent="0.25">
      <c r="A170" s="158" t="s">
        <v>167</v>
      </c>
      <c r="B170" s="16"/>
      <c r="C170" s="159">
        <f>C58</f>
        <v>1665150</v>
      </c>
      <c r="D170" s="159">
        <f>D58</f>
        <v>1761540</v>
      </c>
      <c r="E170" s="159">
        <f>E58</f>
        <v>1765040</v>
      </c>
      <c r="F170" s="159">
        <f>F58</f>
        <v>1754040</v>
      </c>
    </row>
    <row r="171" spans="1:9" ht="15.75" x14ac:dyDescent="0.25">
      <c r="A171" s="160" t="s">
        <v>168</v>
      </c>
      <c r="B171" s="10"/>
      <c r="C171" s="161">
        <f>C117</f>
        <v>1628850</v>
      </c>
      <c r="D171" s="161">
        <f>D117</f>
        <v>1609140</v>
      </c>
      <c r="E171" s="161">
        <f>E117</f>
        <v>1593740</v>
      </c>
      <c r="F171" s="161">
        <f>F117</f>
        <v>1590740</v>
      </c>
    </row>
    <row r="172" spans="1:9" ht="15.75" x14ac:dyDescent="0.25">
      <c r="A172" s="1014" t="s">
        <v>169</v>
      </c>
      <c r="B172" s="1015"/>
      <c r="C172" s="162">
        <f t="shared" ref="C172:F172" si="49">C170-C171</f>
        <v>36300</v>
      </c>
      <c r="D172" s="162">
        <f t="shared" si="49"/>
        <v>152400</v>
      </c>
      <c r="E172" s="162">
        <f t="shared" si="49"/>
        <v>171300</v>
      </c>
      <c r="F172" s="162">
        <f t="shared" si="49"/>
        <v>163300</v>
      </c>
    </row>
    <row r="173" spans="1:9" ht="15.75" x14ac:dyDescent="0.25">
      <c r="A173" s="160" t="s">
        <v>170</v>
      </c>
      <c r="B173" s="10"/>
      <c r="C173" s="161">
        <f>C123</f>
        <v>15050</v>
      </c>
      <c r="D173" s="161">
        <f>D123</f>
        <v>1669100</v>
      </c>
      <c r="E173" s="161">
        <f>E123</f>
        <v>0</v>
      </c>
      <c r="F173" s="161">
        <f>F123</f>
        <v>0</v>
      </c>
    </row>
    <row r="174" spans="1:9" ht="15.75" x14ac:dyDescent="0.25">
      <c r="A174" s="160" t="s">
        <v>171</v>
      </c>
      <c r="B174" s="10"/>
      <c r="C174" s="11">
        <f>C132</f>
        <v>319340</v>
      </c>
      <c r="D174" s="11">
        <f>D132</f>
        <v>2481900</v>
      </c>
      <c r="E174" s="11">
        <f>E132</f>
        <v>118000</v>
      </c>
      <c r="F174" s="11">
        <f>F132</f>
        <v>110000</v>
      </c>
    </row>
    <row r="175" spans="1:9" ht="15.75" x14ac:dyDescent="0.25">
      <c r="A175" s="1014" t="s">
        <v>172</v>
      </c>
      <c r="B175" s="1015"/>
      <c r="C175" s="162">
        <f t="shared" ref="C175" si="50">C173-C174</f>
        <v>-304290</v>
      </c>
      <c r="D175" s="162">
        <f t="shared" ref="D175:F175" si="51">D173-D174</f>
        <v>-812800</v>
      </c>
      <c r="E175" s="162">
        <f t="shared" si="51"/>
        <v>-118000</v>
      </c>
      <c r="F175" s="162">
        <f t="shared" si="51"/>
        <v>-110000</v>
      </c>
    </row>
    <row r="176" spans="1:9" ht="15.75" x14ac:dyDescent="0.25">
      <c r="A176" s="163" t="s">
        <v>173</v>
      </c>
      <c r="B176" s="164"/>
      <c r="C176" s="165">
        <f>C157</f>
        <v>305790</v>
      </c>
      <c r="D176" s="165">
        <f>D157</f>
        <v>714200</v>
      </c>
      <c r="E176" s="165">
        <f>E157</f>
        <v>500</v>
      </c>
      <c r="F176" s="165">
        <f>F157</f>
        <v>500</v>
      </c>
      <c r="G176" s="208"/>
    </row>
    <row r="177" spans="1:11" ht="15.75" x14ac:dyDescent="0.25">
      <c r="A177" s="163" t="s">
        <v>174</v>
      </c>
      <c r="B177" s="164"/>
      <c r="C177" s="165">
        <f>C161</f>
        <v>37800</v>
      </c>
      <c r="D177" s="165">
        <f>D161</f>
        <v>53800</v>
      </c>
      <c r="E177" s="165">
        <f>E161</f>
        <v>53800</v>
      </c>
      <c r="F177" s="165">
        <f>F161</f>
        <v>53800</v>
      </c>
    </row>
    <row r="178" spans="1:11" ht="16.5" thickBot="1" x14ac:dyDescent="0.3">
      <c r="A178" s="1016" t="s">
        <v>175</v>
      </c>
      <c r="B178" s="1017"/>
      <c r="C178" s="166">
        <f t="shared" ref="C178" si="52">C176-C177</f>
        <v>267990</v>
      </c>
      <c r="D178" s="166">
        <f t="shared" ref="D178:F178" si="53">D176-D177</f>
        <v>660400</v>
      </c>
      <c r="E178" s="166">
        <f t="shared" si="53"/>
        <v>-53300</v>
      </c>
      <c r="F178" s="166">
        <f t="shared" si="53"/>
        <v>-53300</v>
      </c>
    </row>
    <row r="179" spans="1:11" ht="16.5" thickBot="1" x14ac:dyDescent="0.3">
      <c r="A179" s="167" t="s">
        <v>176</v>
      </c>
      <c r="B179" s="168"/>
      <c r="C179" s="169">
        <f t="shared" ref="C179" si="54">C172+C175+C178</f>
        <v>0</v>
      </c>
      <c r="D179" s="169">
        <f t="shared" ref="D179:F179" si="55">D172+D175+D178</f>
        <v>0</v>
      </c>
      <c r="E179" s="169">
        <f t="shared" si="55"/>
        <v>0</v>
      </c>
      <c r="F179" s="169">
        <f t="shared" si="55"/>
        <v>0</v>
      </c>
      <c r="J179" s="172"/>
      <c r="K179" s="172"/>
    </row>
    <row r="181" spans="1:11" x14ac:dyDescent="0.25">
      <c r="B181" s="170" t="s">
        <v>177</v>
      </c>
      <c r="C181" s="171">
        <f t="shared" ref="C181" si="56">C170+C173+C176</f>
        <v>1985990</v>
      </c>
      <c r="D181" s="171">
        <f t="shared" ref="D181:F182" si="57">D170+D173+D176</f>
        <v>4144840</v>
      </c>
      <c r="E181" s="171">
        <f t="shared" si="57"/>
        <v>1765540</v>
      </c>
      <c r="F181" s="171">
        <f t="shared" si="57"/>
        <v>1754540</v>
      </c>
    </row>
    <row r="182" spans="1:11" x14ac:dyDescent="0.25">
      <c r="B182" s="170" t="s">
        <v>178</v>
      </c>
      <c r="C182" s="171">
        <f t="shared" ref="C182" si="58">C171+C174+C177</f>
        <v>1985990</v>
      </c>
      <c r="D182" s="171">
        <f t="shared" si="57"/>
        <v>4144840</v>
      </c>
      <c r="E182" s="171">
        <f t="shared" si="57"/>
        <v>1765540</v>
      </c>
      <c r="F182" s="171">
        <f t="shared" si="57"/>
        <v>1754540</v>
      </c>
    </row>
    <row r="183" spans="1:11" x14ac:dyDescent="0.25">
      <c r="B183" s="170"/>
      <c r="C183" s="171"/>
      <c r="D183" s="171"/>
      <c r="E183" s="171"/>
      <c r="F183" s="171"/>
    </row>
    <row r="184" spans="1:11" x14ac:dyDescent="0.25">
      <c r="B184" s="170" t="s">
        <v>179</v>
      </c>
      <c r="C184" s="171">
        <f>C181-C57</f>
        <v>1982690</v>
      </c>
      <c r="D184" s="171">
        <f>D181-D57</f>
        <v>4141840</v>
      </c>
      <c r="E184" s="171">
        <f>E181-E57</f>
        <v>1762540</v>
      </c>
      <c r="F184" s="171">
        <f>F181-F57</f>
        <v>1751540</v>
      </c>
      <c r="G184" s="172"/>
      <c r="H184" s="172"/>
    </row>
    <row r="185" spans="1:11" x14ac:dyDescent="0.25">
      <c r="B185" s="170" t="s">
        <v>180</v>
      </c>
      <c r="C185" s="171">
        <f>C182-C116</f>
        <v>1564982</v>
      </c>
      <c r="D185" s="171">
        <f>D182-D116</f>
        <v>3716400</v>
      </c>
      <c r="E185" s="171">
        <f>E182-E116</f>
        <v>1337100</v>
      </c>
      <c r="F185" s="171">
        <f>F182-F116</f>
        <v>1326100</v>
      </c>
    </row>
    <row r="187" spans="1:11" x14ac:dyDescent="0.25">
      <c r="B187" t="s">
        <v>181</v>
      </c>
    </row>
    <row r="188" spans="1:11" x14ac:dyDescent="0.25">
      <c r="B188" s="172" t="s">
        <v>210</v>
      </c>
      <c r="C188" s="172"/>
      <c r="D188" s="172"/>
      <c r="E188" s="172"/>
      <c r="F188" s="172"/>
    </row>
  </sheetData>
  <mergeCells count="39">
    <mergeCell ref="D62:D63"/>
    <mergeCell ref="E62:E63"/>
    <mergeCell ref="F62:F63"/>
    <mergeCell ref="A1:F1"/>
    <mergeCell ref="A2:B3"/>
    <mergeCell ref="D2:D3"/>
    <mergeCell ref="E2:E3"/>
    <mergeCell ref="F2:F3"/>
    <mergeCell ref="A4:B4"/>
    <mergeCell ref="A61:F61"/>
    <mergeCell ref="D155:D156"/>
    <mergeCell ref="E155:E156"/>
    <mergeCell ref="F155:F156"/>
    <mergeCell ref="A80:B80"/>
    <mergeCell ref="A121:B122"/>
    <mergeCell ref="D121:D122"/>
    <mergeCell ref="E121:E122"/>
    <mergeCell ref="F121:F122"/>
    <mergeCell ref="A120:F120"/>
    <mergeCell ref="A154:F154"/>
    <mergeCell ref="G160:H160"/>
    <mergeCell ref="A168:B169"/>
    <mergeCell ref="D168:D169"/>
    <mergeCell ref="E168:E169"/>
    <mergeCell ref="F168:F169"/>
    <mergeCell ref="A167:F167"/>
    <mergeCell ref="A172:B172"/>
    <mergeCell ref="A175:B175"/>
    <mergeCell ref="A178:B178"/>
    <mergeCell ref="C2:C3"/>
    <mergeCell ref="C62:C63"/>
    <mergeCell ref="C121:C122"/>
    <mergeCell ref="C155:C156"/>
    <mergeCell ref="C168:C169"/>
    <mergeCell ref="A123:B123"/>
    <mergeCell ref="A132:B132"/>
    <mergeCell ref="A155:B156"/>
    <mergeCell ref="A12:B12"/>
    <mergeCell ref="A62:B63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 xml:space="preserve">&amp;C&amp;"-,Tučné"Viacročný rozpočet 2017 - 2019&amp;"-,Normálne"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F34" sqref="F34"/>
    </sheetView>
  </sheetViews>
  <sheetFormatPr defaultRowHeight="15" x14ac:dyDescent="0.25"/>
  <cols>
    <col min="1" max="1" width="5" customWidth="1"/>
    <col min="2" max="2" width="67.28515625" customWidth="1"/>
    <col min="3" max="3" width="21.5703125" customWidth="1"/>
  </cols>
  <sheetData>
    <row r="1" spans="1:3" ht="15.75" thickBot="1" x14ac:dyDescent="0.3">
      <c r="A1" s="1035" t="s">
        <v>443</v>
      </c>
      <c r="B1" s="1036"/>
      <c r="C1" s="1036"/>
    </row>
    <row r="2" spans="1:3" ht="15.75" thickBot="1" x14ac:dyDescent="0.3">
      <c r="A2" s="550"/>
      <c r="B2" s="550"/>
      <c r="C2" s="551" t="s">
        <v>444</v>
      </c>
    </row>
    <row r="3" spans="1:3" x14ac:dyDescent="0.25">
      <c r="A3" s="1037" t="s">
        <v>445</v>
      </c>
      <c r="B3" s="1039" t="s">
        <v>446</v>
      </c>
      <c r="C3" s="1041" t="s">
        <v>447</v>
      </c>
    </row>
    <row r="4" spans="1:3" ht="15.75" thickBot="1" x14ac:dyDescent="0.3">
      <c r="A4" s="1038"/>
      <c r="B4" s="1040"/>
      <c r="C4" s="1042"/>
    </row>
    <row r="5" spans="1:3" ht="15.75" thickBot="1" x14ac:dyDescent="0.3">
      <c r="A5" s="552">
        <v>1</v>
      </c>
      <c r="B5" s="553" t="s">
        <v>448</v>
      </c>
      <c r="C5" s="554">
        <f>$C$6+$C$7+$C$8+$C$9</f>
        <v>1971603</v>
      </c>
    </row>
    <row r="6" spans="1:3" x14ac:dyDescent="0.25">
      <c r="A6" s="555">
        <v>2</v>
      </c>
      <c r="B6" s="556" t="s">
        <v>449</v>
      </c>
      <c r="C6" s="557">
        <v>1021400</v>
      </c>
    </row>
    <row r="7" spans="1:3" x14ac:dyDescent="0.25">
      <c r="A7" s="558">
        <v>3</v>
      </c>
      <c r="B7" s="559" t="s">
        <v>450</v>
      </c>
      <c r="C7" s="560">
        <f>225587+4905+3350</f>
        <v>233842</v>
      </c>
    </row>
    <row r="8" spans="1:3" x14ac:dyDescent="0.25">
      <c r="A8" s="558">
        <v>4</v>
      </c>
      <c r="B8" s="559" t="s">
        <v>451</v>
      </c>
      <c r="C8" s="560">
        <f>626191+2770</f>
        <v>628961</v>
      </c>
    </row>
    <row r="9" spans="1:3" ht="15.75" thickBot="1" x14ac:dyDescent="0.3">
      <c r="A9" s="561">
        <v>5</v>
      </c>
      <c r="B9" s="562" t="s">
        <v>452</v>
      </c>
      <c r="C9" s="563">
        <f>87400+0</f>
        <v>87400</v>
      </c>
    </row>
    <row r="10" spans="1:3" ht="15.75" thickBot="1" x14ac:dyDescent="0.3">
      <c r="A10" s="552">
        <v>6</v>
      </c>
      <c r="B10" s="553" t="s">
        <v>453</v>
      </c>
      <c r="C10" s="564">
        <f>$C$11+$C$12+$C$13</f>
        <v>1971603</v>
      </c>
    </row>
    <row r="11" spans="1:3" x14ac:dyDescent="0.25">
      <c r="A11" s="555">
        <v>7</v>
      </c>
      <c r="B11" s="556" t="s">
        <v>454</v>
      </c>
      <c r="C11" s="565">
        <f>1183846+69000+460057</f>
        <v>1712903</v>
      </c>
    </row>
    <row r="12" spans="1:3" x14ac:dyDescent="0.25">
      <c r="A12" s="558">
        <v>8</v>
      </c>
      <c r="B12" s="559" t="s">
        <v>455</v>
      </c>
      <c r="C12" s="560">
        <v>257900</v>
      </c>
    </row>
    <row r="13" spans="1:3" ht="15.75" thickBot="1" x14ac:dyDescent="0.3">
      <c r="A13" s="566">
        <v>9</v>
      </c>
      <c r="B13" s="567" t="s">
        <v>456</v>
      </c>
      <c r="C13" s="568">
        <v>800</v>
      </c>
    </row>
    <row r="14" spans="1:3" ht="15.75" thickBot="1" x14ac:dyDescent="0.3">
      <c r="A14" s="552">
        <v>10</v>
      </c>
      <c r="B14" s="569" t="s">
        <v>457</v>
      </c>
      <c r="C14" s="570">
        <f>$C$5-$C$10</f>
        <v>0</v>
      </c>
    </row>
    <row r="15" spans="1:3" ht="42" customHeight="1" thickBot="1" x14ac:dyDescent="0.3">
      <c r="A15" s="571">
        <v>11</v>
      </c>
      <c r="B15" s="572" t="s">
        <v>458</v>
      </c>
      <c r="C15" s="573">
        <f>$C$5-$C$9-$C$10+$C$13</f>
        <v>-86600</v>
      </c>
    </row>
    <row r="16" spans="1:3" ht="15.75" thickBot="1" x14ac:dyDescent="0.3">
      <c r="A16" s="574">
        <v>12</v>
      </c>
      <c r="B16" s="575" t="s">
        <v>459</v>
      </c>
      <c r="C16" s="576">
        <f>$C$17-$C$18</f>
        <v>0</v>
      </c>
    </row>
    <row r="17" spans="1:3" ht="15.75" thickBot="1" x14ac:dyDescent="0.3">
      <c r="A17" s="577">
        <v>13</v>
      </c>
      <c r="B17" s="578" t="s">
        <v>460</v>
      </c>
      <c r="C17" s="579"/>
    </row>
    <row r="18" spans="1:3" ht="15.75" thickBot="1" x14ac:dyDescent="0.3">
      <c r="A18" s="580">
        <v>14</v>
      </c>
      <c r="B18" s="581" t="s">
        <v>461</v>
      </c>
      <c r="C18" s="579"/>
    </row>
    <row r="19" spans="1:3" ht="15.75" thickBot="1" x14ac:dyDescent="0.3">
      <c r="A19" s="552">
        <v>15</v>
      </c>
      <c r="B19" s="582" t="s">
        <v>462</v>
      </c>
      <c r="C19" s="564">
        <f xml:space="preserve"> 1*($C$21-$C$20)</f>
        <v>0</v>
      </c>
    </row>
    <row r="20" spans="1:3" ht="15.75" thickBot="1" x14ac:dyDescent="0.3">
      <c r="A20" s="577">
        <v>16</v>
      </c>
      <c r="B20" s="583" t="s">
        <v>463</v>
      </c>
      <c r="C20" s="579"/>
    </row>
    <row r="21" spans="1:3" ht="15.75" thickBot="1" x14ac:dyDescent="0.3">
      <c r="A21" s="580">
        <v>17</v>
      </c>
      <c r="B21" s="584" t="s">
        <v>464</v>
      </c>
      <c r="C21" s="579"/>
    </row>
    <row r="22" spans="1:3" ht="15.75" thickBot="1" x14ac:dyDescent="0.3">
      <c r="A22" s="585">
        <v>20</v>
      </c>
      <c r="B22" s="586" t="s">
        <v>465</v>
      </c>
      <c r="C22" s="564">
        <f>$C$16+$C$19</f>
        <v>0</v>
      </c>
    </row>
    <row r="23" spans="1:3" ht="15.75" thickBot="1" x14ac:dyDescent="0.3">
      <c r="A23" s="552">
        <v>21</v>
      </c>
      <c r="B23" s="553" t="s">
        <v>466</v>
      </c>
      <c r="C23" s="564">
        <f>$C$15+$C$22</f>
        <v>-86600</v>
      </c>
    </row>
  </sheetData>
  <mergeCells count="4">
    <mergeCell ref="A1:C1"/>
    <mergeCell ref="A3:A4"/>
    <mergeCell ref="B3:B4"/>
    <mergeCell ref="C3:C4"/>
  </mergeCells>
  <dataValidations count="2">
    <dataValidation allowBlank="1" showInputMessage="1" showErrorMessage="1" promptTitle="Súčet príjimov" prompt="Súčet príjimov" sqref="C3:C4"/>
    <dataValidation type="decimal" operator="greaterThanOrEqual" allowBlank="1" showErrorMessage="1" errorTitle="Zlý vstup" error="Zadaná hodnota musí byť nezáporné číslo!" sqref="C6:C8 C11:C13 C17:C18 C20:C21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32"/>
  <sheetViews>
    <sheetView workbookViewId="0">
      <selection sqref="A1:C1"/>
    </sheetView>
  </sheetViews>
  <sheetFormatPr defaultRowHeight="15" x14ac:dyDescent="0.25"/>
  <cols>
    <col min="1" max="1" width="8" customWidth="1"/>
    <col min="2" max="2" width="51.28515625" customWidth="1"/>
    <col min="3" max="3" width="11.140625" customWidth="1"/>
  </cols>
  <sheetData>
    <row r="1" spans="1:5" ht="18" x14ac:dyDescent="0.25">
      <c r="A1" s="933" t="s">
        <v>481</v>
      </c>
      <c r="B1" s="933"/>
      <c r="C1" s="933"/>
    </row>
    <row r="2" spans="1:5" x14ac:dyDescent="0.25">
      <c r="A2" s="951" t="s">
        <v>211</v>
      </c>
      <c r="B2" s="951"/>
      <c r="C2" s="951"/>
    </row>
    <row r="3" spans="1:5" x14ac:dyDescent="0.25">
      <c r="A3" s="603"/>
      <c r="B3" s="603" t="s">
        <v>212</v>
      </c>
      <c r="C3" s="603"/>
    </row>
    <row r="4" spans="1:5" x14ac:dyDescent="0.25">
      <c r="A4" s="603"/>
      <c r="B4" s="603"/>
      <c r="C4" s="603"/>
    </row>
    <row r="5" spans="1:5" ht="15.75" thickBot="1" x14ac:dyDescent="0.3">
      <c r="A5" s="948" t="s">
        <v>213</v>
      </c>
      <c r="B5" s="948"/>
      <c r="C5" s="948"/>
      <c r="D5" s="926">
        <v>43040</v>
      </c>
    </row>
    <row r="6" spans="1:5" ht="15.75" thickBot="1" x14ac:dyDescent="0.3">
      <c r="A6" s="212" t="s">
        <v>214</v>
      </c>
      <c r="B6" s="213" t="s">
        <v>215</v>
      </c>
      <c r="C6" s="214" t="s">
        <v>216</v>
      </c>
      <c r="D6" s="214" t="s">
        <v>216</v>
      </c>
    </row>
    <row r="7" spans="1:5" ht="15.75" thickBot="1" x14ac:dyDescent="0.3">
      <c r="A7" s="949" t="s">
        <v>217</v>
      </c>
      <c r="B7" s="950"/>
      <c r="C7" s="215">
        <f>SUM(C8:C21)</f>
        <v>12925</v>
      </c>
      <c r="D7" s="215">
        <f>SUM(D8:D21)</f>
        <v>4554</v>
      </c>
      <c r="E7" s="171">
        <f>C7-D7</f>
        <v>8371</v>
      </c>
    </row>
    <row r="8" spans="1:5" x14ac:dyDescent="0.25">
      <c r="A8" s="216">
        <v>111</v>
      </c>
      <c r="B8" s="217" t="s">
        <v>496</v>
      </c>
      <c r="C8" s="218">
        <v>10050</v>
      </c>
      <c r="D8" s="218"/>
    </row>
    <row r="9" spans="1:5" x14ac:dyDescent="0.25">
      <c r="A9" s="216">
        <v>212</v>
      </c>
      <c r="B9" s="217" t="s">
        <v>491</v>
      </c>
      <c r="C9" s="218">
        <v>1</v>
      </c>
      <c r="D9" s="218"/>
    </row>
    <row r="10" spans="1:5" x14ac:dyDescent="0.25">
      <c r="A10" s="216">
        <v>223</v>
      </c>
      <c r="B10" s="217" t="s">
        <v>492</v>
      </c>
      <c r="C10" s="218">
        <v>10</v>
      </c>
      <c r="D10" s="218"/>
    </row>
    <row r="11" spans="1:5" x14ac:dyDescent="0.25">
      <c r="A11" s="216">
        <v>223</v>
      </c>
      <c r="B11" s="217" t="s">
        <v>493</v>
      </c>
      <c r="C11" s="218">
        <f>10-1000</f>
        <v>-990</v>
      </c>
      <c r="D11" s="218"/>
    </row>
    <row r="12" spans="1:5" x14ac:dyDescent="0.25">
      <c r="A12" s="216">
        <v>223</v>
      </c>
      <c r="B12" s="217" t="s">
        <v>486</v>
      </c>
      <c r="C12" s="218">
        <v>-1000</v>
      </c>
      <c r="D12" s="218">
        <v>-1000</v>
      </c>
    </row>
    <row r="13" spans="1:5" x14ac:dyDescent="0.25">
      <c r="A13" s="216">
        <v>223</v>
      </c>
      <c r="B13" s="217" t="s">
        <v>420</v>
      </c>
      <c r="C13" s="218">
        <f>2000+800</f>
        <v>2800</v>
      </c>
      <c r="D13" s="218">
        <v>2000</v>
      </c>
    </row>
    <row r="14" spans="1:5" x14ac:dyDescent="0.25">
      <c r="A14" s="216">
        <v>223</v>
      </c>
      <c r="B14" s="217" t="s">
        <v>497</v>
      </c>
      <c r="C14" s="218">
        <v>-500</v>
      </c>
      <c r="D14" s="218"/>
    </row>
    <row r="15" spans="1:5" x14ac:dyDescent="0.25">
      <c r="A15" s="216">
        <v>292</v>
      </c>
      <c r="B15" s="217" t="s">
        <v>487</v>
      </c>
      <c r="C15" s="218">
        <v>900</v>
      </c>
      <c r="D15" s="218">
        <v>900</v>
      </c>
    </row>
    <row r="16" spans="1:5" x14ac:dyDescent="0.25">
      <c r="A16" s="216">
        <v>292</v>
      </c>
      <c r="B16" s="217" t="s">
        <v>488</v>
      </c>
      <c r="C16" s="218">
        <v>1200</v>
      </c>
      <c r="D16" s="218">
        <v>1200</v>
      </c>
    </row>
    <row r="17" spans="1:5" x14ac:dyDescent="0.25">
      <c r="A17" s="216">
        <v>292</v>
      </c>
      <c r="B17" s="217" t="s">
        <v>501</v>
      </c>
      <c r="C17" s="218">
        <v>-1000</v>
      </c>
      <c r="D17" s="218"/>
    </row>
    <row r="18" spans="1:5" x14ac:dyDescent="0.25">
      <c r="A18" s="216">
        <v>292</v>
      </c>
      <c r="B18" s="217" t="s">
        <v>489</v>
      </c>
      <c r="C18" s="218">
        <v>-2100</v>
      </c>
      <c r="D18" s="218">
        <v>-2100</v>
      </c>
    </row>
    <row r="19" spans="1:5" x14ac:dyDescent="0.25">
      <c r="A19" s="216">
        <v>312</v>
      </c>
      <c r="B19" s="217" t="s">
        <v>483</v>
      </c>
      <c r="C19" s="218">
        <v>170</v>
      </c>
      <c r="D19" s="218">
        <v>170</v>
      </c>
    </row>
    <row r="20" spans="1:5" x14ac:dyDescent="0.25">
      <c r="A20" s="216">
        <v>312</v>
      </c>
      <c r="B20" s="217" t="s">
        <v>484</v>
      </c>
      <c r="C20" s="218">
        <f>2291+693+400</f>
        <v>3384</v>
      </c>
      <c r="D20" s="218">
        <f>2291+693+400</f>
        <v>3384</v>
      </c>
    </row>
    <row r="21" spans="1:5" x14ac:dyDescent="0.25">
      <c r="A21" s="216"/>
      <c r="B21" s="217"/>
      <c r="C21" s="218"/>
      <c r="D21" s="218"/>
    </row>
    <row r="22" spans="1:5" ht="15.75" thickBot="1" x14ac:dyDescent="0.3">
      <c r="A22" s="952"/>
      <c r="B22" s="953"/>
      <c r="C22" s="954"/>
      <c r="D22" s="218"/>
    </row>
    <row r="23" spans="1:5" ht="15.75" thickBot="1" x14ac:dyDescent="0.3">
      <c r="A23" s="935" t="s">
        <v>146</v>
      </c>
      <c r="B23" s="955"/>
      <c r="C23" s="224">
        <f>SUM(C24:C25)</f>
        <v>0</v>
      </c>
      <c r="D23" s="224">
        <f>SUM(D24:D25)</f>
        <v>0</v>
      </c>
    </row>
    <row r="24" spans="1:5" x14ac:dyDescent="0.25">
      <c r="A24" s="317"/>
      <c r="B24" s="318"/>
      <c r="C24" s="319"/>
      <c r="D24" s="319"/>
    </row>
    <row r="25" spans="1:5" x14ac:dyDescent="0.25">
      <c r="A25" s="320"/>
      <c r="B25" s="321"/>
      <c r="C25" s="322"/>
      <c r="D25" s="322"/>
    </row>
    <row r="26" spans="1:5" ht="15.75" thickBot="1" x14ac:dyDescent="0.3">
      <c r="A26" s="943"/>
      <c r="B26" s="944"/>
      <c r="C26" s="945"/>
      <c r="D26" s="322"/>
    </row>
    <row r="27" spans="1:5" ht="15.75" thickBot="1" x14ac:dyDescent="0.3">
      <c r="A27" s="937" t="s">
        <v>158</v>
      </c>
      <c r="B27" s="946"/>
      <c r="C27" s="228">
        <f>SUM(C28:C30)</f>
        <v>0</v>
      </c>
      <c r="D27" s="228">
        <f>SUM(D28:D30)</f>
        <v>0</v>
      </c>
    </row>
    <row r="28" spans="1:5" x14ac:dyDescent="0.25">
      <c r="A28" s="928">
        <v>453</v>
      </c>
      <c r="B28" s="929" t="s">
        <v>508</v>
      </c>
      <c r="C28" s="930">
        <f>-750+1000</f>
        <v>250</v>
      </c>
      <c r="D28" s="930">
        <v>0</v>
      </c>
    </row>
    <row r="29" spans="1:5" x14ac:dyDescent="0.25">
      <c r="A29" s="229">
        <v>454</v>
      </c>
      <c r="B29" s="230" t="s">
        <v>233</v>
      </c>
      <c r="C29" s="231">
        <v>-250</v>
      </c>
      <c r="D29" s="231">
        <v>0</v>
      </c>
    </row>
    <row r="30" spans="1:5" ht="15.75" thickBot="1" x14ac:dyDescent="0.3">
      <c r="A30" s="235">
        <v>513</v>
      </c>
      <c r="B30" s="236" t="s">
        <v>219</v>
      </c>
      <c r="C30" s="237">
        <v>0</v>
      </c>
      <c r="D30" s="237">
        <v>0</v>
      </c>
    </row>
    <row r="31" spans="1:5" ht="15.75" thickBot="1" x14ac:dyDescent="0.3">
      <c r="A31" s="939" t="s">
        <v>220</v>
      </c>
      <c r="B31" s="940"/>
      <c r="C31" s="238">
        <f>C7+C23+C27</f>
        <v>12925</v>
      </c>
      <c r="D31" s="238">
        <f>D7+D23+D27</f>
        <v>4554</v>
      </c>
      <c r="E31" s="171">
        <f>C31-D31</f>
        <v>8371</v>
      </c>
    </row>
    <row r="32" spans="1:5" x14ac:dyDescent="0.25">
      <c r="A32" s="503" t="s">
        <v>54</v>
      </c>
      <c r="B32" s="504" t="s">
        <v>387</v>
      </c>
      <c r="C32" s="505">
        <f>25+1</f>
        <v>26</v>
      </c>
      <c r="D32" s="505">
        <v>25</v>
      </c>
      <c r="E32" s="171"/>
    </row>
    <row r="33" spans="1:5" ht="15.75" thickBot="1" x14ac:dyDescent="0.3">
      <c r="A33" s="239" t="s">
        <v>54</v>
      </c>
      <c r="B33" s="240" t="s">
        <v>55</v>
      </c>
      <c r="C33" s="241">
        <v>627</v>
      </c>
      <c r="D33" s="241">
        <v>0</v>
      </c>
      <c r="E33" s="171"/>
    </row>
    <row r="34" spans="1:5" ht="15.75" thickBot="1" x14ac:dyDescent="0.3">
      <c r="A34" s="941" t="s">
        <v>221</v>
      </c>
      <c r="B34" s="947"/>
      <c r="C34" s="242">
        <f>SUM(C31:C33)</f>
        <v>13578</v>
      </c>
      <c r="D34" s="242">
        <f>SUM(D31:D33)</f>
        <v>4579</v>
      </c>
      <c r="E34" s="171">
        <f t="shared" ref="E34" si="0">C34-D34</f>
        <v>8999</v>
      </c>
    </row>
    <row r="35" spans="1:5" x14ac:dyDescent="0.25">
      <c r="B35" s="138"/>
      <c r="C35" s="171"/>
    </row>
    <row r="36" spans="1:5" ht="15.75" thickBot="1" x14ac:dyDescent="0.3">
      <c r="A36" s="948" t="s">
        <v>222</v>
      </c>
      <c r="B36" s="948"/>
      <c r="C36" s="948"/>
    </row>
    <row r="37" spans="1:5" ht="15.75" thickBot="1" x14ac:dyDescent="0.3">
      <c r="A37" s="243" t="s">
        <v>223</v>
      </c>
      <c r="B37" s="244" t="s">
        <v>224</v>
      </c>
      <c r="C37" s="245" t="s">
        <v>216</v>
      </c>
      <c r="D37" s="245" t="s">
        <v>216</v>
      </c>
    </row>
    <row r="38" spans="1:5" ht="15.75" thickBot="1" x14ac:dyDescent="0.3">
      <c r="A38" s="949" t="s">
        <v>217</v>
      </c>
      <c r="B38" s="950"/>
      <c r="C38" s="215">
        <f>SUM(C39:C45)</f>
        <v>9816</v>
      </c>
      <c r="D38" s="215">
        <f>SUM(D39:D45)</f>
        <v>1170</v>
      </c>
      <c r="E38" s="171">
        <f>C38-D38</f>
        <v>8646</v>
      </c>
    </row>
    <row r="39" spans="1:5" x14ac:dyDescent="0.25">
      <c r="A39" s="246" t="s">
        <v>61</v>
      </c>
      <c r="B39" s="222" t="s">
        <v>490</v>
      </c>
      <c r="C39" s="223">
        <v>1000</v>
      </c>
      <c r="D39" s="223">
        <v>1000</v>
      </c>
    </row>
    <row r="40" spans="1:5" x14ac:dyDescent="0.25">
      <c r="A40" s="246" t="s">
        <v>93</v>
      </c>
      <c r="B40" s="222" t="s">
        <v>505</v>
      </c>
      <c r="C40" s="223">
        <v>9050</v>
      </c>
      <c r="D40" s="223"/>
    </row>
    <row r="41" spans="1:5" x14ac:dyDescent="0.25">
      <c r="A41" s="246" t="s">
        <v>97</v>
      </c>
      <c r="B41" s="222" t="s">
        <v>509</v>
      </c>
      <c r="C41" s="223">
        <v>-750</v>
      </c>
      <c r="D41" s="223"/>
    </row>
    <row r="42" spans="1:5" x14ac:dyDescent="0.25">
      <c r="A42" s="246" t="s">
        <v>115</v>
      </c>
      <c r="B42" s="222" t="s">
        <v>494</v>
      </c>
      <c r="C42" s="223">
        <v>320</v>
      </c>
      <c r="D42" s="223"/>
    </row>
    <row r="43" spans="1:5" x14ac:dyDescent="0.25">
      <c r="A43" s="246" t="s">
        <v>117</v>
      </c>
      <c r="B43" s="222" t="s">
        <v>248</v>
      </c>
      <c r="C43" s="223">
        <f>170+26</f>
        <v>196</v>
      </c>
      <c r="D43" s="223">
        <v>170</v>
      </c>
    </row>
    <row r="44" spans="1:5" x14ac:dyDescent="0.25">
      <c r="A44" s="246"/>
      <c r="B44" s="222"/>
      <c r="C44" s="223"/>
      <c r="D44" s="223"/>
    </row>
    <row r="45" spans="1:5" x14ac:dyDescent="0.25">
      <c r="A45" s="246"/>
      <c r="B45" s="222"/>
      <c r="C45" s="223"/>
      <c r="D45" s="223"/>
    </row>
    <row r="46" spans="1:5" ht="15.75" thickBot="1" x14ac:dyDescent="0.3">
      <c r="A46" s="247"/>
      <c r="B46" s="248"/>
      <c r="C46" s="249"/>
      <c r="D46" s="249"/>
    </row>
    <row r="47" spans="1:5" ht="15.75" thickBot="1" x14ac:dyDescent="0.3">
      <c r="A47" s="935" t="s">
        <v>146</v>
      </c>
      <c r="B47" s="936"/>
      <c r="C47" s="224">
        <f>SUM(C48:C49)</f>
        <v>-250</v>
      </c>
      <c r="D47" s="224">
        <f>SUM(D48:D49)</f>
        <v>0</v>
      </c>
    </row>
    <row r="48" spans="1:5" x14ac:dyDescent="0.25">
      <c r="A48" s="250" t="s">
        <v>107</v>
      </c>
      <c r="B48" s="251" t="s">
        <v>510</v>
      </c>
      <c r="C48" s="252">
        <v>-250</v>
      </c>
      <c r="D48" s="252"/>
    </row>
    <row r="49" spans="1:5" ht="15.75" thickBot="1" x14ac:dyDescent="0.3">
      <c r="A49" s="250"/>
      <c r="B49" s="251"/>
      <c r="C49" s="252"/>
      <c r="D49" s="252"/>
    </row>
    <row r="50" spans="1:5" ht="15.75" thickBot="1" x14ac:dyDescent="0.3">
      <c r="A50" s="937" t="s">
        <v>158</v>
      </c>
      <c r="B50" s="938"/>
      <c r="C50" s="228">
        <f>C51</f>
        <v>0</v>
      </c>
      <c r="D50" s="228">
        <f>D51</f>
        <v>0</v>
      </c>
    </row>
    <row r="51" spans="1:5" ht="15.75" thickBot="1" x14ac:dyDescent="0.3">
      <c r="A51" s="253"/>
      <c r="B51" s="254"/>
      <c r="C51" s="231">
        <v>0</v>
      </c>
      <c r="D51" s="231">
        <v>0</v>
      </c>
    </row>
    <row r="52" spans="1:5" ht="15.75" thickBot="1" x14ac:dyDescent="0.3">
      <c r="A52" s="939" t="s">
        <v>220</v>
      </c>
      <c r="B52" s="940"/>
      <c r="C52" s="238">
        <f>C38+C47+C50</f>
        <v>9566</v>
      </c>
      <c r="D52" s="238">
        <f>D38+D47+D50</f>
        <v>1170</v>
      </c>
      <c r="E52" s="171">
        <f>C52-D52</f>
        <v>8396</v>
      </c>
    </row>
    <row r="53" spans="1:5" x14ac:dyDescent="0.25">
      <c r="A53" s="255" t="s">
        <v>54</v>
      </c>
      <c r="B53" s="256" t="s">
        <v>485</v>
      </c>
      <c r="C53" s="257">
        <v>1</v>
      </c>
      <c r="D53" s="257">
        <v>25</v>
      </c>
      <c r="E53" s="171"/>
    </row>
    <row r="54" spans="1:5" ht="15.75" thickBot="1" x14ac:dyDescent="0.3">
      <c r="A54" s="255" t="s">
        <v>54</v>
      </c>
      <c r="B54" s="256" t="s">
        <v>226</v>
      </c>
      <c r="C54" s="257">
        <f>400+693+2291+627</f>
        <v>4011</v>
      </c>
      <c r="D54" s="257">
        <f>400+693+2291</f>
        <v>3384</v>
      </c>
      <c r="E54" s="171"/>
    </row>
    <row r="55" spans="1:5" ht="15.75" thickBot="1" x14ac:dyDescent="0.3">
      <c r="A55" s="941" t="s">
        <v>221</v>
      </c>
      <c r="B55" s="942"/>
      <c r="C55" s="242">
        <f>SUM(C52:C54)</f>
        <v>13578</v>
      </c>
      <c r="D55" s="242">
        <f>SUM(D52:D54)</f>
        <v>4579</v>
      </c>
      <c r="E55" s="171">
        <f t="shared" ref="E55" si="1">C55-D55</f>
        <v>8999</v>
      </c>
    </row>
    <row r="56" spans="1:5" x14ac:dyDescent="0.25">
      <c r="C56" s="171">
        <f>C55-C34</f>
        <v>0</v>
      </c>
      <c r="D56" s="171">
        <f>D55-D34</f>
        <v>0</v>
      </c>
    </row>
    <row r="58" spans="1:5" x14ac:dyDescent="0.25">
      <c r="A58" t="s">
        <v>228</v>
      </c>
    </row>
    <row r="59" spans="1:5" x14ac:dyDescent="0.25">
      <c r="A59" s="261" t="s">
        <v>495</v>
      </c>
    </row>
    <row r="60" spans="1:5" x14ac:dyDescent="0.25">
      <c r="A60" s="261"/>
    </row>
    <row r="61" spans="1:5" ht="18" x14ac:dyDescent="0.25">
      <c r="A61" s="933" t="s">
        <v>469</v>
      </c>
      <c r="B61" s="933"/>
      <c r="C61" s="933"/>
    </row>
    <row r="62" spans="1:5" x14ac:dyDescent="0.25">
      <c r="A62" s="951" t="s">
        <v>211</v>
      </c>
      <c r="B62" s="951"/>
      <c r="C62" s="951"/>
    </row>
    <row r="63" spans="1:5" x14ac:dyDescent="0.25">
      <c r="A63" s="587"/>
      <c r="B63" s="587" t="s">
        <v>212</v>
      </c>
      <c r="C63" s="587"/>
    </row>
    <row r="64" spans="1:5" x14ac:dyDescent="0.25">
      <c r="A64" s="587"/>
      <c r="B64" s="587"/>
      <c r="C64" s="587"/>
    </row>
    <row r="65" spans="1:3" ht="15.75" thickBot="1" x14ac:dyDescent="0.3">
      <c r="A65" s="948" t="s">
        <v>213</v>
      </c>
      <c r="B65" s="948"/>
      <c r="C65" s="948"/>
    </row>
    <row r="66" spans="1:3" ht="15.75" thickBot="1" x14ac:dyDescent="0.3">
      <c r="A66" s="212" t="s">
        <v>214</v>
      </c>
      <c r="B66" s="213" t="s">
        <v>215</v>
      </c>
      <c r="C66" s="214" t="s">
        <v>216</v>
      </c>
    </row>
    <row r="67" spans="1:3" ht="15.75" thickBot="1" x14ac:dyDescent="0.3">
      <c r="A67" s="949" t="s">
        <v>217</v>
      </c>
      <c r="B67" s="950"/>
      <c r="C67" s="215">
        <f>SUM(C68:C72)</f>
        <v>1673</v>
      </c>
    </row>
    <row r="68" spans="1:3" x14ac:dyDescent="0.25">
      <c r="A68" s="216">
        <v>223</v>
      </c>
      <c r="B68" s="217" t="s">
        <v>420</v>
      </c>
      <c r="C68" s="218">
        <v>1000</v>
      </c>
    </row>
    <row r="69" spans="1:3" x14ac:dyDescent="0.25">
      <c r="A69" s="216">
        <v>292</v>
      </c>
      <c r="B69" s="217" t="s">
        <v>502</v>
      </c>
      <c r="C69" s="218">
        <v>700</v>
      </c>
    </row>
    <row r="70" spans="1:3" x14ac:dyDescent="0.25">
      <c r="A70" s="216">
        <v>312</v>
      </c>
      <c r="B70" s="217" t="s">
        <v>473</v>
      </c>
      <c r="C70" s="218">
        <v>150</v>
      </c>
    </row>
    <row r="71" spans="1:3" x14ac:dyDescent="0.25">
      <c r="A71" s="216">
        <v>312</v>
      </c>
      <c r="B71" s="217" t="s">
        <v>475</v>
      </c>
      <c r="C71" s="218">
        <f>4806-4983</f>
        <v>-177</v>
      </c>
    </row>
    <row r="72" spans="1:3" x14ac:dyDescent="0.25">
      <c r="A72" s="216"/>
      <c r="B72" s="217"/>
      <c r="C72" s="218"/>
    </row>
    <row r="73" spans="1:3" ht="15.75" thickBot="1" x14ac:dyDescent="0.3">
      <c r="A73" s="952"/>
      <c r="B73" s="953"/>
      <c r="C73" s="954"/>
    </row>
    <row r="74" spans="1:3" ht="15.75" thickBot="1" x14ac:dyDescent="0.3">
      <c r="A74" s="935" t="s">
        <v>146</v>
      </c>
      <c r="B74" s="955"/>
      <c r="C74" s="224">
        <f>SUM(C75:C76)</f>
        <v>0</v>
      </c>
    </row>
    <row r="75" spans="1:3" x14ac:dyDescent="0.25">
      <c r="A75" s="317"/>
      <c r="B75" s="318"/>
      <c r="C75" s="319"/>
    </row>
    <row r="76" spans="1:3" x14ac:dyDescent="0.25">
      <c r="A76" s="320"/>
      <c r="B76" s="321"/>
      <c r="C76" s="322"/>
    </row>
    <row r="77" spans="1:3" ht="15.75" thickBot="1" x14ac:dyDescent="0.3">
      <c r="A77" s="943"/>
      <c r="B77" s="944"/>
      <c r="C77" s="945"/>
    </row>
    <row r="78" spans="1:3" ht="15.75" thickBot="1" x14ac:dyDescent="0.3">
      <c r="A78" s="937" t="s">
        <v>158</v>
      </c>
      <c r="B78" s="946"/>
      <c r="C78" s="228">
        <f>SUM(C79:C81)</f>
        <v>0</v>
      </c>
    </row>
    <row r="79" spans="1:3" x14ac:dyDescent="0.25">
      <c r="A79" s="229">
        <v>454</v>
      </c>
      <c r="B79" s="230" t="s">
        <v>233</v>
      </c>
      <c r="C79" s="231">
        <v>0</v>
      </c>
    </row>
    <row r="80" spans="1:3" x14ac:dyDescent="0.25">
      <c r="A80" s="232">
        <v>453</v>
      </c>
      <c r="B80" s="233" t="s">
        <v>218</v>
      </c>
      <c r="C80" s="234">
        <v>0</v>
      </c>
    </row>
    <row r="81" spans="1:5" ht="15.75" thickBot="1" x14ac:dyDescent="0.3">
      <c r="A81" s="235">
        <v>513</v>
      </c>
      <c r="B81" s="236" t="s">
        <v>219</v>
      </c>
      <c r="C81" s="237">
        <v>0</v>
      </c>
    </row>
    <row r="82" spans="1:5" ht="15.75" thickBot="1" x14ac:dyDescent="0.3">
      <c r="A82" s="939" t="s">
        <v>220</v>
      </c>
      <c r="B82" s="940"/>
      <c r="C82" s="238">
        <f>C67+C74+C78</f>
        <v>1673</v>
      </c>
    </row>
    <row r="83" spans="1:5" ht="15.75" thickBot="1" x14ac:dyDescent="0.3">
      <c r="A83" s="239" t="s">
        <v>54</v>
      </c>
      <c r="B83" s="240" t="s">
        <v>55</v>
      </c>
      <c r="C83" s="241">
        <v>0</v>
      </c>
    </row>
    <row r="84" spans="1:5" ht="15.75" thickBot="1" x14ac:dyDescent="0.3">
      <c r="A84" s="941" t="s">
        <v>221</v>
      </c>
      <c r="B84" s="947"/>
      <c r="C84" s="242">
        <f>SUM(C82:C83)</f>
        <v>1673</v>
      </c>
    </row>
    <row r="85" spans="1:5" x14ac:dyDescent="0.25">
      <c r="B85" s="138"/>
      <c r="C85" s="171"/>
    </row>
    <row r="86" spans="1:5" ht="15.75" thickBot="1" x14ac:dyDescent="0.3">
      <c r="A86" s="948" t="s">
        <v>222</v>
      </c>
      <c r="B86" s="948"/>
      <c r="C86" s="948"/>
    </row>
    <row r="87" spans="1:5" ht="15.75" thickBot="1" x14ac:dyDescent="0.3">
      <c r="A87" s="243" t="s">
        <v>223</v>
      </c>
      <c r="B87" s="244" t="s">
        <v>224</v>
      </c>
      <c r="C87" s="245" t="s">
        <v>216</v>
      </c>
    </row>
    <row r="88" spans="1:5" ht="15.75" thickBot="1" x14ac:dyDescent="0.3">
      <c r="A88" s="949" t="s">
        <v>217</v>
      </c>
      <c r="B88" s="950"/>
      <c r="C88" s="215">
        <f>SUM(C89:C94)</f>
        <v>1850</v>
      </c>
      <c r="D88">
        <f>SUM(D89:D97)</f>
        <v>8124</v>
      </c>
    </row>
    <row r="89" spans="1:5" x14ac:dyDescent="0.25">
      <c r="A89" s="246" t="s">
        <v>65</v>
      </c>
      <c r="B89" s="222" t="s">
        <v>474</v>
      </c>
      <c r="C89" s="223">
        <v>150</v>
      </c>
      <c r="D89">
        <v>1600</v>
      </c>
    </row>
    <row r="90" spans="1:5" x14ac:dyDescent="0.25">
      <c r="A90" s="246" t="s">
        <v>71</v>
      </c>
      <c r="B90" s="222" t="s">
        <v>477</v>
      </c>
      <c r="C90" s="223">
        <v>-200</v>
      </c>
      <c r="D90">
        <v>500</v>
      </c>
    </row>
    <row r="91" spans="1:5" x14ac:dyDescent="0.25">
      <c r="A91" s="246" t="s">
        <v>73</v>
      </c>
      <c r="B91" s="222" t="s">
        <v>470</v>
      </c>
      <c r="C91" s="223">
        <v>700</v>
      </c>
    </row>
    <row r="92" spans="1:5" x14ac:dyDescent="0.25">
      <c r="A92" s="246" t="s">
        <v>87</v>
      </c>
      <c r="B92" s="222" t="s">
        <v>476</v>
      </c>
      <c r="C92" s="223">
        <v>1000</v>
      </c>
      <c r="E92" s="171">
        <f>C116-D88</f>
        <v>321</v>
      </c>
    </row>
    <row r="93" spans="1:5" x14ac:dyDescent="0.25">
      <c r="A93" s="246" t="s">
        <v>119</v>
      </c>
      <c r="B93" s="222" t="s">
        <v>478</v>
      </c>
      <c r="C93" s="223">
        <v>200</v>
      </c>
    </row>
    <row r="94" spans="1:5" x14ac:dyDescent="0.25">
      <c r="A94" s="246"/>
      <c r="B94" s="222"/>
      <c r="C94" s="223"/>
    </row>
    <row r="95" spans="1:5" ht="15.75" thickBot="1" x14ac:dyDescent="0.3">
      <c r="A95" s="247"/>
      <c r="B95" s="248"/>
      <c r="C95" s="249"/>
    </row>
    <row r="96" spans="1:5" ht="15.75" thickBot="1" x14ac:dyDescent="0.3">
      <c r="A96" s="935" t="s">
        <v>146</v>
      </c>
      <c r="B96" s="936"/>
      <c r="C96" s="224">
        <f>SUM(C97:C98)</f>
        <v>0</v>
      </c>
      <c r="D96">
        <v>6024</v>
      </c>
    </row>
    <row r="97" spans="1:3" x14ac:dyDescent="0.25">
      <c r="A97" s="250"/>
      <c r="B97" s="251"/>
      <c r="C97" s="252"/>
    </row>
    <row r="98" spans="1:3" ht="15.75" thickBot="1" x14ac:dyDescent="0.3">
      <c r="A98" s="250"/>
      <c r="B98" s="251"/>
      <c r="C98" s="252"/>
    </row>
    <row r="99" spans="1:3" ht="15.75" thickBot="1" x14ac:dyDescent="0.3">
      <c r="A99" s="937" t="s">
        <v>158</v>
      </c>
      <c r="B99" s="938"/>
      <c r="C99" s="228">
        <f>C100</f>
        <v>0</v>
      </c>
    </row>
    <row r="100" spans="1:3" ht="15.75" thickBot="1" x14ac:dyDescent="0.3">
      <c r="A100" s="253"/>
      <c r="B100" s="254"/>
      <c r="C100" s="231">
        <v>0</v>
      </c>
    </row>
    <row r="101" spans="1:3" ht="15.75" thickBot="1" x14ac:dyDescent="0.3">
      <c r="A101" s="939" t="s">
        <v>220</v>
      </c>
      <c r="B101" s="940"/>
      <c r="C101" s="238">
        <f>C88+C96+C99</f>
        <v>1850</v>
      </c>
    </row>
    <row r="102" spans="1:3" ht="15.75" thickBot="1" x14ac:dyDescent="0.3">
      <c r="A102" s="255" t="s">
        <v>54</v>
      </c>
      <c r="B102" s="256" t="s">
        <v>226</v>
      </c>
      <c r="C102" s="257">
        <v>-177</v>
      </c>
    </row>
    <row r="103" spans="1:3" ht="15.75" thickBot="1" x14ac:dyDescent="0.3">
      <c r="A103" s="941" t="s">
        <v>221</v>
      </c>
      <c r="B103" s="942"/>
      <c r="C103" s="242">
        <f>SUM(C101:C102)</f>
        <v>1673</v>
      </c>
    </row>
    <row r="104" spans="1:3" x14ac:dyDescent="0.25">
      <c r="C104" s="171">
        <f>C103-C84</f>
        <v>0</v>
      </c>
    </row>
    <row r="106" spans="1:3" x14ac:dyDescent="0.25">
      <c r="A106" t="s">
        <v>228</v>
      </c>
    </row>
    <row r="107" spans="1:3" x14ac:dyDescent="0.25">
      <c r="A107" s="261" t="s">
        <v>468</v>
      </c>
    </row>
    <row r="110" spans="1:3" ht="18" x14ac:dyDescent="0.25">
      <c r="A110" s="933" t="s">
        <v>385</v>
      </c>
      <c r="B110" s="933"/>
      <c r="C110" s="933"/>
    </row>
    <row r="111" spans="1:3" x14ac:dyDescent="0.25">
      <c r="A111" s="951" t="s">
        <v>211</v>
      </c>
      <c r="B111" s="951"/>
      <c r="C111" s="951"/>
    </row>
    <row r="112" spans="1:3" x14ac:dyDescent="0.25">
      <c r="A112" s="492"/>
      <c r="B112" s="492" t="s">
        <v>212</v>
      </c>
      <c r="C112" s="492"/>
    </row>
    <row r="113" spans="1:5" x14ac:dyDescent="0.25">
      <c r="A113" s="492"/>
      <c r="B113" s="492"/>
      <c r="C113" s="492"/>
    </row>
    <row r="114" spans="1:5" ht="15.75" thickBot="1" x14ac:dyDescent="0.3">
      <c r="A114" s="948" t="s">
        <v>213</v>
      </c>
      <c r="B114" s="948"/>
      <c r="C114" s="948"/>
    </row>
    <row r="115" spans="1:5" ht="15.75" thickBot="1" x14ac:dyDescent="0.3">
      <c r="A115" s="212" t="s">
        <v>214</v>
      </c>
      <c r="B115" s="213" t="s">
        <v>215</v>
      </c>
      <c r="C115" s="214" t="s">
        <v>216</v>
      </c>
    </row>
    <row r="116" spans="1:5" ht="15.75" thickBot="1" x14ac:dyDescent="0.3">
      <c r="A116" s="949" t="s">
        <v>217</v>
      </c>
      <c r="B116" s="950"/>
      <c r="C116" s="215">
        <f>SUM(C117:C125)</f>
        <v>8445</v>
      </c>
    </row>
    <row r="117" spans="1:5" x14ac:dyDescent="0.25">
      <c r="A117" s="216">
        <v>212</v>
      </c>
      <c r="B117" s="217" t="s">
        <v>388</v>
      </c>
      <c r="C117" s="218">
        <v>1600</v>
      </c>
    </row>
    <row r="118" spans="1:5" x14ac:dyDescent="0.25">
      <c r="A118" s="216">
        <v>223</v>
      </c>
      <c r="B118" s="217" t="s">
        <v>389</v>
      </c>
      <c r="C118" s="218">
        <f>500+500</f>
        <v>1000</v>
      </c>
    </row>
    <row r="119" spans="1:5" x14ac:dyDescent="0.25">
      <c r="A119" s="216">
        <v>223</v>
      </c>
      <c r="B119" s="217" t="s">
        <v>419</v>
      </c>
      <c r="C119" s="218">
        <v>-2000</v>
      </c>
      <c r="D119">
        <f>SUM(D120:D138)</f>
        <v>2100</v>
      </c>
    </row>
    <row r="120" spans="1:5" x14ac:dyDescent="0.25">
      <c r="A120" s="216">
        <v>223</v>
      </c>
      <c r="B120" s="217" t="s">
        <v>420</v>
      </c>
      <c r="C120" s="218">
        <v>6000</v>
      </c>
    </row>
    <row r="121" spans="1:5" x14ac:dyDescent="0.25">
      <c r="A121" s="216">
        <v>223</v>
      </c>
      <c r="B121" s="217" t="s">
        <v>390</v>
      </c>
      <c r="C121" s="218">
        <v>-4805</v>
      </c>
    </row>
    <row r="122" spans="1:5" x14ac:dyDescent="0.25">
      <c r="A122" s="216">
        <v>292</v>
      </c>
      <c r="B122" s="217" t="s">
        <v>415</v>
      </c>
      <c r="C122" s="218">
        <v>1000</v>
      </c>
    </row>
    <row r="123" spans="1:5" x14ac:dyDescent="0.25">
      <c r="A123" s="216">
        <v>312</v>
      </c>
      <c r="B123" s="217" t="s">
        <v>441</v>
      </c>
      <c r="C123" s="218">
        <v>-1450</v>
      </c>
      <c r="E123" s="171">
        <f>C147-D119</f>
        <v>-42350</v>
      </c>
    </row>
    <row r="124" spans="1:5" x14ac:dyDescent="0.25">
      <c r="A124" s="216">
        <v>312</v>
      </c>
      <c r="B124" s="217" t="s">
        <v>413</v>
      </c>
      <c r="C124" s="218">
        <f>6024+376</f>
        <v>6400</v>
      </c>
    </row>
    <row r="125" spans="1:5" x14ac:dyDescent="0.25">
      <c r="A125" s="216">
        <v>312</v>
      </c>
      <c r="B125" s="217" t="s">
        <v>414</v>
      </c>
      <c r="C125" s="218">
        <v>700</v>
      </c>
      <c r="D125">
        <v>300</v>
      </c>
    </row>
    <row r="126" spans="1:5" ht="15.75" thickBot="1" x14ac:dyDescent="0.3">
      <c r="A126" s="952"/>
      <c r="B126" s="953"/>
      <c r="C126" s="954"/>
    </row>
    <row r="127" spans="1:5" ht="15.75" thickBot="1" x14ac:dyDescent="0.3">
      <c r="A127" s="935" t="s">
        <v>146</v>
      </c>
      <c r="B127" s="955"/>
      <c r="C127" s="224">
        <f>SUM(C128:C134)</f>
        <v>-1759200</v>
      </c>
    </row>
    <row r="128" spans="1:5" x14ac:dyDescent="0.25">
      <c r="A128" s="317">
        <v>233</v>
      </c>
      <c r="B128" s="318" t="s">
        <v>391</v>
      </c>
      <c r="C128" s="319">
        <v>5300</v>
      </c>
      <c r="D128">
        <v>1000</v>
      </c>
    </row>
    <row r="129" spans="1:4" x14ac:dyDescent="0.25">
      <c r="A129" s="320">
        <v>322</v>
      </c>
      <c r="B129" s="321" t="s">
        <v>192</v>
      </c>
      <c r="C129" s="322">
        <v>-200000</v>
      </c>
      <c r="D129">
        <v>200</v>
      </c>
    </row>
    <row r="130" spans="1:4" x14ac:dyDescent="0.25">
      <c r="A130" s="320">
        <v>322</v>
      </c>
      <c r="B130" s="321" t="s">
        <v>398</v>
      </c>
      <c r="C130" s="322">
        <v>-155400</v>
      </c>
    </row>
    <row r="131" spans="1:4" x14ac:dyDescent="0.25">
      <c r="A131" s="320">
        <v>322</v>
      </c>
      <c r="B131" s="321" t="s">
        <v>194</v>
      </c>
      <c r="C131" s="322">
        <v>-24000</v>
      </c>
    </row>
    <row r="132" spans="1:4" x14ac:dyDescent="0.25">
      <c r="A132" s="320">
        <v>322</v>
      </c>
      <c r="B132" s="321" t="s">
        <v>399</v>
      </c>
      <c r="C132" s="322">
        <v>-1222600</v>
      </c>
    </row>
    <row r="133" spans="1:4" x14ac:dyDescent="0.25">
      <c r="A133" s="320">
        <v>322</v>
      </c>
      <c r="B133" s="321" t="s">
        <v>421</v>
      </c>
      <c r="C133" s="322">
        <v>-132500</v>
      </c>
    </row>
    <row r="134" spans="1:4" x14ac:dyDescent="0.25">
      <c r="A134" s="320">
        <v>322</v>
      </c>
      <c r="B134" s="321" t="s">
        <v>400</v>
      </c>
      <c r="C134" s="322">
        <v>-30000</v>
      </c>
    </row>
    <row r="135" spans="1:4" ht="15.75" thickBot="1" x14ac:dyDescent="0.3">
      <c r="A135" s="943"/>
      <c r="B135" s="944"/>
      <c r="C135" s="945"/>
      <c r="D135">
        <v>600</v>
      </c>
    </row>
    <row r="136" spans="1:4" ht="15.75" thickBot="1" x14ac:dyDescent="0.3">
      <c r="A136" s="937" t="s">
        <v>158</v>
      </c>
      <c r="B136" s="946"/>
      <c r="C136" s="228">
        <f>SUM(C137:C139)</f>
        <v>-679700</v>
      </c>
    </row>
    <row r="137" spans="1:4" x14ac:dyDescent="0.25">
      <c r="A137" s="229">
        <v>454</v>
      </c>
      <c r="B137" s="230" t="s">
        <v>409</v>
      </c>
      <c r="C137" s="231">
        <f>-14600-144400-53000-19800</f>
        <v>-231800</v>
      </c>
    </row>
    <row r="138" spans="1:4" x14ac:dyDescent="0.25">
      <c r="A138" s="232">
        <v>453</v>
      </c>
      <c r="B138" s="233" t="s">
        <v>218</v>
      </c>
      <c r="C138" s="234">
        <v>0</v>
      </c>
    </row>
    <row r="139" spans="1:4" ht="15.75" thickBot="1" x14ac:dyDescent="0.3">
      <c r="A139" s="235">
        <v>513</v>
      </c>
      <c r="B139" s="236" t="s">
        <v>219</v>
      </c>
      <c r="C139" s="237">
        <v>-447900</v>
      </c>
    </row>
    <row r="140" spans="1:4" ht="15.75" thickBot="1" x14ac:dyDescent="0.3">
      <c r="A140" s="939" t="s">
        <v>220</v>
      </c>
      <c r="B140" s="940"/>
      <c r="C140" s="238">
        <f>C116+C127+C136</f>
        <v>-2430455</v>
      </c>
    </row>
    <row r="141" spans="1:4" x14ac:dyDescent="0.25">
      <c r="A141" s="503" t="s">
        <v>54</v>
      </c>
      <c r="B141" s="504" t="s">
        <v>55</v>
      </c>
      <c r="C141" s="505">
        <v>0</v>
      </c>
    </row>
    <row r="142" spans="1:4" ht="15.75" thickBot="1" x14ac:dyDescent="0.3">
      <c r="A142" s="239" t="s">
        <v>54</v>
      </c>
      <c r="B142" s="240" t="s">
        <v>387</v>
      </c>
      <c r="C142" s="241">
        <v>4905</v>
      </c>
    </row>
    <row r="143" spans="1:4" ht="15.75" thickBot="1" x14ac:dyDescent="0.3">
      <c r="A143" s="941" t="s">
        <v>221</v>
      </c>
      <c r="B143" s="947"/>
      <c r="C143" s="242">
        <f>SUM(C140:C142)</f>
        <v>-2425550</v>
      </c>
    </row>
    <row r="144" spans="1:4" x14ac:dyDescent="0.25">
      <c r="B144" s="138"/>
      <c r="C144" s="171"/>
    </row>
    <row r="145" spans="1:4" ht="15.75" thickBot="1" x14ac:dyDescent="0.3">
      <c r="A145" s="948" t="s">
        <v>222</v>
      </c>
      <c r="B145" s="948"/>
      <c r="C145" s="948"/>
    </row>
    <row r="146" spans="1:4" ht="15.75" thickBot="1" x14ac:dyDescent="0.3">
      <c r="A146" s="243" t="s">
        <v>223</v>
      </c>
      <c r="B146" s="244" t="s">
        <v>224</v>
      </c>
      <c r="C146" s="245" t="s">
        <v>216</v>
      </c>
    </row>
    <row r="147" spans="1:4" ht="15.75" thickBot="1" x14ac:dyDescent="0.3">
      <c r="A147" s="949" t="s">
        <v>217</v>
      </c>
      <c r="B147" s="950"/>
      <c r="C147" s="215">
        <f>SUM(C148:C166)</f>
        <v>-40250</v>
      </c>
    </row>
    <row r="148" spans="1:4" x14ac:dyDescent="0.25">
      <c r="A148" s="246" t="s">
        <v>59</v>
      </c>
      <c r="B148" s="222" t="s">
        <v>437</v>
      </c>
      <c r="C148" s="223">
        <f>1500+300+300+2000</f>
        <v>4100</v>
      </c>
    </row>
    <row r="149" spans="1:4" x14ac:dyDescent="0.25">
      <c r="A149" s="246" t="s">
        <v>61</v>
      </c>
      <c r="B149" s="222" t="s">
        <v>422</v>
      </c>
      <c r="C149" s="223">
        <f>500-2000</f>
        <v>-1500</v>
      </c>
    </row>
    <row r="150" spans="1:4" x14ac:dyDescent="0.25">
      <c r="A150" s="246" t="s">
        <v>65</v>
      </c>
      <c r="B150" s="222" t="s">
        <v>440</v>
      </c>
      <c r="C150" s="223">
        <v>-1450</v>
      </c>
    </row>
    <row r="151" spans="1:4" x14ac:dyDescent="0.25">
      <c r="A151" s="246" t="s">
        <v>76</v>
      </c>
      <c r="B151" s="222" t="s">
        <v>423</v>
      </c>
      <c r="C151" s="223">
        <v>300</v>
      </c>
    </row>
    <row r="152" spans="1:4" x14ac:dyDescent="0.25">
      <c r="A152" s="246" t="s">
        <v>80</v>
      </c>
      <c r="B152" s="222" t="s">
        <v>424</v>
      </c>
      <c r="C152" s="223">
        <v>-3000</v>
      </c>
    </row>
    <row r="153" spans="1:4" x14ac:dyDescent="0.25">
      <c r="A153" s="246" t="s">
        <v>85</v>
      </c>
      <c r="B153" s="222" t="s">
        <v>401</v>
      </c>
      <c r="C153" s="223">
        <f>300+1000+1000</f>
        <v>2300</v>
      </c>
    </row>
    <row r="154" spans="1:4" x14ac:dyDescent="0.25">
      <c r="A154" s="246" t="s">
        <v>87</v>
      </c>
      <c r="B154" s="222" t="s">
        <v>417</v>
      </c>
      <c r="C154" s="223">
        <v>-2000</v>
      </c>
    </row>
    <row r="155" spans="1:4" x14ac:dyDescent="0.25">
      <c r="A155" s="246" t="s">
        <v>89</v>
      </c>
      <c r="B155" s="222" t="s">
        <v>438</v>
      </c>
      <c r="C155" s="223">
        <v>-100</v>
      </c>
    </row>
    <row r="156" spans="1:4" x14ac:dyDescent="0.25">
      <c r="A156" s="246" t="s">
        <v>93</v>
      </c>
      <c r="B156" s="222" t="s">
        <v>412</v>
      </c>
      <c r="C156" s="223">
        <f>1000+3000</f>
        <v>4000</v>
      </c>
    </row>
    <row r="157" spans="1:4" x14ac:dyDescent="0.25">
      <c r="A157" s="246" t="s">
        <v>104</v>
      </c>
      <c r="B157" s="222" t="s">
        <v>411</v>
      </c>
      <c r="C157" s="223">
        <v>200</v>
      </c>
      <c r="D157">
        <v>6024</v>
      </c>
    </row>
    <row r="158" spans="1:4" x14ac:dyDescent="0.25">
      <c r="A158" s="246" t="s">
        <v>107</v>
      </c>
      <c r="B158" s="222" t="s">
        <v>426</v>
      </c>
      <c r="C158" s="223">
        <f>-800-1000+1800</f>
        <v>0</v>
      </c>
      <c r="D158" s="171"/>
    </row>
    <row r="159" spans="1:4" x14ac:dyDescent="0.25">
      <c r="A159" s="246" t="s">
        <v>109</v>
      </c>
      <c r="B159" s="222" t="s">
        <v>418</v>
      </c>
      <c r="C159" s="223">
        <v>-2000</v>
      </c>
    </row>
    <row r="160" spans="1:4" x14ac:dyDescent="0.25">
      <c r="A160" s="246" t="s">
        <v>113</v>
      </c>
      <c r="B160" s="222" t="s">
        <v>427</v>
      </c>
      <c r="C160" s="223">
        <v>-2000</v>
      </c>
    </row>
    <row r="161" spans="1:3" x14ac:dyDescent="0.25">
      <c r="A161" s="246" t="s">
        <v>117</v>
      </c>
      <c r="B161" s="222" t="s">
        <v>428</v>
      </c>
      <c r="C161" s="223">
        <v>-3600</v>
      </c>
    </row>
    <row r="162" spans="1:3" x14ac:dyDescent="0.25">
      <c r="A162" s="246" t="s">
        <v>119</v>
      </c>
      <c r="B162" s="222" t="s">
        <v>429</v>
      </c>
      <c r="C162" s="223">
        <f>-59000+400</f>
        <v>-58600</v>
      </c>
    </row>
    <row r="163" spans="1:3" x14ac:dyDescent="0.25">
      <c r="A163" s="246" t="s">
        <v>402</v>
      </c>
      <c r="B163" s="222" t="s">
        <v>403</v>
      </c>
      <c r="C163" s="223">
        <f>100+200+200+100+900+1200+1200-500</f>
        <v>3400</v>
      </c>
    </row>
    <row r="164" spans="1:3" x14ac:dyDescent="0.25">
      <c r="A164" s="246" t="s">
        <v>126</v>
      </c>
      <c r="B164" s="222" t="s">
        <v>416</v>
      </c>
      <c r="C164" s="223">
        <v>700</v>
      </c>
    </row>
    <row r="165" spans="1:3" x14ac:dyDescent="0.25">
      <c r="A165" s="246" t="s">
        <v>131</v>
      </c>
      <c r="B165" s="222" t="s">
        <v>442</v>
      </c>
      <c r="C165" s="223">
        <v>7000</v>
      </c>
    </row>
    <row r="166" spans="1:3" x14ac:dyDescent="0.25">
      <c r="A166" s="246" t="s">
        <v>134</v>
      </c>
      <c r="B166" s="222" t="s">
        <v>439</v>
      </c>
      <c r="C166" s="223">
        <v>12000</v>
      </c>
    </row>
    <row r="167" spans="1:3" ht="15.75" thickBot="1" x14ac:dyDescent="0.3">
      <c r="A167" s="247"/>
      <c r="B167" s="248"/>
      <c r="C167" s="249"/>
    </row>
    <row r="168" spans="1:3" ht="15.75" thickBot="1" x14ac:dyDescent="0.3">
      <c r="A168" s="935" t="s">
        <v>146</v>
      </c>
      <c r="B168" s="936"/>
      <c r="C168" s="224">
        <f>SUM(C169:C181)</f>
        <v>-2407700</v>
      </c>
    </row>
    <row r="169" spans="1:3" x14ac:dyDescent="0.25">
      <c r="A169" s="250" t="s">
        <v>59</v>
      </c>
      <c r="B169" s="251" t="s">
        <v>185</v>
      </c>
      <c r="C169" s="252">
        <v>-3000</v>
      </c>
    </row>
    <row r="170" spans="1:3" x14ac:dyDescent="0.25">
      <c r="A170" s="250" t="s">
        <v>59</v>
      </c>
      <c r="B170" s="251" t="s">
        <v>430</v>
      </c>
      <c r="C170" s="252">
        <v>-140000</v>
      </c>
    </row>
    <row r="171" spans="1:3" x14ac:dyDescent="0.25">
      <c r="A171" s="250" t="s">
        <v>71</v>
      </c>
      <c r="B171" s="251" t="s">
        <v>353</v>
      </c>
      <c r="C171" s="252">
        <v>-32000</v>
      </c>
    </row>
    <row r="172" spans="1:3" x14ac:dyDescent="0.25">
      <c r="A172" s="250" t="s">
        <v>78</v>
      </c>
      <c r="B172" s="251" t="s">
        <v>404</v>
      </c>
      <c r="C172" s="252">
        <v>-7000</v>
      </c>
    </row>
    <row r="173" spans="1:3" x14ac:dyDescent="0.25">
      <c r="A173" s="250" t="s">
        <v>87</v>
      </c>
      <c r="B173" s="251" t="s">
        <v>405</v>
      </c>
      <c r="C173" s="252">
        <v>-1287000</v>
      </c>
    </row>
    <row r="174" spans="1:3" x14ac:dyDescent="0.25">
      <c r="A174" s="250" t="s">
        <v>154</v>
      </c>
      <c r="B174" s="251" t="s">
        <v>425</v>
      </c>
      <c r="C174" s="252">
        <v>-4000</v>
      </c>
    </row>
    <row r="175" spans="1:3" x14ac:dyDescent="0.25">
      <c r="A175" s="250" t="s">
        <v>97</v>
      </c>
      <c r="B175" s="251" t="s">
        <v>406</v>
      </c>
      <c r="C175" s="252">
        <v>-163600</v>
      </c>
    </row>
    <row r="176" spans="1:3" x14ac:dyDescent="0.25">
      <c r="A176" s="250" t="s">
        <v>107</v>
      </c>
      <c r="B176" s="251" t="s">
        <v>207</v>
      </c>
      <c r="C176" s="252">
        <v>-37500</v>
      </c>
    </row>
    <row r="177" spans="1:3" x14ac:dyDescent="0.25">
      <c r="A177" s="250" t="s">
        <v>107</v>
      </c>
      <c r="B177" s="251" t="s">
        <v>431</v>
      </c>
      <c r="C177" s="252">
        <v>-10000</v>
      </c>
    </row>
    <row r="178" spans="1:3" x14ac:dyDescent="0.25">
      <c r="A178" s="250" t="s">
        <v>107</v>
      </c>
      <c r="B178" s="251" t="s">
        <v>432</v>
      </c>
      <c r="C178" s="252">
        <v>-8000</v>
      </c>
    </row>
    <row r="179" spans="1:3" x14ac:dyDescent="0.25">
      <c r="A179" s="250" t="s">
        <v>109</v>
      </c>
      <c r="B179" s="251" t="s">
        <v>182</v>
      </c>
      <c r="C179" s="252">
        <v>-500000</v>
      </c>
    </row>
    <row r="180" spans="1:3" x14ac:dyDescent="0.25">
      <c r="A180" s="250" t="s">
        <v>407</v>
      </c>
      <c r="B180" s="251" t="s">
        <v>289</v>
      </c>
      <c r="C180" s="252">
        <v>-213200</v>
      </c>
    </row>
    <row r="181" spans="1:3" ht="15.75" thickBot="1" x14ac:dyDescent="0.3">
      <c r="A181" s="250" t="s">
        <v>126</v>
      </c>
      <c r="B181" s="251" t="s">
        <v>408</v>
      </c>
      <c r="C181" s="252">
        <v>-2400</v>
      </c>
    </row>
    <row r="182" spans="1:3" ht="15.75" thickBot="1" x14ac:dyDescent="0.3">
      <c r="A182" s="937" t="s">
        <v>158</v>
      </c>
      <c r="B182" s="938"/>
      <c r="C182" s="228">
        <f>C183</f>
        <v>-53000</v>
      </c>
    </row>
    <row r="183" spans="1:3" ht="15.75" thickBot="1" x14ac:dyDescent="0.3">
      <c r="A183" s="253" t="s">
        <v>78</v>
      </c>
      <c r="B183" s="254" t="s">
        <v>225</v>
      </c>
      <c r="C183" s="231">
        <v>-53000</v>
      </c>
    </row>
    <row r="184" spans="1:3" ht="15.75" thickBot="1" x14ac:dyDescent="0.3">
      <c r="A184" s="939" t="s">
        <v>220</v>
      </c>
      <c r="B184" s="940"/>
      <c r="C184" s="238">
        <f>C147+C168+C182</f>
        <v>-2500950</v>
      </c>
    </row>
    <row r="185" spans="1:3" x14ac:dyDescent="0.25">
      <c r="A185" s="255" t="s">
        <v>54</v>
      </c>
      <c r="B185" s="256" t="s">
        <v>141</v>
      </c>
      <c r="C185" s="257">
        <f>6024+376</f>
        <v>6400</v>
      </c>
    </row>
    <row r="186" spans="1:3" ht="15.75" thickBot="1" x14ac:dyDescent="0.3">
      <c r="A186" s="255" t="s">
        <v>54</v>
      </c>
      <c r="B186" s="256" t="s">
        <v>392</v>
      </c>
      <c r="C186" s="257">
        <v>69000</v>
      </c>
    </row>
    <row r="187" spans="1:3" ht="15.75" thickBot="1" x14ac:dyDescent="0.3">
      <c r="A187" s="941" t="s">
        <v>221</v>
      </c>
      <c r="B187" s="942"/>
      <c r="C187" s="242">
        <f>SUM(C184:C186)</f>
        <v>-2425550</v>
      </c>
    </row>
    <row r="188" spans="1:3" x14ac:dyDescent="0.25">
      <c r="C188" s="171">
        <f>C187-C143</f>
        <v>0</v>
      </c>
    </row>
    <row r="190" spans="1:3" x14ac:dyDescent="0.25">
      <c r="A190" t="s">
        <v>228</v>
      </c>
    </row>
    <row r="191" spans="1:3" x14ac:dyDescent="0.25">
      <c r="A191" s="261" t="s">
        <v>433</v>
      </c>
    </row>
    <row r="194" spans="1:4" ht="18" x14ac:dyDescent="0.25">
      <c r="A194" s="933" t="s">
        <v>335</v>
      </c>
      <c r="B194" s="933"/>
      <c r="C194" s="933"/>
    </row>
    <row r="195" spans="1:4" x14ac:dyDescent="0.25">
      <c r="A195" s="951" t="s">
        <v>211</v>
      </c>
      <c r="B195" s="951"/>
      <c r="C195" s="951"/>
    </row>
    <row r="196" spans="1:4" x14ac:dyDescent="0.25">
      <c r="A196" s="395"/>
      <c r="B196" s="395" t="s">
        <v>212</v>
      </c>
      <c r="C196" s="395"/>
    </row>
    <row r="197" spans="1:4" x14ac:dyDescent="0.25">
      <c r="A197" s="395"/>
      <c r="B197" s="395"/>
      <c r="C197" s="395"/>
    </row>
    <row r="198" spans="1:4" ht="15.75" thickBot="1" x14ac:dyDescent="0.3">
      <c r="A198" s="948" t="s">
        <v>213</v>
      </c>
      <c r="B198" s="948"/>
      <c r="C198" s="948"/>
    </row>
    <row r="199" spans="1:4" ht="15.75" thickBot="1" x14ac:dyDescent="0.3">
      <c r="A199" s="212" t="s">
        <v>214</v>
      </c>
      <c r="B199" s="213" t="s">
        <v>215</v>
      </c>
      <c r="C199" s="214" t="s">
        <v>216</v>
      </c>
    </row>
    <row r="200" spans="1:4" ht="15.75" thickBot="1" x14ac:dyDescent="0.3">
      <c r="A200" s="949" t="s">
        <v>217</v>
      </c>
      <c r="B200" s="950"/>
      <c r="C200" s="215">
        <f>SUM(C201:C211)</f>
        <v>29160</v>
      </c>
    </row>
    <row r="201" spans="1:4" x14ac:dyDescent="0.25">
      <c r="A201" s="216">
        <v>111</v>
      </c>
      <c r="B201" s="217" t="s">
        <v>345</v>
      </c>
      <c r="C201" s="218">
        <v>7000</v>
      </c>
    </row>
    <row r="202" spans="1:4" x14ac:dyDescent="0.25">
      <c r="A202" s="216">
        <v>212</v>
      </c>
      <c r="B202" s="217" t="s">
        <v>362</v>
      </c>
      <c r="C202" s="218">
        <v>1300</v>
      </c>
    </row>
    <row r="203" spans="1:4" x14ac:dyDescent="0.25">
      <c r="A203" s="216">
        <v>223</v>
      </c>
      <c r="B203" s="217" t="s">
        <v>363</v>
      </c>
      <c r="C203" s="218">
        <v>1000</v>
      </c>
    </row>
    <row r="204" spans="1:4" x14ac:dyDescent="0.25">
      <c r="A204" s="216">
        <v>223</v>
      </c>
      <c r="B204" s="217" t="s">
        <v>364</v>
      </c>
      <c r="C204" s="218">
        <v>5750</v>
      </c>
    </row>
    <row r="205" spans="1:4" x14ac:dyDescent="0.25">
      <c r="A205" s="216">
        <v>223</v>
      </c>
      <c r="B205" s="217" t="s">
        <v>365</v>
      </c>
      <c r="C205" s="218">
        <v>5000</v>
      </c>
    </row>
    <row r="206" spans="1:4" x14ac:dyDescent="0.25">
      <c r="A206" s="216">
        <v>311</v>
      </c>
      <c r="B206" s="217" t="s">
        <v>338</v>
      </c>
      <c r="C206" s="218">
        <v>-3950</v>
      </c>
    </row>
    <row r="207" spans="1:4" x14ac:dyDescent="0.25">
      <c r="A207" s="216">
        <v>312</v>
      </c>
      <c r="B207" s="217" t="s">
        <v>366</v>
      </c>
      <c r="C207" s="218">
        <v>-100</v>
      </c>
    </row>
    <row r="208" spans="1:4" x14ac:dyDescent="0.25">
      <c r="A208" s="216">
        <v>312</v>
      </c>
      <c r="B208" s="217" t="s">
        <v>340</v>
      </c>
      <c r="C208" s="218">
        <v>10000</v>
      </c>
      <c r="D208" s="171">
        <f>SUM(C233:C236)</f>
        <v>5600</v>
      </c>
    </row>
    <row r="209" spans="1:3" x14ac:dyDescent="0.25">
      <c r="A209" s="216">
        <v>312</v>
      </c>
      <c r="B209" s="217" t="s">
        <v>367</v>
      </c>
      <c r="C209" s="218">
        <f>2000+1000</f>
        <v>3000</v>
      </c>
    </row>
    <row r="210" spans="1:3" x14ac:dyDescent="0.25">
      <c r="A210" s="216">
        <v>312</v>
      </c>
      <c r="B210" s="217" t="s">
        <v>346</v>
      </c>
      <c r="C210" s="218">
        <v>60</v>
      </c>
    </row>
    <row r="211" spans="1:3" x14ac:dyDescent="0.25">
      <c r="A211" s="216">
        <v>312</v>
      </c>
      <c r="B211" s="217" t="s">
        <v>368</v>
      </c>
      <c r="C211" s="218">
        <v>100</v>
      </c>
    </row>
    <row r="212" spans="1:3" ht="15.75" thickBot="1" x14ac:dyDescent="0.3">
      <c r="A212" s="952"/>
      <c r="B212" s="953"/>
      <c r="C212" s="954"/>
    </row>
    <row r="213" spans="1:3" ht="15.75" thickBot="1" x14ac:dyDescent="0.3">
      <c r="A213" s="935" t="s">
        <v>146</v>
      </c>
      <c r="B213" s="955"/>
      <c r="C213" s="224">
        <f>SUM(C214:C215)</f>
        <v>30000</v>
      </c>
    </row>
    <row r="214" spans="1:3" x14ac:dyDescent="0.25">
      <c r="A214" s="317">
        <v>322</v>
      </c>
      <c r="B214" s="318" t="s">
        <v>369</v>
      </c>
      <c r="C214" s="319">
        <v>30000</v>
      </c>
    </row>
    <row r="215" spans="1:3" x14ac:dyDescent="0.25">
      <c r="A215" s="320"/>
      <c r="B215" s="321"/>
      <c r="C215" s="322"/>
    </row>
    <row r="216" spans="1:3" ht="15.75" thickBot="1" x14ac:dyDescent="0.3">
      <c r="A216" s="943"/>
      <c r="B216" s="944"/>
      <c r="C216" s="945"/>
    </row>
    <row r="217" spans="1:3" ht="15.75" thickBot="1" x14ac:dyDescent="0.3">
      <c r="A217" s="937" t="s">
        <v>158</v>
      </c>
      <c r="B217" s="946"/>
      <c r="C217" s="228">
        <f>SUM(C218:C220)</f>
        <v>18000</v>
      </c>
    </row>
    <row r="218" spans="1:3" x14ac:dyDescent="0.25">
      <c r="A218" s="229">
        <v>454</v>
      </c>
      <c r="B218" s="230" t="s">
        <v>233</v>
      </c>
      <c r="C218" s="231">
        <v>0</v>
      </c>
    </row>
    <row r="219" spans="1:3" x14ac:dyDescent="0.25">
      <c r="A219" s="232">
        <v>453</v>
      </c>
      <c r="B219" s="233" t="s">
        <v>218</v>
      </c>
      <c r="C219" s="234">
        <v>0</v>
      </c>
    </row>
    <row r="220" spans="1:3" ht="15.75" thickBot="1" x14ac:dyDescent="0.3">
      <c r="A220" s="235">
        <v>513</v>
      </c>
      <c r="B220" s="236" t="s">
        <v>219</v>
      </c>
      <c r="C220" s="237">
        <v>18000</v>
      </c>
    </row>
    <row r="221" spans="1:3" ht="15.75" thickBot="1" x14ac:dyDescent="0.3">
      <c r="A221" s="939" t="s">
        <v>220</v>
      </c>
      <c r="B221" s="940"/>
      <c r="C221" s="238">
        <f>C200+C213+C217</f>
        <v>77160</v>
      </c>
    </row>
    <row r="222" spans="1:3" ht="15.75" thickBot="1" x14ac:dyDescent="0.3">
      <c r="A222" s="239" t="s">
        <v>54</v>
      </c>
      <c r="B222" s="240" t="s">
        <v>55</v>
      </c>
      <c r="C222" s="241">
        <v>2770</v>
      </c>
    </row>
    <row r="223" spans="1:3" ht="15.75" thickBot="1" x14ac:dyDescent="0.3">
      <c r="A223" s="941" t="s">
        <v>221</v>
      </c>
      <c r="B223" s="947"/>
      <c r="C223" s="242">
        <f>SUM(C221:C222)</f>
        <v>79930</v>
      </c>
    </row>
    <row r="224" spans="1:3" x14ac:dyDescent="0.25">
      <c r="B224" s="138"/>
      <c r="C224" s="171"/>
    </row>
    <row r="225" spans="1:3" ht="15.75" thickBot="1" x14ac:dyDescent="0.3">
      <c r="A225" s="948" t="s">
        <v>222</v>
      </c>
      <c r="B225" s="948"/>
      <c r="C225" s="948"/>
    </row>
    <row r="226" spans="1:3" ht="15.75" thickBot="1" x14ac:dyDescent="0.3">
      <c r="A226" s="243" t="s">
        <v>223</v>
      </c>
      <c r="B226" s="244" t="s">
        <v>224</v>
      </c>
      <c r="C226" s="245" t="s">
        <v>216</v>
      </c>
    </row>
    <row r="227" spans="1:3" ht="15.75" thickBot="1" x14ac:dyDescent="0.3">
      <c r="A227" s="949" t="s">
        <v>217</v>
      </c>
      <c r="B227" s="950"/>
      <c r="C227" s="215">
        <f>SUM(C228:C240)</f>
        <v>18200</v>
      </c>
    </row>
    <row r="228" spans="1:3" x14ac:dyDescent="0.25">
      <c r="A228" s="246" t="s">
        <v>63</v>
      </c>
      <c r="B228" s="222" t="s">
        <v>370</v>
      </c>
      <c r="C228" s="223">
        <v>100</v>
      </c>
    </row>
    <row r="229" spans="1:3" x14ac:dyDescent="0.25">
      <c r="A229" s="246" t="s">
        <v>78</v>
      </c>
      <c r="B229" s="222" t="s">
        <v>371</v>
      </c>
      <c r="C229" s="223">
        <v>-100</v>
      </c>
    </row>
    <row r="230" spans="1:3" x14ac:dyDescent="0.25">
      <c r="A230" s="246" t="s">
        <v>80</v>
      </c>
      <c r="B230" s="222" t="s">
        <v>341</v>
      </c>
      <c r="C230" s="223">
        <v>10000</v>
      </c>
    </row>
    <row r="231" spans="1:3" x14ac:dyDescent="0.25">
      <c r="A231" s="246" t="s">
        <v>85</v>
      </c>
      <c r="B231" s="222" t="s">
        <v>372</v>
      </c>
      <c r="C231" s="223">
        <v>900</v>
      </c>
    </row>
    <row r="232" spans="1:3" x14ac:dyDescent="0.25">
      <c r="A232" s="246" t="s">
        <v>95</v>
      </c>
      <c r="B232" s="222" t="s">
        <v>374</v>
      </c>
      <c r="C232" s="223">
        <v>800</v>
      </c>
    </row>
    <row r="233" spans="1:3" x14ac:dyDescent="0.25">
      <c r="A233" s="246" t="s">
        <v>109</v>
      </c>
      <c r="B233" s="222" t="s">
        <v>339</v>
      </c>
      <c r="C233" s="223">
        <f>-5950+2000</f>
        <v>-3950</v>
      </c>
    </row>
    <row r="234" spans="1:3" x14ac:dyDescent="0.25">
      <c r="A234" s="246" t="s">
        <v>109</v>
      </c>
      <c r="B234" s="222" t="s">
        <v>376</v>
      </c>
      <c r="C234" s="223">
        <v>5750</v>
      </c>
    </row>
    <row r="235" spans="1:3" x14ac:dyDescent="0.25">
      <c r="A235" s="246" t="s">
        <v>109</v>
      </c>
      <c r="B235" s="222" t="s">
        <v>375</v>
      </c>
      <c r="C235" s="223">
        <f>100+500</f>
        <v>600</v>
      </c>
    </row>
    <row r="236" spans="1:3" x14ac:dyDescent="0.25">
      <c r="A236" s="246" t="s">
        <v>109</v>
      </c>
      <c r="B236" s="222" t="s">
        <v>347</v>
      </c>
      <c r="C236" s="223">
        <f>3000+200</f>
        <v>3200</v>
      </c>
    </row>
    <row r="237" spans="1:3" x14ac:dyDescent="0.25">
      <c r="A237" s="246" t="s">
        <v>115</v>
      </c>
      <c r="B237" s="222" t="s">
        <v>378</v>
      </c>
      <c r="C237" s="223">
        <f>70-70</f>
        <v>0</v>
      </c>
    </row>
    <row r="238" spans="1:3" x14ac:dyDescent="0.25">
      <c r="A238" s="246" t="s">
        <v>119</v>
      </c>
      <c r="B238" s="222" t="s">
        <v>377</v>
      </c>
      <c r="C238" s="223">
        <v>500</v>
      </c>
    </row>
    <row r="239" spans="1:3" x14ac:dyDescent="0.25">
      <c r="A239" s="246" t="s">
        <v>131</v>
      </c>
      <c r="B239" s="222" t="s">
        <v>373</v>
      </c>
      <c r="C239" s="223">
        <v>350</v>
      </c>
    </row>
    <row r="240" spans="1:3" x14ac:dyDescent="0.25">
      <c r="A240" s="246" t="s">
        <v>134</v>
      </c>
      <c r="B240" s="222" t="s">
        <v>379</v>
      </c>
      <c r="C240" s="223">
        <v>50</v>
      </c>
    </row>
    <row r="241" spans="1:3" ht="15.75" thickBot="1" x14ac:dyDescent="0.3">
      <c r="A241" s="247"/>
      <c r="B241" s="248"/>
      <c r="C241" s="249"/>
    </row>
    <row r="242" spans="1:3" ht="15.75" thickBot="1" x14ac:dyDescent="0.3">
      <c r="A242" s="935" t="s">
        <v>146</v>
      </c>
      <c r="B242" s="936"/>
      <c r="C242" s="224">
        <f>SUM(C243:C250)</f>
        <v>58900</v>
      </c>
    </row>
    <row r="243" spans="1:3" x14ac:dyDescent="0.25">
      <c r="A243" s="250" t="s">
        <v>71</v>
      </c>
      <c r="B243" s="251" t="s">
        <v>353</v>
      </c>
      <c r="C243" s="252">
        <v>32000</v>
      </c>
    </row>
    <row r="244" spans="1:3" x14ac:dyDescent="0.25">
      <c r="A244" s="250" t="s">
        <v>80</v>
      </c>
      <c r="B244" s="251" t="s">
        <v>153</v>
      </c>
      <c r="C244" s="252">
        <v>-10000</v>
      </c>
    </row>
    <row r="245" spans="1:3" x14ac:dyDescent="0.25">
      <c r="A245" s="250" t="s">
        <v>154</v>
      </c>
      <c r="B245" s="251" t="s">
        <v>155</v>
      </c>
      <c r="C245" s="252">
        <v>10500</v>
      </c>
    </row>
    <row r="246" spans="1:3" x14ac:dyDescent="0.25">
      <c r="A246" s="250" t="s">
        <v>93</v>
      </c>
      <c r="B246" s="251" t="s">
        <v>343</v>
      </c>
      <c r="C246" s="252">
        <v>4500</v>
      </c>
    </row>
    <row r="247" spans="1:3" x14ac:dyDescent="0.25">
      <c r="A247" s="250" t="s">
        <v>107</v>
      </c>
      <c r="B247" s="251" t="s">
        <v>342</v>
      </c>
      <c r="C247" s="252">
        <v>-4400</v>
      </c>
    </row>
    <row r="248" spans="1:3" x14ac:dyDescent="0.25">
      <c r="A248" s="250" t="s">
        <v>107</v>
      </c>
      <c r="B248" s="251" t="s">
        <v>207</v>
      </c>
      <c r="C248" s="252">
        <v>-4500</v>
      </c>
    </row>
    <row r="249" spans="1:3" x14ac:dyDescent="0.25">
      <c r="A249" s="250" t="s">
        <v>107</v>
      </c>
      <c r="B249" s="251" t="s">
        <v>344</v>
      </c>
      <c r="C249" s="252">
        <v>27000</v>
      </c>
    </row>
    <row r="250" spans="1:3" ht="15.75" thickBot="1" x14ac:dyDescent="0.3">
      <c r="A250" s="250" t="s">
        <v>140</v>
      </c>
      <c r="B250" s="251" t="s">
        <v>354</v>
      </c>
      <c r="C250" s="252">
        <v>3800</v>
      </c>
    </row>
    <row r="251" spans="1:3" ht="15.75" thickBot="1" x14ac:dyDescent="0.3">
      <c r="A251" s="937" t="s">
        <v>158</v>
      </c>
      <c r="B251" s="938"/>
      <c r="C251" s="228">
        <f>C252</f>
        <v>0</v>
      </c>
    </row>
    <row r="252" spans="1:3" ht="15.75" thickBot="1" x14ac:dyDescent="0.3">
      <c r="A252" s="253"/>
      <c r="B252" s="254"/>
      <c r="C252" s="231">
        <v>0</v>
      </c>
    </row>
    <row r="253" spans="1:3" ht="15.75" thickBot="1" x14ac:dyDescent="0.3">
      <c r="A253" s="939" t="s">
        <v>220</v>
      </c>
      <c r="B253" s="940"/>
      <c r="C253" s="238">
        <f>C227+C242+C251</f>
        <v>77100</v>
      </c>
    </row>
    <row r="254" spans="1:3" ht="15.75" thickBot="1" x14ac:dyDescent="0.3">
      <c r="A254" s="255" t="s">
        <v>54</v>
      </c>
      <c r="B254" s="256" t="s">
        <v>226</v>
      </c>
      <c r="C254" s="257">
        <f>60+2770</f>
        <v>2830</v>
      </c>
    </row>
    <row r="255" spans="1:3" ht="15.75" thickBot="1" x14ac:dyDescent="0.3">
      <c r="A255" s="941" t="s">
        <v>221</v>
      </c>
      <c r="B255" s="942"/>
      <c r="C255" s="242">
        <f>SUM(C253:C254)</f>
        <v>79930</v>
      </c>
    </row>
    <row r="256" spans="1:3" x14ac:dyDescent="0.25">
      <c r="C256" s="171">
        <f>C255-C223</f>
        <v>0</v>
      </c>
    </row>
    <row r="258" spans="1:3" x14ac:dyDescent="0.25">
      <c r="A258" t="s">
        <v>228</v>
      </c>
    </row>
    <row r="259" spans="1:3" x14ac:dyDescent="0.25">
      <c r="A259" s="261" t="s">
        <v>356</v>
      </c>
    </row>
    <row r="262" spans="1:3" ht="18" x14ac:dyDescent="0.25">
      <c r="A262" s="933" t="s">
        <v>305</v>
      </c>
      <c r="B262" s="933"/>
      <c r="C262" s="933"/>
    </row>
    <row r="263" spans="1:3" x14ac:dyDescent="0.25">
      <c r="A263" s="951" t="s">
        <v>211</v>
      </c>
      <c r="B263" s="951"/>
      <c r="C263" s="951"/>
    </row>
    <row r="264" spans="1:3" x14ac:dyDescent="0.25">
      <c r="A264" s="335"/>
      <c r="B264" s="335" t="s">
        <v>212</v>
      </c>
      <c r="C264" s="335"/>
    </row>
    <row r="265" spans="1:3" x14ac:dyDescent="0.25">
      <c r="A265" s="335"/>
      <c r="B265" s="335"/>
      <c r="C265" s="335"/>
    </row>
    <row r="266" spans="1:3" ht="15.75" thickBot="1" x14ac:dyDescent="0.3">
      <c r="A266" s="948" t="s">
        <v>213</v>
      </c>
      <c r="B266" s="948"/>
      <c r="C266" s="948"/>
    </row>
    <row r="267" spans="1:3" ht="15.75" thickBot="1" x14ac:dyDescent="0.3">
      <c r="A267" s="212" t="s">
        <v>214</v>
      </c>
      <c r="B267" s="213" t="s">
        <v>215</v>
      </c>
      <c r="C267" s="214" t="s">
        <v>216</v>
      </c>
    </row>
    <row r="268" spans="1:3" ht="15.75" thickBot="1" x14ac:dyDescent="0.3">
      <c r="A268" s="949" t="s">
        <v>217</v>
      </c>
      <c r="B268" s="950"/>
      <c r="C268" s="215">
        <f>SUM(C269:C274)</f>
        <v>29000</v>
      </c>
    </row>
    <row r="269" spans="1:3" x14ac:dyDescent="0.25">
      <c r="A269" s="216">
        <v>111</v>
      </c>
      <c r="B269" s="217" t="s">
        <v>307</v>
      </c>
      <c r="C269" s="218">
        <v>5000</v>
      </c>
    </row>
    <row r="270" spans="1:3" x14ac:dyDescent="0.25">
      <c r="A270" s="216">
        <v>292</v>
      </c>
      <c r="B270" s="217" t="s">
        <v>357</v>
      </c>
      <c r="C270" s="218">
        <v>1250</v>
      </c>
    </row>
    <row r="271" spans="1:3" x14ac:dyDescent="0.25">
      <c r="A271" s="216">
        <v>311</v>
      </c>
      <c r="B271" s="217" t="s">
        <v>337</v>
      </c>
      <c r="C271" s="218">
        <f>5000+950</f>
        <v>5950</v>
      </c>
    </row>
    <row r="272" spans="1:3" x14ac:dyDescent="0.25">
      <c r="A272" s="216">
        <v>312</v>
      </c>
      <c r="B272" s="217" t="s">
        <v>312</v>
      </c>
      <c r="C272" s="218">
        <v>700</v>
      </c>
    </row>
    <row r="273" spans="1:3" x14ac:dyDescent="0.25">
      <c r="A273" s="216">
        <v>312</v>
      </c>
      <c r="B273" s="217" t="s">
        <v>326</v>
      </c>
      <c r="C273" s="218">
        <v>2100</v>
      </c>
    </row>
    <row r="274" spans="1:3" x14ac:dyDescent="0.25">
      <c r="A274" s="216">
        <v>312</v>
      </c>
      <c r="B274" s="217" t="s">
        <v>311</v>
      </c>
      <c r="C274" s="218">
        <v>14000</v>
      </c>
    </row>
    <row r="275" spans="1:3" ht="15.75" thickBot="1" x14ac:dyDescent="0.3">
      <c r="A275" s="952"/>
      <c r="B275" s="953"/>
      <c r="C275" s="954"/>
    </row>
    <row r="276" spans="1:3" ht="15.75" thickBot="1" x14ac:dyDescent="0.3">
      <c r="A276" s="935" t="s">
        <v>146</v>
      </c>
      <c r="B276" s="955"/>
      <c r="C276" s="224">
        <f>SUM(C277:C278)</f>
        <v>0</v>
      </c>
    </row>
    <row r="277" spans="1:3" x14ac:dyDescent="0.25">
      <c r="A277" s="317"/>
      <c r="B277" s="318"/>
      <c r="C277" s="319"/>
    </row>
    <row r="278" spans="1:3" x14ac:dyDescent="0.25">
      <c r="A278" s="320"/>
      <c r="B278" s="321"/>
      <c r="C278" s="322"/>
    </row>
    <row r="279" spans="1:3" ht="15.75" thickBot="1" x14ac:dyDescent="0.3">
      <c r="A279" s="943"/>
      <c r="B279" s="944"/>
      <c r="C279" s="945"/>
    </row>
    <row r="280" spans="1:3" ht="15.75" thickBot="1" x14ac:dyDescent="0.3">
      <c r="A280" s="937" t="s">
        <v>158</v>
      </c>
      <c r="B280" s="946"/>
      <c r="C280" s="228">
        <f>SUM(C281:C283)</f>
        <v>0</v>
      </c>
    </row>
    <row r="281" spans="1:3" x14ac:dyDescent="0.25">
      <c r="A281" s="229">
        <v>454</v>
      </c>
      <c r="B281" s="230" t="s">
        <v>233</v>
      </c>
      <c r="C281" s="231">
        <v>0</v>
      </c>
    </row>
    <row r="282" spans="1:3" x14ac:dyDescent="0.25">
      <c r="A282" s="232">
        <v>453</v>
      </c>
      <c r="B282" s="233" t="s">
        <v>218</v>
      </c>
      <c r="C282" s="234">
        <v>0</v>
      </c>
    </row>
    <row r="283" spans="1:3" ht="15.75" thickBot="1" x14ac:dyDescent="0.3">
      <c r="A283" s="235">
        <v>513</v>
      </c>
      <c r="B283" s="236" t="s">
        <v>219</v>
      </c>
      <c r="C283" s="237">
        <v>0</v>
      </c>
    </row>
    <row r="284" spans="1:3" ht="15.75" thickBot="1" x14ac:dyDescent="0.3">
      <c r="A284" s="939" t="s">
        <v>220</v>
      </c>
      <c r="B284" s="940"/>
      <c r="C284" s="238">
        <f>C268+C276+C280</f>
        <v>29000</v>
      </c>
    </row>
    <row r="285" spans="1:3" ht="15.75" thickBot="1" x14ac:dyDescent="0.3">
      <c r="A285" s="239" t="s">
        <v>54</v>
      </c>
      <c r="B285" s="240" t="s">
        <v>55</v>
      </c>
      <c r="C285" s="241">
        <v>0</v>
      </c>
    </row>
    <row r="286" spans="1:3" ht="15.75" thickBot="1" x14ac:dyDescent="0.3">
      <c r="A286" s="941" t="s">
        <v>221</v>
      </c>
      <c r="B286" s="947"/>
      <c r="C286" s="242">
        <f>SUM(C284:C285)</f>
        <v>29000</v>
      </c>
    </row>
    <row r="287" spans="1:3" x14ac:dyDescent="0.25">
      <c r="B287" s="138"/>
      <c r="C287" s="171"/>
    </row>
    <row r="288" spans="1:3" ht="15.75" thickBot="1" x14ac:dyDescent="0.3">
      <c r="A288" s="948" t="s">
        <v>222</v>
      </c>
      <c r="B288" s="948"/>
      <c r="C288" s="948"/>
    </row>
    <row r="289" spans="1:3" ht="15.75" thickBot="1" x14ac:dyDescent="0.3">
      <c r="A289" s="243" t="s">
        <v>223</v>
      </c>
      <c r="B289" s="244" t="s">
        <v>224</v>
      </c>
      <c r="C289" s="245" t="s">
        <v>216</v>
      </c>
    </row>
    <row r="290" spans="1:3" ht="15.75" thickBot="1" x14ac:dyDescent="0.3">
      <c r="A290" s="949" t="s">
        <v>217</v>
      </c>
      <c r="B290" s="950"/>
      <c r="C290" s="215">
        <f>SUM(C291:C298)</f>
        <v>18000</v>
      </c>
    </row>
    <row r="291" spans="1:3" x14ac:dyDescent="0.25">
      <c r="A291" s="246" t="s">
        <v>59</v>
      </c>
      <c r="B291" s="222" t="s">
        <v>359</v>
      </c>
      <c r="C291" s="223">
        <v>250</v>
      </c>
    </row>
    <row r="292" spans="1:3" x14ac:dyDescent="0.25">
      <c r="A292" s="246" t="s">
        <v>61</v>
      </c>
      <c r="B292" s="222" t="s">
        <v>358</v>
      </c>
      <c r="C292" s="223">
        <v>3000</v>
      </c>
    </row>
    <row r="293" spans="1:3" x14ac:dyDescent="0.25">
      <c r="A293" s="246" t="s">
        <v>71</v>
      </c>
      <c r="B293" s="222" t="s">
        <v>313</v>
      </c>
      <c r="C293" s="223">
        <v>700</v>
      </c>
    </row>
    <row r="294" spans="1:3" x14ac:dyDescent="0.25">
      <c r="A294" s="246" t="s">
        <v>91</v>
      </c>
      <c r="B294" s="222" t="s">
        <v>361</v>
      </c>
      <c r="C294" s="223">
        <f>300+1000</f>
        <v>1300</v>
      </c>
    </row>
    <row r="295" spans="1:3" x14ac:dyDescent="0.25">
      <c r="A295" s="246" t="s">
        <v>93</v>
      </c>
      <c r="B295" s="222" t="s">
        <v>321</v>
      </c>
      <c r="C295" s="223">
        <f>5000-300</f>
        <v>4700</v>
      </c>
    </row>
    <row r="296" spans="1:3" x14ac:dyDescent="0.25">
      <c r="A296" s="246" t="s">
        <v>109</v>
      </c>
      <c r="B296" s="222" t="s">
        <v>327</v>
      </c>
      <c r="C296" s="223">
        <v>2100</v>
      </c>
    </row>
    <row r="297" spans="1:3" x14ac:dyDescent="0.25">
      <c r="A297" s="246" t="s">
        <v>109</v>
      </c>
      <c r="B297" s="222" t="s">
        <v>328</v>
      </c>
      <c r="C297" s="223">
        <v>5950</v>
      </c>
    </row>
    <row r="298" spans="1:3" x14ac:dyDescent="0.25">
      <c r="A298" s="246" t="s">
        <v>115</v>
      </c>
      <c r="B298" s="222" t="s">
        <v>360</v>
      </c>
      <c r="C298" s="223">
        <f>100-100</f>
        <v>0</v>
      </c>
    </row>
    <row r="299" spans="1:3" ht="15.75" thickBot="1" x14ac:dyDescent="0.3">
      <c r="A299" s="247"/>
      <c r="B299" s="248"/>
      <c r="C299" s="249"/>
    </row>
    <row r="300" spans="1:3" ht="15.75" thickBot="1" x14ac:dyDescent="0.3">
      <c r="A300" s="935" t="s">
        <v>146</v>
      </c>
      <c r="B300" s="936"/>
      <c r="C300" s="224">
        <f>SUM(C301:C306)</f>
        <v>11000</v>
      </c>
    </row>
    <row r="301" spans="1:3" x14ac:dyDescent="0.25">
      <c r="A301" s="250" t="s">
        <v>78</v>
      </c>
      <c r="B301" s="251" t="s">
        <v>319</v>
      </c>
      <c r="C301" s="252">
        <v>2000</v>
      </c>
    </row>
    <row r="302" spans="1:3" x14ac:dyDescent="0.25">
      <c r="A302" s="250" t="s">
        <v>80</v>
      </c>
      <c r="B302" s="251" t="s">
        <v>331</v>
      </c>
      <c r="C302" s="252">
        <v>-40000</v>
      </c>
    </row>
    <row r="303" spans="1:3" x14ac:dyDescent="0.25">
      <c r="A303" s="250" t="s">
        <v>87</v>
      </c>
      <c r="B303" s="251" t="s">
        <v>318</v>
      </c>
      <c r="C303" s="252">
        <v>2000</v>
      </c>
    </row>
    <row r="304" spans="1:3" x14ac:dyDescent="0.25">
      <c r="A304" s="250" t="s">
        <v>154</v>
      </c>
      <c r="B304" s="251" t="s">
        <v>308</v>
      </c>
      <c r="C304" s="252">
        <v>7000</v>
      </c>
    </row>
    <row r="305" spans="1:3" x14ac:dyDescent="0.25">
      <c r="A305" s="250" t="s">
        <v>154</v>
      </c>
      <c r="B305" s="251" t="s">
        <v>332</v>
      </c>
      <c r="C305" s="252">
        <v>40000</v>
      </c>
    </row>
    <row r="306" spans="1:3" ht="15.75" thickBot="1" x14ac:dyDescent="0.3">
      <c r="A306" s="250"/>
      <c r="B306" s="251"/>
      <c r="C306" s="252"/>
    </row>
    <row r="307" spans="1:3" ht="15.75" thickBot="1" x14ac:dyDescent="0.3">
      <c r="A307" s="937" t="s">
        <v>158</v>
      </c>
      <c r="B307" s="938"/>
      <c r="C307" s="228">
        <f>C308</f>
        <v>0</v>
      </c>
    </row>
    <row r="308" spans="1:3" ht="15.75" thickBot="1" x14ac:dyDescent="0.3">
      <c r="A308" s="253"/>
      <c r="B308" s="254"/>
      <c r="C308" s="231">
        <v>0</v>
      </c>
    </row>
    <row r="309" spans="1:3" ht="15.75" thickBot="1" x14ac:dyDescent="0.3">
      <c r="A309" s="939" t="s">
        <v>220</v>
      </c>
      <c r="B309" s="940"/>
      <c r="C309" s="238">
        <f>C290+C300+C307</f>
        <v>29000</v>
      </c>
    </row>
    <row r="310" spans="1:3" ht="15.75" thickBot="1" x14ac:dyDescent="0.3">
      <c r="A310" s="255" t="s">
        <v>54</v>
      </c>
      <c r="B310" s="256" t="s">
        <v>226</v>
      </c>
      <c r="C310" s="257">
        <v>0</v>
      </c>
    </row>
    <row r="311" spans="1:3" ht="15.75" thickBot="1" x14ac:dyDescent="0.3">
      <c r="A311" s="941" t="s">
        <v>221</v>
      </c>
      <c r="B311" s="942"/>
      <c r="C311" s="242">
        <f>SUM(C309:C310)</f>
        <v>29000</v>
      </c>
    </row>
    <row r="312" spans="1:3" x14ac:dyDescent="0.25">
      <c r="C312" s="171">
        <f>C311-C286</f>
        <v>0</v>
      </c>
    </row>
    <row r="314" spans="1:3" x14ac:dyDescent="0.25">
      <c r="A314" t="s">
        <v>228</v>
      </c>
    </row>
    <row r="315" spans="1:3" x14ac:dyDescent="0.25">
      <c r="A315" s="261" t="s">
        <v>333</v>
      </c>
    </row>
    <row r="319" spans="1:3" ht="18" x14ac:dyDescent="0.25">
      <c r="A319" s="933" t="s">
        <v>278</v>
      </c>
      <c r="B319" s="933"/>
      <c r="C319" s="933"/>
    </row>
    <row r="320" spans="1:3" x14ac:dyDescent="0.25">
      <c r="A320" s="951" t="s">
        <v>211</v>
      </c>
      <c r="B320" s="951"/>
      <c r="C320" s="951"/>
    </row>
    <row r="321" spans="1:3" x14ac:dyDescent="0.25">
      <c r="A321" s="303"/>
      <c r="B321" s="303" t="s">
        <v>212</v>
      </c>
      <c r="C321" s="303"/>
    </row>
    <row r="322" spans="1:3" x14ac:dyDescent="0.25">
      <c r="A322" s="303"/>
      <c r="B322" s="303"/>
      <c r="C322" s="303"/>
    </row>
    <row r="323" spans="1:3" ht="15.75" thickBot="1" x14ac:dyDescent="0.3">
      <c r="A323" s="948" t="s">
        <v>213</v>
      </c>
      <c r="B323" s="948"/>
      <c r="C323" s="948"/>
    </row>
    <row r="324" spans="1:3" ht="15.75" thickBot="1" x14ac:dyDescent="0.3">
      <c r="A324" s="212" t="s">
        <v>214</v>
      </c>
      <c r="B324" s="213" t="s">
        <v>215</v>
      </c>
      <c r="C324" s="214" t="s">
        <v>216</v>
      </c>
    </row>
    <row r="325" spans="1:3" ht="15.75" thickBot="1" x14ac:dyDescent="0.3">
      <c r="A325" s="949" t="s">
        <v>217</v>
      </c>
      <c r="B325" s="950"/>
      <c r="C325" s="215">
        <f>SUM(C326:C327)</f>
        <v>5000</v>
      </c>
    </row>
    <row r="326" spans="1:3" x14ac:dyDescent="0.25">
      <c r="A326" s="216">
        <v>312</v>
      </c>
      <c r="B326" s="217" t="s">
        <v>282</v>
      </c>
      <c r="C326" s="218">
        <f>2500+1000+1500</f>
        <v>5000</v>
      </c>
    </row>
    <row r="327" spans="1:3" x14ac:dyDescent="0.25">
      <c r="A327" s="216"/>
      <c r="B327" s="217"/>
      <c r="C327" s="218"/>
    </row>
    <row r="328" spans="1:3" ht="15.75" thickBot="1" x14ac:dyDescent="0.3">
      <c r="A328" s="952"/>
      <c r="B328" s="953"/>
      <c r="C328" s="954"/>
    </row>
    <row r="329" spans="1:3" ht="15.75" thickBot="1" x14ac:dyDescent="0.3">
      <c r="A329" s="935" t="s">
        <v>146</v>
      </c>
      <c r="B329" s="955"/>
      <c r="C329" s="224">
        <f>SUM(C330:C331)</f>
        <v>94800</v>
      </c>
    </row>
    <row r="330" spans="1:3" x14ac:dyDescent="0.25">
      <c r="A330" s="317">
        <v>322</v>
      </c>
      <c r="B330" s="318" t="s">
        <v>283</v>
      </c>
      <c r="C330" s="319">
        <v>65800</v>
      </c>
    </row>
    <row r="331" spans="1:3" x14ac:dyDescent="0.25">
      <c r="A331" s="320">
        <v>322</v>
      </c>
      <c r="B331" s="321" t="s">
        <v>294</v>
      </c>
      <c r="C331" s="322">
        <v>29000</v>
      </c>
    </row>
    <row r="332" spans="1:3" ht="15.75" thickBot="1" x14ac:dyDescent="0.3">
      <c r="A332" s="943"/>
      <c r="B332" s="944"/>
      <c r="C332" s="945"/>
    </row>
    <row r="333" spans="1:3" ht="15.75" thickBot="1" x14ac:dyDescent="0.3">
      <c r="A333" s="937" t="s">
        <v>158</v>
      </c>
      <c r="B333" s="946"/>
      <c r="C333" s="228">
        <f>SUM(C334:C336)</f>
        <v>19000</v>
      </c>
    </row>
    <row r="334" spans="1:3" x14ac:dyDescent="0.25">
      <c r="A334" s="229">
        <v>454</v>
      </c>
      <c r="B334" s="230" t="s">
        <v>233</v>
      </c>
      <c r="C334" s="231">
        <v>-11000</v>
      </c>
    </row>
    <row r="335" spans="1:3" x14ac:dyDescent="0.25">
      <c r="A335" s="232">
        <v>453</v>
      </c>
      <c r="B335" s="233" t="s">
        <v>218</v>
      </c>
      <c r="C335" s="234">
        <v>0</v>
      </c>
    </row>
    <row r="336" spans="1:3" ht="15.75" thickBot="1" x14ac:dyDescent="0.3">
      <c r="A336" s="235">
        <v>513</v>
      </c>
      <c r="B336" s="236" t="s">
        <v>219</v>
      </c>
      <c r="C336" s="237">
        <f>11000+19000</f>
        <v>30000</v>
      </c>
    </row>
    <row r="337" spans="1:3" ht="15.75" thickBot="1" x14ac:dyDescent="0.3">
      <c r="A337" s="939" t="s">
        <v>220</v>
      </c>
      <c r="B337" s="940"/>
      <c r="C337" s="238">
        <f>C325+C329+C333</f>
        <v>118800</v>
      </c>
    </row>
    <row r="338" spans="1:3" ht="15.75" thickBot="1" x14ac:dyDescent="0.3">
      <c r="A338" s="239" t="s">
        <v>54</v>
      </c>
      <c r="B338" s="240" t="s">
        <v>306</v>
      </c>
      <c r="C338" s="241">
        <v>0</v>
      </c>
    </row>
    <row r="339" spans="1:3" ht="15.75" thickBot="1" x14ac:dyDescent="0.3">
      <c r="A339" s="941" t="s">
        <v>221</v>
      </c>
      <c r="B339" s="947"/>
      <c r="C339" s="242">
        <f>SUM(C337:C338)</f>
        <v>118800</v>
      </c>
    </row>
    <row r="340" spans="1:3" x14ac:dyDescent="0.25">
      <c r="B340" s="138"/>
      <c r="C340" s="171"/>
    </row>
    <row r="341" spans="1:3" ht="15.75" thickBot="1" x14ac:dyDescent="0.3">
      <c r="A341" s="948" t="s">
        <v>222</v>
      </c>
      <c r="B341" s="948"/>
      <c r="C341" s="948"/>
    </row>
    <row r="342" spans="1:3" ht="15.75" thickBot="1" x14ac:dyDescent="0.3">
      <c r="A342" s="243" t="s">
        <v>223</v>
      </c>
      <c r="B342" s="244" t="s">
        <v>224</v>
      </c>
      <c r="C342" s="245" t="s">
        <v>216</v>
      </c>
    </row>
    <row r="343" spans="1:3" ht="15.75" thickBot="1" x14ac:dyDescent="0.3">
      <c r="A343" s="949" t="s">
        <v>217</v>
      </c>
      <c r="B343" s="950"/>
      <c r="C343" s="215">
        <f>SUM(C344:C352)</f>
        <v>5000</v>
      </c>
    </row>
    <row r="344" spans="1:3" x14ac:dyDescent="0.25">
      <c r="A344" s="246" t="s">
        <v>93</v>
      </c>
      <c r="B344" s="222" t="s">
        <v>300</v>
      </c>
      <c r="C344" s="223">
        <f>-1000+1000</f>
        <v>0</v>
      </c>
    </row>
    <row r="345" spans="1:3" x14ac:dyDescent="0.25">
      <c r="A345" s="246" t="s">
        <v>109</v>
      </c>
      <c r="B345" s="222" t="s">
        <v>302</v>
      </c>
      <c r="C345" s="223">
        <f>5000+300+300</f>
        <v>5600</v>
      </c>
    </row>
    <row r="346" spans="1:3" x14ac:dyDescent="0.25">
      <c r="A346" s="246" t="s">
        <v>109</v>
      </c>
      <c r="B346" s="222" t="s">
        <v>296</v>
      </c>
      <c r="C346" s="223">
        <v>200</v>
      </c>
    </row>
    <row r="347" spans="1:3" x14ac:dyDescent="0.25">
      <c r="A347" s="246" t="s">
        <v>109</v>
      </c>
      <c r="B347" s="222" t="s">
        <v>285</v>
      </c>
      <c r="C347" s="223">
        <v>20</v>
      </c>
    </row>
    <row r="348" spans="1:3" x14ac:dyDescent="0.25">
      <c r="A348" s="246" t="s">
        <v>115</v>
      </c>
      <c r="B348" s="222" t="s">
        <v>297</v>
      </c>
      <c r="C348" s="223">
        <v>200</v>
      </c>
    </row>
    <row r="349" spans="1:3" x14ac:dyDescent="0.25">
      <c r="A349" s="246" t="s">
        <v>115</v>
      </c>
      <c r="B349" s="222" t="s">
        <v>284</v>
      </c>
      <c r="C349" s="223">
        <f>-600-200-200-20</f>
        <v>-1020</v>
      </c>
    </row>
    <row r="350" spans="1:3" x14ac:dyDescent="0.25">
      <c r="A350" s="246"/>
      <c r="B350" s="222"/>
      <c r="C350" s="223"/>
    </row>
    <row r="351" spans="1:3" x14ac:dyDescent="0.25">
      <c r="A351" s="246"/>
      <c r="B351" s="222"/>
      <c r="C351" s="223"/>
    </row>
    <row r="352" spans="1:3" x14ac:dyDescent="0.25">
      <c r="A352" s="246"/>
      <c r="B352" s="222"/>
      <c r="C352" s="223"/>
    </row>
    <row r="353" spans="1:4" ht="15.75" thickBot="1" x14ac:dyDescent="0.3">
      <c r="A353" s="247"/>
      <c r="B353" s="248"/>
      <c r="C353" s="249"/>
    </row>
    <row r="354" spans="1:4" ht="15.75" thickBot="1" x14ac:dyDescent="0.3">
      <c r="A354" s="935" t="s">
        <v>146</v>
      </c>
      <c r="B354" s="936"/>
      <c r="C354" s="224">
        <f>SUM(C355:C360)</f>
        <v>113800</v>
      </c>
    </row>
    <row r="355" spans="1:4" x14ac:dyDescent="0.25">
      <c r="A355" s="250" t="s">
        <v>59</v>
      </c>
      <c r="B355" s="251" t="s">
        <v>286</v>
      </c>
      <c r="C355" s="252">
        <v>31800</v>
      </c>
    </row>
    <row r="356" spans="1:4" x14ac:dyDescent="0.25">
      <c r="A356" s="250" t="s">
        <v>78</v>
      </c>
      <c r="B356" s="251" t="s">
        <v>298</v>
      </c>
      <c r="C356" s="252">
        <v>5000</v>
      </c>
    </row>
    <row r="357" spans="1:4" x14ac:dyDescent="0.25">
      <c r="A357" s="250" t="s">
        <v>154</v>
      </c>
      <c r="B357" s="251" t="s">
        <v>288</v>
      </c>
      <c r="C357" s="252">
        <v>4000</v>
      </c>
    </row>
    <row r="358" spans="1:4" x14ac:dyDescent="0.25">
      <c r="A358" s="250" t="s">
        <v>93</v>
      </c>
      <c r="B358" s="251" t="s">
        <v>287</v>
      </c>
      <c r="C358" s="252">
        <v>1000</v>
      </c>
    </row>
    <row r="359" spans="1:4" x14ac:dyDescent="0.25">
      <c r="A359" s="250" t="s">
        <v>117</v>
      </c>
      <c r="B359" s="251" t="s">
        <v>289</v>
      </c>
      <c r="C359" s="252">
        <v>72000</v>
      </c>
    </row>
    <row r="360" spans="1:4" ht="15.75" thickBot="1" x14ac:dyDescent="0.3">
      <c r="A360" s="250"/>
      <c r="B360" s="251"/>
      <c r="C360" s="252"/>
    </row>
    <row r="361" spans="1:4" ht="15.75" thickBot="1" x14ac:dyDescent="0.3">
      <c r="A361" s="937" t="s">
        <v>158</v>
      </c>
      <c r="B361" s="938"/>
      <c r="C361" s="228">
        <f>C362</f>
        <v>0</v>
      </c>
    </row>
    <row r="362" spans="1:4" ht="15.75" thickBot="1" x14ac:dyDescent="0.3">
      <c r="A362" s="253"/>
      <c r="B362" s="254"/>
      <c r="C362" s="231"/>
    </row>
    <row r="363" spans="1:4" ht="15.75" thickBot="1" x14ac:dyDescent="0.3">
      <c r="A363" s="939" t="s">
        <v>220</v>
      </c>
      <c r="B363" s="940"/>
      <c r="C363" s="238">
        <f>C343+C354+C361</f>
        <v>118800</v>
      </c>
      <c r="D363" s="171">
        <f>SUM(C387:C391)</f>
        <v>22037</v>
      </c>
    </row>
    <row r="364" spans="1:4" x14ac:dyDescent="0.25">
      <c r="A364" s="255" t="s">
        <v>54</v>
      </c>
      <c r="B364" s="256" t="s">
        <v>226</v>
      </c>
      <c r="C364" s="257">
        <v>0</v>
      </c>
    </row>
    <row r="365" spans="1:4" ht="15.75" thickBot="1" x14ac:dyDescent="0.3">
      <c r="A365" s="258" t="s">
        <v>54</v>
      </c>
      <c r="B365" s="259" t="s">
        <v>227</v>
      </c>
      <c r="C365" s="260">
        <v>0</v>
      </c>
      <c r="D365" s="171"/>
    </row>
    <row r="366" spans="1:4" ht="15.75" thickBot="1" x14ac:dyDescent="0.3">
      <c r="A366" s="941" t="s">
        <v>221</v>
      </c>
      <c r="B366" s="942"/>
      <c r="C366" s="242">
        <f>SUM(C363:C365)</f>
        <v>118800</v>
      </c>
    </row>
    <row r="367" spans="1:4" x14ac:dyDescent="0.25">
      <c r="C367" s="171">
        <f>C366-C339</f>
        <v>0</v>
      </c>
    </row>
    <row r="369" spans="1:3" x14ac:dyDescent="0.25">
      <c r="A369" t="s">
        <v>228</v>
      </c>
    </row>
    <row r="370" spans="1:3" x14ac:dyDescent="0.25">
      <c r="A370" s="261" t="s">
        <v>290</v>
      </c>
    </row>
    <row r="374" spans="1:3" ht="18" x14ac:dyDescent="0.25">
      <c r="A374" s="933" t="s">
        <v>234</v>
      </c>
      <c r="B374" s="933"/>
      <c r="C374" s="933"/>
    </row>
    <row r="375" spans="1:3" x14ac:dyDescent="0.25">
      <c r="A375" s="951" t="s">
        <v>211</v>
      </c>
      <c r="B375" s="951"/>
      <c r="C375" s="951"/>
    </row>
    <row r="376" spans="1:3" x14ac:dyDescent="0.25">
      <c r="A376" s="211"/>
      <c r="B376" s="211" t="s">
        <v>212</v>
      </c>
      <c r="C376" s="211"/>
    </row>
    <row r="377" spans="1:3" x14ac:dyDescent="0.25">
      <c r="A377" s="211"/>
      <c r="B377" s="211"/>
      <c r="C377" s="211"/>
    </row>
    <row r="378" spans="1:3" ht="15.75" thickBot="1" x14ac:dyDescent="0.3">
      <c r="A378" s="948" t="s">
        <v>213</v>
      </c>
      <c r="B378" s="948"/>
      <c r="C378" s="948"/>
    </row>
    <row r="379" spans="1:3" ht="15.75" thickBot="1" x14ac:dyDescent="0.3">
      <c r="A379" s="212" t="s">
        <v>214</v>
      </c>
      <c r="B379" s="213" t="s">
        <v>215</v>
      </c>
      <c r="C379" s="214" t="s">
        <v>216</v>
      </c>
    </row>
    <row r="380" spans="1:3" ht="15.75" thickBot="1" x14ac:dyDescent="0.3">
      <c r="A380" s="949" t="s">
        <v>217</v>
      </c>
      <c r="B380" s="950"/>
      <c r="C380" s="215">
        <f>SUM(C381:C393)</f>
        <v>24233</v>
      </c>
    </row>
    <row r="381" spans="1:3" x14ac:dyDescent="0.25">
      <c r="A381" s="216">
        <v>212</v>
      </c>
      <c r="B381" s="217" t="s">
        <v>236</v>
      </c>
      <c r="C381" s="218">
        <v>32</v>
      </c>
    </row>
    <row r="382" spans="1:3" x14ac:dyDescent="0.25">
      <c r="A382" s="216">
        <v>292</v>
      </c>
      <c r="B382" s="217" t="s">
        <v>237</v>
      </c>
      <c r="C382" s="218">
        <v>2000</v>
      </c>
    </row>
    <row r="383" spans="1:3" x14ac:dyDescent="0.25">
      <c r="A383" s="216">
        <v>292</v>
      </c>
      <c r="B383" s="217" t="s">
        <v>238</v>
      </c>
      <c r="C383" s="218">
        <v>-20</v>
      </c>
    </row>
    <row r="384" spans="1:3" x14ac:dyDescent="0.25">
      <c r="A384" s="216">
        <v>312</v>
      </c>
      <c r="B384" s="217" t="s">
        <v>239</v>
      </c>
      <c r="C384" s="218">
        <v>-30</v>
      </c>
    </row>
    <row r="385" spans="1:3" x14ac:dyDescent="0.25">
      <c r="A385" s="216">
        <v>312</v>
      </c>
      <c r="B385" s="217" t="s">
        <v>240</v>
      </c>
      <c r="C385" s="218">
        <v>-190</v>
      </c>
    </row>
    <row r="386" spans="1:3" x14ac:dyDescent="0.25">
      <c r="A386" s="216">
        <v>312</v>
      </c>
      <c r="B386" s="217" t="s">
        <v>241</v>
      </c>
      <c r="C386" s="218">
        <v>404</v>
      </c>
    </row>
    <row r="387" spans="1:3" x14ac:dyDescent="0.25">
      <c r="A387" s="216">
        <v>312</v>
      </c>
      <c r="B387" s="217" t="s">
        <v>242</v>
      </c>
      <c r="C387" s="218">
        <v>23619</v>
      </c>
    </row>
    <row r="388" spans="1:3" x14ac:dyDescent="0.25">
      <c r="A388" s="216">
        <v>312</v>
      </c>
      <c r="B388" s="217" t="s">
        <v>243</v>
      </c>
      <c r="C388" s="218">
        <v>-2250</v>
      </c>
    </row>
    <row r="389" spans="1:3" x14ac:dyDescent="0.25">
      <c r="A389" s="221">
        <v>312</v>
      </c>
      <c r="B389" s="222" t="s">
        <v>231</v>
      </c>
      <c r="C389" s="223">
        <v>-6352</v>
      </c>
    </row>
    <row r="390" spans="1:3" x14ac:dyDescent="0.25">
      <c r="A390" s="266">
        <v>312</v>
      </c>
      <c r="B390" s="222" t="s">
        <v>230</v>
      </c>
      <c r="C390" s="223">
        <v>3520</v>
      </c>
    </row>
    <row r="391" spans="1:3" x14ac:dyDescent="0.25">
      <c r="A391" s="216">
        <v>312</v>
      </c>
      <c r="B391" s="217" t="s">
        <v>229</v>
      </c>
      <c r="C391" s="218">
        <v>3500</v>
      </c>
    </row>
    <row r="392" spans="1:3" x14ac:dyDescent="0.25">
      <c r="A392" s="219"/>
      <c r="B392" s="217"/>
      <c r="C392" s="220"/>
    </row>
    <row r="393" spans="1:3" x14ac:dyDescent="0.25">
      <c r="A393" s="221"/>
      <c r="B393" s="222"/>
      <c r="C393" s="223"/>
    </row>
    <row r="394" spans="1:3" ht="15.75" thickBot="1" x14ac:dyDescent="0.3">
      <c r="A394" s="952"/>
      <c r="B394" s="953"/>
      <c r="C394" s="954"/>
    </row>
    <row r="395" spans="1:3" ht="15.75" thickBot="1" x14ac:dyDescent="0.3">
      <c r="A395" s="935" t="s">
        <v>146</v>
      </c>
      <c r="B395" s="955"/>
      <c r="C395" s="224">
        <f>SUM(C396:C396)</f>
        <v>-15900</v>
      </c>
    </row>
    <row r="396" spans="1:3" ht="15.75" thickBot="1" x14ac:dyDescent="0.3">
      <c r="A396" s="225">
        <v>322</v>
      </c>
      <c r="B396" s="226" t="s">
        <v>232</v>
      </c>
      <c r="C396" s="227">
        <v>-15900</v>
      </c>
    </row>
    <row r="397" spans="1:3" ht="15.75" thickBot="1" x14ac:dyDescent="0.3">
      <c r="A397" s="943"/>
      <c r="B397" s="944"/>
      <c r="C397" s="945"/>
    </row>
    <row r="398" spans="1:3" ht="15.75" thickBot="1" x14ac:dyDescent="0.3">
      <c r="A398" s="937" t="s">
        <v>158</v>
      </c>
      <c r="B398" s="946"/>
      <c r="C398" s="228">
        <f>SUM(C399:C401)</f>
        <v>15900</v>
      </c>
    </row>
    <row r="399" spans="1:3" x14ac:dyDescent="0.25">
      <c r="A399" s="229">
        <v>454</v>
      </c>
      <c r="B399" s="230" t="s">
        <v>233</v>
      </c>
      <c r="C399" s="231">
        <v>15900</v>
      </c>
    </row>
    <row r="400" spans="1:3" x14ac:dyDescent="0.25">
      <c r="A400" s="232">
        <v>453</v>
      </c>
      <c r="B400" s="233" t="s">
        <v>218</v>
      </c>
      <c r="C400" s="234"/>
    </row>
    <row r="401" spans="1:3" ht="15.75" thickBot="1" x14ac:dyDescent="0.3">
      <c r="A401" s="235">
        <v>513</v>
      </c>
      <c r="B401" s="236" t="s">
        <v>219</v>
      </c>
      <c r="C401" s="237"/>
    </row>
    <row r="402" spans="1:3" ht="15.75" thickBot="1" x14ac:dyDescent="0.3">
      <c r="A402" s="939" t="s">
        <v>220</v>
      </c>
      <c r="B402" s="940"/>
      <c r="C402" s="238">
        <f>C380+C395+C398</f>
        <v>24233</v>
      </c>
    </row>
    <row r="403" spans="1:3" ht="15.75" thickBot="1" x14ac:dyDescent="0.3">
      <c r="A403" s="239" t="s">
        <v>54</v>
      </c>
      <c r="B403" s="240" t="s">
        <v>244</v>
      </c>
      <c r="C403" s="241">
        <v>350</v>
      </c>
    </row>
    <row r="404" spans="1:3" ht="15.75" thickBot="1" x14ac:dyDescent="0.3">
      <c r="A404" s="941" t="s">
        <v>221</v>
      </c>
      <c r="B404" s="947"/>
      <c r="C404" s="242">
        <f>SUM(C402:C403)</f>
        <v>24583</v>
      </c>
    </row>
    <row r="405" spans="1:3" x14ac:dyDescent="0.25">
      <c r="B405" s="138"/>
      <c r="C405" s="171"/>
    </row>
    <row r="406" spans="1:3" ht="15.75" thickBot="1" x14ac:dyDescent="0.3">
      <c r="A406" s="948" t="s">
        <v>222</v>
      </c>
      <c r="B406" s="948"/>
      <c r="C406" s="948"/>
    </row>
    <row r="407" spans="1:3" ht="15.75" thickBot="1" x14ac:dyDescent="0.3">
      <c r="A407" s="243" t="s">
        <v>223</v>
      </c>
      <c r="B407" s="244" t="s">
        <v>224</v>
      </c>
      <c r="C407" s="245" t="s">
        <v>216</v>
      </c>
    </row>
    <row r="408" spans="1:3" ht="15.75" thickBot="1" x14ac:dyDescent="0.3">
      <c r="A408" s="949" t="s">
        <v>217</v>
      </c>
      <c r="B408" s="950"/>
      <c r="C408" s="215">
        <f>SUM(C409:C417)</f>
        <v>2196</v>
      </c>
    </row>
    <row r="409" spans="1:3" x14ac:dyDescent="0.25">
      <c r="A409" s="246" t="s">
        <v>59</v>
      </c>
      <c r="B409" s="222" t="s">
        <v>250</v>
      </c>
      <c r="C409" s="223">
        <v>200</v>
      </c>
    </row>
    <row r="410" spans="1:3" x14ac:dyDescent="0.25">
      <c r="A410" s="246" t="s">
        <v>63</v>
      </c>
      <c r="B410" s="222" t="s">
        <v>245</v>
      </c>
      <c r="C410" s="223">
        <v>-220</v>
      </c>
    </row>
    <row r="411" spans="1:3" x14ac:dyDescent="0.25">
      <c r="A411" s="246" t="s">
        <v>68</v>
      </c>
      <c r="B411" s="222" t="s">
        <v>246</v>
      </c>
      <c r="C411" s="223">
        <v>-20</v>
      </c>
    </row>
    <row r="412" spans="1:3" x14ac:dyDescent="0.25">
      <c r="A412" s="246" t="s">
        <v>93</v>
      </c>
      <c r="B412" s="222" t="s">
        <v>251</v>
      </c>
      <c r="C412" s="223">
        <f>900+332</f>
        <v>1232</v>
      </c>
    </row>
    <row r="413" spans="1:3" x14ac:dyDescent="0.25">
      <c r="A413" s="246" t="s">
        <v>102</v>
      </c>
      <c r="B413" s="222" t="s">
        <v>247</v>
      </c>
      <c r="C413" s="223">
        <v>80</v>
      </c>
    </row>
    <row r="414" spans="1:3" x14ac:dyDescent="0.25">
      <c r="A414" s="246" t="s">
        <v>117</v>
      </c>
      <c r="B414" s="222" t="s">
        <v>248</v>
      </c>
      <c r="C414" s="223">
        <v>404</v>
      </c>
    </row>
    <row r="415" spans="1:3" x14ac:dyDescent="0.25">
      <c r="A415" s="246" t="s">
        <v>119</v>
      </c>
      <c r="B415" s="222" t="s">
        <v>249</v>
      </c>
      <c r="C415" s="223">
        <v>520</v>
      </c>
    </row>
    <row r="416" spans="1:3" x14ac:dyDescent="0.25">
      <c r="A416" s="246"/>
      <c r="B416" s="222"/>
      <c r="C416" s="223"/>
    </row>
    <row r="417" spans="1:3" x14ac:dyDescent="0.25">
      <c r="A417" s="246"/>
      <c r="B417" s="222"/>
      <c r="C417" s="223"/>
    </row>
    <row r="418" spans="1:3" ht="15.75" thickBot="1" x14ac:dyDescent="0.3">
      <c r="A418" s="247"/>
      <c r="B418" s="248"/>
      <c r="C418" s="249"/>
    </row>
    <row r="419" spans="1:3" ht="15.75" thickBot="1" x14ac:dyDescent="0.3">
      <c r="A419" s="935" t="s">
        <v>146</v>
      </c>
      <c r="B419" s="936"/>
      <c r="C419" s="224">
        <f>SUM(C420:C422)</f>
        <v>0</v>
      </c>
    </row>
    <row r="420" spans="1:3" x14ac:dyDescent="0.25">
      <c r="A420" s="250"/>
      <c r="B420" s="251"/>
      <c r="C420" s="252"/>
    </row>
    <row r="421" spans="1:3" x14ac:dyDescent="0.25">
      <c r="A421" s="250"/>
      <c r="B421" s="251"/>
      <c r="C421" s="252"/>
    </row>
    <row r="422" spans="1:3" ht="15.75" thickBot="1" x14ac:dyDescent="0.3">
      <c r="A422" s="250"/>
      <c r="B422" s="251"/>
      <c r="C422" s="252"/>
    </row>
    <row r="423" spans="1:3" ht="15.75" thickBot="1" x14ac:dyDescent="0.3">
      <c r="A423" s="937" t="s">
        <v>158</v>
      </c>
      <c r="B423" s="938"/>
      <c r="C423" s="228">
        <f>C424</f>
        <v>0</v>
      </c>
    </row>
    <row r="424" spans="1:3" ht="15.75" thickBot="1" x14ac:dyDescent="0.3">
      <c r="A424" s="253" t="s">
        <v>61</v>
      </c>
      <c r="B424" s="254" t="s">
        <v>225</v>
      </c>
      <c r="C424" s="231">
        <v>0</v>
      </c>
    </row>
    <row r="425" spans="1:3" ht="15.75" thickBot="1" x14ac:dyDescent="0.3">
      <c r="A425" s="939" t="s">
        <v>220</v>
      </c>
      <c r="B425" s="940"/>
      <c r="C425" s="238">
        <f>C408+C419+C423</f>
        <v>2196</v>
      </c>
    </row>
    <row r="426" spans="1:3" x14ac:dyDescent="0.25">
      <c r="A426" s="255" t="s">
        <v>54</v>
      </c>
      <c r="B426" s="256" t="s">
        <v>226</v>
      </c>
      <c r="C426" s="257">
        <f>22037+350</f>
        <v>22387</v>
      </c>
    </row>
    <row r="427" spans="1:3" ht="15.75" thickBot="1" x14ac:dyDescent="0.3">
      <c r="A427" s="258" t="s">
        <v>54</v>
      </c>
      <c r="B427" s="259" t="s">
        <v>227</v>
      </c>
      <c r="C427" s="260">
        <v>0</v>
      </c>
    </row>
    <row r="428" spans="1:3" ht="15.75" thickBot="1" x14ac:dyDescent="0.3">
      <c r="A428" s="941" t="s">
        <v>221</v>
      </c>
      <c r="B428" s="942"/>
      <c r="C428" s="242">
        <f>SUM(C425:C427)</f>
        <v>24583</v>
      </c>
    </row>
    <row r="429" spans="1:3" x14ac:dyDescent="0.25">
      <c r="C429" s="171">
        <f>C428-C404</f>
        <v>0</v>
      </c>
    </row>
    <row r="431" spans="1:3" x14ac:dyDescent="0.25">
      <c r="A431" t="s">
        <v>228</v>
      </c>
    </row>
    <row r="432" spans="1:3" x14ac:dyDescent="0.25">
      <c r="A432" s="261" t="s">
        <v>252</v>
      </c>
    </row>
  </sheetData>
  <sortState ref="A29:D30">
    <sortCondition ref="A28"/>
  </sortState>
  <mergeCells count="112">
    <mergeCell ref="A47:B47"/>
    <mergeCell ref="A50:B50"/>
    <mergeCell ref="A52:B52"/>
    <mergeCell ref="A23:B23"/>
    <mergeCell ref="A26:C26"/>
    <mergeCell ref="A27:B27"/>
    <mergeCell ref="A31:B31"/>
    <mergeCell ref="A34:B34"/>
    <mergeCell ref="A1:C1"/>
    <mergeCell ref="A2:C2"/>
    <mergeCell ref="A5:C5"/>
    <mergeCell ref="A7:B7"/>
    <mergeCell ref="A22:C22"/>
    <mergeCell ref="A103:B103"/>
    <mergeCell ref="A86:C86"/>
    <mergeCell ref="A88:B88"/>
    <mergeCell ref="A96:B96"/>
    <mergeCell ref="A99:B99"/>
    <mergeCell ref="A101:B101"/>
    <mergeCell ref="A74:B74"/>
    <mergeCell ref="A77:C77"/>
    <mergeCell ref="A78:B78"/>
    <mergeCell ref="A82:B82"/>
    <mergeCell ref="A84:B84"/>
    <mergeCell ref="A61:C61"/>
    <mergeCell ref="A62:C62"/>
    <mergeCell ref="A65:C65"/>
    <mergeCell ref="A67:B67"/>
    <mergeCell ref="A73:C73"/>
    <mergeCell ref="A55:B55"/>
    <mergeCell ref="A36:C36"/>
    <mergeCell ref="A38:B38"/>
    <mergeCell ref="A187:B187"/>
    <mergeCell ref="A145:C145"/>
    <mergeCell ref="A147:B147"/>
    <mergeCell ref="A168:B168"/>
    <mergeCell ref="A182:B182"/>
    <mergeCell ref="A184:B184"/>
    <mergeCell ref="A127:B127"/>
    <mergeCell ref="A135:C135"/>
    <mergeCell ref="A136:B136"/>
    <mergeCell ref="A140:B140"/>
    <mergeCell ref="A143:B143"/>
    <mergeCell ref="A110:C110"/>
    <mergeCell ref="A111:C111"/>
    <mergeCell ref="A114:C114"/>
    <mergeCell ref="A116:B116"/>
    <mergeCell ref="A126:C126"/>
    <mergeCell ref="A290:B290"/>
    <mergeCell ref="A300:B300"/>
    <mergeCell ref="A307:B307"/>
    <mergeCell ref="A309:B309"/>
    <mergeCell ref="A276:B276"/>
    <mergeCell ref="A279:C279"/>
    <mergeCell ref="A280:B280"/>
    <mergeCell ref="A284:B284"/>
    <mergeCell ref="A286:B286"/>
    <mergeCell ref="A262:C262"/>
    <mergeCell ref="A263:C263"/>
    <mergeCell ref="A266:C266"/>
    <mergeCell ref="A268:B268"/>
    <mergeCell ref="A275:C275"/>
    <mergeCell ref="A194:C194"/>
    <mergeCell ref="A195:C195"/>
    <mergeCell ref="A198:C198"/>
    <mergeCell ref="A319:C319"/>
    <mergeCell ref="A200:B200"/>
    <mergeCell ref="A212:C212"/>
    <mergeCell ref="A213:B213"/>
    <mergeCell ref="A216:C216"/>
    <mergeCell ref="A217:B217"/>
    <mergeCell ref="A221:B221"/>
    <mergeCell ref="A223:B223"/>
    <mergeCell ref="A255:B255"/>
    <mergeCell ref="A225:C225"/>
    <mergeCell ref="A227:B227"/>
    <mergeCell ref="A242:B242"/>
    <mergeCell ref="A251:B251"/>
    <mergeCell ref="A253:B253"/>
    <mergeCell ref="A311:B311"/>
    <mergeCell ref="A288:C288"/>
    <mergeCell ref="A320:C320"/>
    <mergeCell ref="A323:C323"/>
    <mergeCell ref="A325:B325"/>
    <mergeCell ref="A328:C328"/>
    <mergeCell ref="A395:B395"/>
    <mergeCell ref="A374:C374"/>
    <mergeCell ref="A375:C375"/>
    <mergeCell ref="A378:C378"/>
    <mergeCell ref="A380:B380"/>
    <mergeCell ref="A394:C394"/>
    <mergeCell ref="A366:B366"/>
    <mergeCell ref="A341:C341"/>
    <mergeCell ref="A343:B343"/>
    <mergeCell ref="A354:B354"/>
    <mergeCell ref="A361:B361"/>
    <mergeCell ref="A363:B363"/>
    <mergeCell ref="A329:B329"/>
    <mergeCell ref="A332:C332"/>
    <mergeCell ref="A333:B333"/>
    <mergeCell ref="A337:B337"/>
    <mergeCell ref="A339:B339"/>
    <mergeCell ref="A419:B419"/>
    <mergeCell ref="A423:B423"/>
    <mergeCell ref="A425:B425"/>
    <mergeCell ref="A428:B428"/>
    <mergeCell ref="A397:C397"/>
    <mergeCell ref="A398:B398"/>
    <mergeCell ref="A402:B402"/>
    <mergeCell ref="A404:B404"/>
    <mergeCell ref="A406:C406"/>
    <mergeCell ref="A408:B408"/>
  </mergeCells>
  <pageMargins left="0.7" right="0.7" top="0.75" bottom="0.75" header="0.3" footer="0.3"/>
  <pageSetup paperSize="9" scale="1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16"/>
  <sheetViews>
    <sheetView tabSelected="1" zoomScale="86" zoomScaleNormal="86" workbookViewId="0">
      <selection sqref="A1:L1"/>
    </sheetView>
  </sheetViews>
  <sheetFormatPr defaultRowHeight="15" x14ac:dyDescent="0.25"/>
  <cols>
    <col min="2" max="2" width="60.5703125" customWidth="1"/>
    <col min="3" max="3" width="12.85546875" customWidth="1"/>
    <col min="4" max="10" width="12.7109375" customWidth="1"/>
    <col min="11" max="11" width="12" customWidth="1"/>
    <col min="12" max="12" width="9.7109375" customWidth="1"/>
    <col min="13" max="13" width="10.28515625" bestFit="1" customWidth="1"/>
    <col min="14" max="14" width="12.7109375" customWidth="1"/>
    <col min="16" max="16" width="12.140625" bestFit="1" customWidth="1"/>
  </cols>
  <sheetData>
    <row r="1" spans="1:14" ht="23.25" customHeight="1" thickBot="1" x14ac:dyDescent="0.3">
      <c r="A1" s="956" t="s">
        <v>0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</row>
    <row r="2" spans="1:14" ht="15" customHeight="1" x14ac:dyDescent="0.25">
      <c r="A2" s="958" t="s">
        <v>1</v>
      </c>
      <c r="B2" s="959"/>
      <c r="C2" s="962">
        <v>2017</v>
      </c>
      <c r="D2" s="962" t="s">
        <v>235</v>
      </c>
      <c r="E2" s="962" t="s">
        <v>279</v>
      </c>
      <c r="F2" s="962" t="s">
        <v>310</v>
      </c>
      <c r="G2" s="962" t="s">
        <v>348</v>
      </c>
      <c r="H2" s="962" t="s">
        <v>386</v>
      </c>
      <c r="I2" s="962" t="s">
        <v>471</v>
      </c>
      <c r="J2" s="962" t="s">
        <v>480</v>
      </c>
      <c r="K2" s="966" t="s">
        <v>498</v>
      </c>
      <c r="L2" s="611" t="s">
        <v>280</v>
      </c>
    </row>
    <row r="3" spans="1:14" ht="15.75" thickBot="1" x14ac:dyDescent="0.3">
      <c r="A3" s="960"/>
      <c r="B3" s="961"/>
      <c r="C3" s="963"/>
      <c r="D3" s="963"/>
      <c r="E3" s="963"/>
      <c r="F3" s="963"/>
      <c r="G3" s="963"/>
      <c r="H3" s="963"/>
      <c r="I3" s="963"/>
      <c r="J3" s="963"/>
      <c r="K3" s="967"/>
      <c r="L3" s="612" t="s">
        <v>281</v>
      </c>
    </row>
    <row r="4" spans="1:14" ht="15.75" thickBot="1" x14ac:dyDescent="0.3">
      <c r="A4" s="968" t="s">
        <v>2</v>
      </c>
      <c r="B4" s="969"/>
      <c r="C4" s="725">
        <f t="shared" ref="C4:K4" si="0">SUM(C5:C11)</f>
        <v>1009400</v>
      </c>
      <c r="D4" s="725">
        <f t="shared" si="0"/>
        <v>1009400</v>
      </c>
      <c r="E4" s="725">
        <f t="shared" si="0"/>
        <v>1009400</v>
      </c>
      <c r="F4" s="725">
        <f t="shared" si="0"/>
        <v>1014400</v>
      </c>
      <c r="G4" s="725">
        <f t="shared" si="0"/>
        <v>1021400</v>
      </c>
      <c r="H4" s="725">
        <f t="shared" si="0"/>
        <v>1021400</v>
      </c>
      <c r="I4" s="725">
        <f t="shared" si="0"/>
        <v>1021400</v>
      </c>
      <c r="J4" s="725">
        <f t="shared" si="0"/>
        <v>1031450</v>
      </c>
      <c r="K4" s="726">
        <f t="shared" si="0"/>
        <v>1027468</v>
      </c>
      <c r="L4" s="724">
        <f>K4/J4</f>
        <v>0.99613941538610695</v>
      </c>
    </row>
    <row r="5" spans="1:14" ht="15.75" thickBot="1" x14ac:dyDescent="0.3">
      <c r="A5" s="727">
        <v>111</v>
      </c>
      <c r="B5" s="728" t="s">
        <v>3</v>
      </c>
      <c r="C5" s="729">
        <v>950000</v>
      </c>
      <c r="D5" s="729">
        <v>950000</v>
      </c>
      <c r="E5" s="729">
        <v>950000</v>
      </c>
      <c r="F5" s="730">
        <f>950000+5000</f>
        <v>955000</v>
      </c>
      <c r="G5" s="730">
        <f>950000+5000+7000</f>
        <v>962000</v>
      </c>
      <c r="H5" s="729">
        <f>950000+5000+7000</f>
        <v>962000</v>
      </c>
      <c r="I5" s="729">
        <f>950000+5000+7000</f>
        <v>962000</v>
      </c>
      <c r="J5" s="730">
        <f>950000+5000+7000+10050</f>
        <v>972050</v>
      </c>
      <c r="K5" s="731">
        <v>972038</v>
      </c>
      <c r="L5" s="724">
        <f t="shared" ref="L5:L66" si="1">K5/J5</f>
        <v>0.99998765495602082</v>
      </c>
    </row>
    <row r="6" spans="1:14" ht="15.75" thickBot="1" x14ac:dyDescent="0.3">
      <c r="A6" s="613">
        <v>121</v>
      </c>
      <c r="B6" s="614" t="s">
        <v>4</v>
      </c>
      <c r="C6" s="615">
        <v>32000</v>
      </c>
      <c r="D6" s="615">
        <v>32000</v>
      </c>
      <c r="E6" s="615">
        <v>32000</v>
      </c>
      <c r="F6" s="615">
        <v>32000</v>
      </c>
      <c r="G6" s="615">
        <v>32000</v>
      </c>
      <c r="H6" s="615">
        <f>32000</f>
        <v>32000</v>
      </c>
      <c r="I6" s="615">
        <f>32000</f>
        <v>32000</v>
      </c>
      <c r="J6" s="615">
        <f>32000</f>
        <v>32000</v>
      </c>
      <c r="K6" s="616">
        <v>31944</v>
      </c>
      <c r="L6" s="724">
        <f t="shared" si="1"/>
        <v>0.99824999999999997</v>
      </c>
    </row>
    <row r="7" spans="1:14" x14ac:dyDescent="0.25">
      <c r="A7" s="617">
        <v>133</v>
      </c>
      <c r="B7" s="618" t="s">
        <v>5</v>
      </c>
      <c r="C7" s="619">
        <v>1000</v>
      </c>
      <c r="D7" s="619">
        <v>1000</v>
      </c>
      <c r="E7" s="619">
        <v>1000</v>
      </c>
      <c r="F7" s="619">
        <v>1000</v>
      </c>
      <c r="G7" s="619">
        <v>1000</v>
      </c>
      <c r="H7" s="619">
        <v>1000</v>
      </c>
      <c r="I7" s="619">
        <v>1000</v>
      </c>
      <c r="J7" s="619">
        <v>1000</v>
      </c>
      <c r="K7" s="620">
        <v>894</v>
      </c>
      <c r="L7" s="724">
        <f t="shared" si="1"/>
        <v>0.89400000000000002</v>
      </c>
    </row>
    <row r="8" spans="1:14" x14ac:dyDescent="0.25">
      <c r="A8" s="621">
        <v>133</v>
      </c>
      <c r="B8" s="622" t="s">
        <v>6</v>
      </c>
      <c r="C8" s="623">
        <v>400</v>
      </c>
      <c r="D8" s="623">
        <v>400</v>
      </c>
      <c r="E8" s="623">
        <v>400</v>
      </c>
      <c r="F8" s="623">
        <v>400</v>
      </c>
      <c r="G8" s="623">
        <v>400</v>
      </c>
      <c r="H8" s="623">
        <v>400</v>
      </c>
      <c r="I8" s="623">
        <v>400</v>
      </c>
      <c r="J8" s="623">
        <v>400</v>
      </c>
      <c r="K8" s="624">
        <v>280</v>
      </c>
      <c r="L8" s="724">
        <f t="shared" si="1"/>
        <v>0.7</v>
      </c>
    </row>
    <row r="9" spans="1:14" x14ac:dyDescent="0.25">
      <c r="A9" s="621">
        <v>133</v>
      </c>
      <c r="B9" s="622" t="s">
        <v>7</v>
      </c>
      <c r="C9" s="623">
        <v>2000</v>
      </c>
      <c r="D9" s="623">
        <v>2000</v>
      </c>
      <c r="E9" s="623">
        <v>2000</v>
      </c>
      <c r="F9" s="623">
        <v>2000</v>
      </c>
      <c r="G9" s="623">
        <v>2000</v>
      </c>
      <c r="H9" s="623">
        <v>2000</v>
      </c>
      <c r="I9" s="623">
        <v>2000</v>
      </c>
      <c r="J9" s="623">
        <v>2000</v>
      </c>
      <c r="K9" s="624">
        <v>1454</v>
      </c>
      <c r="L9" s="724">
        <f t="shared" si="1"/>
        <v>0.72699999999999998</v>
      </c>
    </row>
    <row r="10" spans="1:14" x14ac:dyDescent="0.25">
      <c r="A10" s="621">
        <v>133</v>
      </c>
      <c r="B10" s="622" t="s">
        <v>8</v>
      </c>
      <c r="C10" s="623">
        <v>5000</v>
      </c>
      <c r="D10" s="623">
        <v>5000</v>
      </c>
      <c r="E10" s="623">
        <v>5000</v>
      </c>
      <c r="F10" s="623">
        <v>5000</v>
      </c>
      <c r="G10" s="623">
        <v>5000</v>
      </c>
      <c r="H10" s="623">
        <v>5000</v>
      </c>
      <c r="I10" s="623">
        <v>5000</v>
      </c>
      <c r="J10" s="623">
        <v>5000</v>
      </c>
      <c r="K10" s="624">
        <v>3624</v>
      </c>
      <c r="L10" s="724">
        <f t="shared" si="1"/>
        <v>0.7248</v>
      </c>
    </row>
    <row r="11" spans="1:14" ht="15.75" thickBot="1" x14ac:dyDescent="0.3">
      <c r="A11" s="625">
        <v>133</v>
      </c>
      <c r="B11" s="626" t="s">
        <v>9</v>
      </c>
      <c r="C11" s="640">
        <v>19000</v>
      </c>
      <c r="D11" s="640">
        <v>19000</v>
      </c>
      <c r="E11" s="640">
        <v>19000</v>
      </c>
      <c r="F11" s="640">
        <v>19000</v>
      </c>
      <c r="G11" s="640">
        <v>19000</v>
      </c>
      <c r="H11" s="640">
        <v>19000</v>
      </c>
      <c r="I11" s="640">
        <v>19000</v>
      </c>
      <c r="J11" s="640">
        <v>19000</v>
      </c>
      <c r="K11" s="641">
        <v>17234</v>
      </c>
      <c r="L11" s="724">
        <f t="shared" si="1"/>
        <v>0.90705263157894733</v>
      </c>
      <c r="M11" s="171">
        <f>SUM(J7:J11)</f>
        <v>27400</v>
      </c>
      <c r="N11" s="171">
        <f>SUM(K7:K11)</f>
        <v>23486</v>
      </c>
    </row>
    <row r="12" spans="1:14" ht="15.75" thickBot="1" x14ac:dyDescent="0.3">
      <c r="A12" s="968" t="s">
        <v>10</v>
      </c>
      <c r="B12" s="969"/>
      <c r="C12" s="725">
        <f t="shared" ref="C12:K12" si="2">SUM(C13:C32)</f>
        <v>159850</v>
      </c>
      <c r="D12" s="725">
        <f t="shared" si="2"/>
        <v>159882</v>
      </c>
      <c r="E12" s="725">
        <f t="shared" si="2"/>
        <v>159882</v>
      </c>
      <c r="F12" s="725">
        <f t="shared" si="2"/>
        <v>159882</v>
      </c>
      <c r="G12" s="725">
        <f t="shared" si="2"/>
        <v>172932</v>
      </c>
      <c r="H12" s="725">
        <f t="shared" si="2"/>
        <v>174727</v>
      </c>
      <c r="I12" s="725">
        <f t="shared" si="2"/>
        <v>175727</v>
      </c>
      <c r="J12" s="725">
        <f t="shared" si="2"/>
        <v>176048</v>
      </c>
      <c r="K12" s="726">
        <f t="shared" si="2"/>
        <v>161813</v>
      </c>
      <c r="L12" s="724">
        <f t="shared" si="1"/>
        <v>0.91914137053530853</v>
      </c>
    </row>
    <row r="13" spans="1:14" x14ac:dyDescent="0.25">
      <c r="A13" s="627">
        <v>212</v>
      </c>
      <c r="B13" s="628" t="s">
        <v>11</v>
      </c>
      <c r="C13" s="629">
        <v>2282</v>
      </c>
      <c r="D13" s="629">
        <v>2282</v>
      </c>
      <c r="E13" s="629">
        <v>2282</v>
      </c>
      <c r="F13" s="629">
        <v>2282</v>
      </c>
      <c r="G13" s="629">
        <v>2282</v>
      </c>
      <c r="H13" s="629">
        <v>2282</v>
      </c>
      <c r="I13" s="629">
        <v>2282</v>
      </c>
      <c r="J13" s="629">
        <v>2282</v>
      </c>
      <c r="K13" s="630">
        <v>2027</v>
      </c>
      <c r="L13" s="724">
        <f t="shared" si="1"/>
        <v>0.88825591586327779</v>
      </c>
    </row>
    <row r="14" spans="1:14" x14ac:dyDescent="0.25">
      <c r="A14" s="617">
        <v>212</v>
      </c>
      <c r="B14" s="618" t="s">
        <v>12</v>
      </c>
      <c r="C14" s="619">
        <v>500</v>
      </c>
      <c r="D14" s="619">
        <v>500</v>
      </c>
      <c r="E14" s="619">
        <v>500</v>
      </c>
      <c r="F14" s="619">
        <v>500</v>
      </c>
      <c r="G14" s="619">
        <v>500</v>
      </c>
      <c r="H14" s="619">
        <v>500</v>
      </c>
      <c r="I14" s="619">
        <v>500</v>
      </c>
      <c r="J14" s="619">
        <v>500</v>
      </c>
      <c r="K14" s="620">
        <v>189</v>
      </c>
      <c r="L14" s="724">
        <f t="shared" si="1"/>
        <v>0.378</v>
      </c>
    </row>
    <row r="15" spans="1:14" x14ac:dyDescent="0.25">
      <c r="A15" s="621">
        <v>212</v>
      </c>
      <c r="B15" s="622" t="s">
        <v>13</v>
      </c>
      <c r="C15" s="623">
        <v>3943</v>
      </c>
      <c r="D15" s="631">
        <f t="shared" ref="D15:I15" si="3">3943+32</f>
        <v>3975</v>
      </c>
      <c r="E15" s="623">
        <f t="shared" si="3"/>
        <v>3975</v>
      </c>
      <c r="F15" s="623">
        <f t="shared" si="3"/>
        <v>3975</v>
      </c>
      <c r="G15" s="623">
        <f t="shared" si="3"/>
        <v>3975</v>
      </c>
      <c r="H15" s="623">
        <f t="shared" si="3"/>
        <v>3975</v>
      </c>
      <c r="I15" s="623">
        <f t="shared" si="3"/>
        <v>3975</v>
      </c>
      <c r="J15" s="623">
        <f>3943+32+1</f>
        <v>3976</v>
      </c>
      <c r="K15" s="624">
        <v>3975</v>
      </c>
      <c r="L15" s="724">
        <f t="shared" si="1"/>
        <v>0.99974849094567408</v>
      </c>
    </row>
    <row r="16" spans="1:14" x14ac:dyDescent="0.25">
      <c r="A16" s="621">
        <v>212</v>
      </c>
      <c r="B16" s="622" t="s">
        <v>14</v>
      </c>
      <c r="C16" s="632">
        <v>15075</v>
      </c>
      <c r="D16" s="632">
        <f>15075</f>
        <v>15075</v>
      </c>
      <c r="E16" s="632">
        <f>15075</f>
        <v>15075</v>
      </c>
      <c r="F16" s="632">
        <f>15075</f>
        <v>15075</v>
      </c>
      <c r="G16" s="633">
        <f>15075+1300</f>
        <v>16375</v>
      </c>
      <c r="H16" s="633">
        <f>15075+1300+1600</f>
        <v>17975</v>
      </c>
      <c r="I16" s="632">
        <f>15075+1300+1600</f>
        <v>17975</v>
      </c>
      <c r="J16" s="632">
        <f>15075+1300+1600</f>
        <v>17975</v>
      </c>
      <c r="K16" s="634">
        <v>17332</v>
      </c>
      <c r="L16" s="724">
        <f t="shared" si="1"/>
        <v>0.96422809457579972</v>
      </c>
    </row>
    <row r="17" spans="1:15" ht="15.75" thickBot="1" x14ac:dyDescent="0.3">
      <c r="A17" s="635">
        <v>212</v>
      </c>
      <c r="B17" s="636" t="s">
        <v>15</v>
      </c>
      <c r="C17" s="637">
        <v>200</v>
      </c>
      <c r="D17" s="637">
        <v>200</v>
      </c>
      <c r="E17" s="637">
        <v>200</v>
      </c>
      <c r="F17" s="637">
        <v>200</v>
      </c>
      <c r="G17" s="637">
        <v>200</v>
      </c>
      <c r="H17" s="637">
        <v>200</v>
      </c>
      <c r="I17" s="637">
        <v>200</v>
      </c>
      <c r="J17" s="637">
        <v>200</v>
      </c>
      <c r="K17" s="638">
        <v>5</v>
      </c>
      <c r="L17" s="724">
        <f t="shared" si="1"/>
        <v>2.5000000000000001E-2</v>
      </c>
      <c r="M17" s="171">
        <f>SUM(J13:J17)</f>
        <v>24933</v>
      </c>
      <c r="N17" s="171">
        <f>SUM(K13:K17)</f>
        <v>23528</v>
      </c>
      <c r="O17" s="171"/>
    </row>
    <row r="18" spans="1:15" ht="15.75" thickBot="1" x14ac:dyDescent="0.3">
      <c r="A18" s="613">
        <v>221</v>
      </c>
      <c r="B18" s="614" t="s">
        <v>16</v>
      </c>
      <c r="C18" s="615">
        <v>11000</v>
      </c>
      <c r="D18" s="615">
        <v>11000</v>
      </c>
      <c r="E18" s="615">
        <v>11000</v>
      </c>
      <c r="F18" s="615">
        <v>11000</v>
      </c>
      <c r="G18" s="615">
        <v>11000</v>
      </c>
      <c r="H18" s="615">
        <v>11000</v>
      </c>
      <c r="I18" s="615">
        <v>11000</v>
      </c>
      <c r="J18" s="615">
        <v>11000</v>
      </c>
      <c r="K18" s="616">
        <v>4093</v>
      </c>
      <c r="L18" s="724">
        <f t="shared" si="1"/>
        <v>0.37209090909090908</v>
      </c>
    </row>
    <row r="19" spans="1:15" ht="15.75" thickBot="1" x14ac:dyDescent="0.3">
      <c r="A19" s="635">
        <v>222</v>
      </c>
      <c r="B19" s="636" t="s">
        <v>17</v>
      </c>
      <c r="C19" s="637">
        <v>0</v>
      </c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8">
        <v>0</v>
      </c>
      <c r="L19" s="724">
        <v>0</v>
      </c>
    </row>
    <row r="20" spans="1:15" x14ac:dyDescent="0.25">
      <c r="A20" s="617">
        <v>223</v>
      </c>
      <c r="B20" s="618" t="s">
        <v>18</v>
      </c>
      <c r="C20" s="619">
        <v>900</v>
      </c>
      <c r="D20" s="619">
        <v>900</v>
      </c>
      <c r="E20" s="619">
        <v>900</v>
      </c>
      <c r="F20" s="619">
        <v>900</v>
      </c>
      <c r="G20" s="619">
        <v>900</v>
      </c>
      <c r="H20" s="619">
        <v>900</v>
      </c>
      <c r="I20" s="619">
        <v>900</v>
      </c>
      <c r="J20" s="619">
        <v>900</v>
      </c>
      <c r="K20" s="620">
        <v>713</v>
      </c>
      <c r="L20" s="724">
        <f t="shared" si="1"/>
        <v>0.79222222222222227</v>
      </c>
    </row>
    <row r="21" spans="1:15" x14ac:dyDescent="0.25">
      <c r="A21" s="621">
        <v>223</v>
      </c>
      <c r="B21" s="622" t="s">
        <v>19</v>
      </c>
      <c r="C21" s="623">
        <v>18000</v>
      </c>
      <c r="D21" s="623">
        <v>18000</v>
      </c>
      <c r="E21" s="623">
        <v>18000</v>
      </c>
      <c r="F21" s="623">
        <v>18000</v>
      </c>
      <c r="G21" s="623">
        <v>18000</v>
      </c>
      <c r="H21" s="623">
        <v>18000</v>
      </c>
      <c r="I21" s="623">
        <v>18000</v>
      </c>
      <c r="J21" s="631">
        <v>17000</v>
      </c>
      <c r="K21" s="624">
        <v>16518</v>
      </c>
      <c r="L21" s="724">
        <f t="shared" si="1"/>
        <v>0.97164705882352942</v>
      </c>
    </row>
    <row r="22" spans="1:15" x14ac:dyDescent="0.25">
      <c r="A22" s="621">
        <v>223</v>
      </c>
      <c r="B22" s="622" t="s">
        <v>380</v>
      </c>
      <c r="C22" s="623">
        <v>30000</v>
      </c>
      <c r="D22" s="623">
        <v>30000</v>
      </c>
      <c r="E22" s="623">
        <v>30000</v>
      </c>
      <c r="F22" s="623">
        <v>30000</v>
      </c>
      <c r="G22" s="631">
        <f>30000+1000+5750</f>
        <v>36750</v>
      </c>
      <c r="H22" s="631">
        <f>30000+1000+5750+500+500-2000</f>
        <v>35750</v>
      </c>
      <c r="I22" s="623">
        <f>30000+1000+5750+500+500-2000</f>
        <v>35750</v>
      </c>
      <c r="J22" s="623">
        <f>30000+1000+5750+500+500-2000</f>
        <v>35750</v>
      </c>
      <c r="K22" s="624">
        <v>34491</v>
      </c>
      <c r="L22" s="724">
        <f t="shared" si="1"/>
        <v>0.96478321678321677</v>
      </c>
    </row>
    <row r="23" spans="1:15" x14ac:dyDescent="0.25">
      <c r="A23" s="621">
        <v>223</v>
      </c>
      <c r="B23" s="622" t="s">
        <v>21</v>
      </c>
      <c r="C23" s="623">
        <v>1000</v>
      </c>
      <c r="D23" s="623">
        <v>1000</v>
      </c>
      <c r="E23" s="623">
        <v>1000</v>
      </c>
      <c r="F23" s="623">
        <v>1000</v>
      </c>
      <c r="G23" s="623">
        <v>1000</v>
      </c>
      <c r="H23" s="623">
        <v>1000</v>
      </c>
      <c r="I23" s="623">
        <v>1000</v>
      </c>
      <c r="J23" s="623">
        <v>1000</v>
      </c>
      <c r="K23" s="624">
        <v>519</v>
      </c>
      <c r="L23" s="724">
        <f t="shared" si="1"/>
        <v>0.51900000000000002</v>
      </c>
    </row>
    <row r="24" spans="1:15" x14ac:dyDescent="0.25">
      <c r="A24" s="621">
        <v>223</v>
      </c>
      <c r="B24" s="622" t="s">
        <v>365</v>
      </c>
      <c r="C24" s="623">
        <v>0</v>
      </c>
      <c r="D24" s="623">
        <v>0</v>
      </c>
      <c r="E24" s="623">
        <v>0</v>
      </c>
      <c r="F24" s="623">
        <v>0</v>
      </c>
      <c r="G24" s="631">
        <v>5000</v>
      </c>
      <c r="H24" s="623">
        <v>5000</v>
      </c>
      <c r="I24" s="623">
        <v>5000</v>
      </c>
      <c r="J24" s="623">
        <v>5000</v>
      </c>
      <c r="K24" s="624">
        <v>5000</v>
      </c>
      <c r="L24" s="724">
        <f t="shared" si="1"/>
        <v>1</v>
      </c>
    </row>
    <row r="25" spans="1:15" x14ac:dyDescent="0.25">
      <c r="A25" s="621">
        <v>223</v>
      </c>
      <c r="B25" s="622" t="s">
        <v>22</v>
      </c>
      <c r="C25" s="623">
        <v>700</v>
      </c>
      <c r="D25" s="623">
        <v>700</v>
      </c>
      <c r="E25" s="623">
        <v>700</v>
      </c>
      <c r="F25" s="623">
        <v>700</v>
      </c>
      <c r="G25" s="623">
        <v>700</v>
      </c>
      <c r="H25" s="623">
        <v>700</v>
      </c>
      <c r="I25" s="623">
        <v>700</v>
      </c>
      <c r="J25" s="623">
        <v>700</v>
      </c>
      <c r="K25" s="624">
        <v>490</v>
      </c>
      <c r="L25" s="724">
        <f t="shared" si="1"/>
        <v>0.7</v>
      </c>
    </row>
    <row r="26" spans="1:15" x14ac:dyDescent="0.25">
      <c r="A26" s="621">
        <v>223</v>
      </c>
      <c r="B26" s="622" t="s">
        <v>23</v>
      </c>
      <c r="C26" s="623">
        <v>24000</v>
      </c>
      <c r="D26" s="623">
        <v>24000</v>
      </c>
      <c r="E26" s="623">
        <v>24000</v>
      </c>
      <c r="F26" s="623">
        <v>24000</v>
      </c>
      <c r="G26" s="623">
        <v>24000</v>
      </c>
      <c r="H26" s="631">
        <f>24000+6000</f>
        <v>30000</v>
      </c>
      <c r="I26" s="631">
        <f>24000+6000+1000</f>
        <v>31000</v>
      </c>
      <c r="J26" s="631">
        <f>24000+6000+1000+2000+800</f>
        <v>33800</v>
      </c>
      <c r="K26" s="624">
        <v>33709</v>
      </c>
      <c r="L26" s="724">
        <f t="shared" si="1"/>
        <v>0.99730769230769234</v>
      </c>
    </row>
    <row r="27" spans="1:15" x14ac:dyDescent="0.25">
      <c r="A27" s="621">
        <v>223</v>
      </c>
      <c r="B27" s="622" t="s">
        <v>24</v>
      </c>
      <c r="C27" s="623">
        <v>21650</v>
      </c>
      <c r="D27" s="623">
        <v>21650</v>
      </c>
      <c r="E27" s="623">
        <v>21650</v>
      </c>
      <c r="F27" s="623">
        <v>21650</v>
      </c>
      <c r="G27" s="623">
        <v>21650</v>
      </c>
      <c r="H27" s="623">
        <v>21650</v>
      </c>
      <c r="I27" s="623">
        <v>21650</v>
      </c>
      <c r="J27" s="623">
        <v>21650</v>
      </c>
      <c r="K27" s="624">
        <v>18990</v>
      </c>
      <c r="L27" s="724">
        <f t="shared" si="1"/>
        <v>0.87713625866050804</v>
      </c>
    </row>
    <row r="28" spans="1:15" x14ac:dyDescent="0.25">
      <c r="A28" s="621">
        <v>223</v>
      </c>
      <c r="B28" s="622" t="s">
        <v>25</v>
      </c>
      <c r="C28" s="623">
        <v>18000</v>
      </c>
      <c r="D28" s="623">
        <v>18000</v>
      </c>
      <c r="E28" s="623">
        <v>18000</v>
      </c>
      <c r="F28" s="623">
        <v>18000</v>
      </c>
      <c r="G28" s="623">
        <v>18000</v>
      </c>
      <c r="H28" s="623">
        <v>18000</v>
      </c>
      <c r="I28" s="623">
        <v>18000</v>
      </c>
      <c r="J28" s="633">
        <f>18000+10-1000</f>
        <v>17010</v>
      </c>
      <c r="K28" s="624">
        <f>17009</f>
        <v>17009</v>
      </c>
      <c r="L28" s="724">
        <f t="shared" si="1"/>
        <v>0.99994121105232214</v>
      </c>
    </row>
    <row r="29" spans="1:15" x14ac:dyDescent="0.25">
      <c r="A29" s="621">
        <v>223</v>
      </c>
      <c r="B29" s="622" t="s">
        <v>499</v>
      </c>
      <c r="C29" s="623">
        <v>0</v>
      </c>
      <c r="D29" s="623">
        <v>0</v>
      </c>
      <c r="E29" s="623">
        <v>0</v>
      </c>
      <c r="F29" s="623">
        <v>0</v>
      </c>
      <c r="G29" s="623">
        <v>0</v>
      </c>
      <c r="H29" s="623">
        <v>0</v>
      </c>
      <c r="I29" s="623">
        <v>0</v>
      </c>
      <c r="J29" s="631">
        <v>10</v>
      </c>
      <c r="K29" s="624">
        <v>4</v>
      </c>
      <c r="L29" s="724">
        <f t="shared" si="1"/>
        <v>0.4</v>
      </c>
    </row>
    <row r="30" spans="1:15" x14ac:dyDescent="0.25">
      <c r="A30" s="621">
        <v>223</v>
      </c>
      <c r="B30" s="622" t="s">
        <v>26</v>
      </c>
      <c r="C30" s="623">
        <v>10000</v>
      </c>
      <c r="D30" s="623">
        <v>10000</v>
      </c>
      <c r="E30" s="623">
        <v>10000</v>
      </c>
      <c r="F30" s="623">
        <v>10000</v>
      </c>
      <c r="G30" s="623">
        <v>10000</v>
      </c>
      <c r="H30" s="631">
        <f>10000-4805</f>
        <v>5195</v>
      </c>
      <c r="I30" s="623">
        <f>10000-4805</f>
        <v>5195</v>
      </c>
      <c r="J30" s="623">
        <f>10000-4805</f>
        <v>5195</v>
      </c>
      <c r="K30" s="624">
        <v>5175</v>
      </c>
      <c r="L30" s="724">
        <f t="shared" si="1"/>
        <v>0.99615014436958615</v>
      </c>
    </row>
    <row r="31" spans="1:15" x14ac:dyDescent="0.25">
      <c r="A31" s="621">
        <v>223</v>
      </c>
      <c r="B31" s="622" t="s">
        <v>27</v>
      </c>
      <c r="C31" s="623">
        <v>2500</v>
      </c>
      <c r="D31" s="623">
        <v>2500</v>
      </c>
      <c r="E31" s="623">
        <v>2500</v>
      </c>
      <c r="F31" s="623">
        <v>2500</v>
      </c>
      <c r="G31" s="623">
        <v>2500</v>
      </c>
      <c r="H31" s="623">
        <v>2500</v>
      </c>
      <c r="I31" s="623">
        <v>2500</v>
      </c>
      <c r="J31" s="631">
        <f>2500-500</f>
        <v>2000</v>
      </c>
      <c r="K31" s="624">
        <v>1568</v>
      </c>
      <c r="L31" s="724">
        <f t="shared" si="1"/>
        <v>0.78400000000000003</v>
      </c>
      <c r="M31" s="171">
        <f>SUM(J20:J32)</f>
        <v>140115</v>
      </c>
      <c r="N31" s="171">
        <f>SUM(K20:K32)</f>
        <v>134192</v>
      </c>
      <c r="O31" s="171"/>
    </row>
    <row r="32" spans="1:15" ht="15.75" thickBot="1" x14ac:dyDescent="0.3">
      <c r="A32" s="625">
        <v>223</v>
      </c>
      <c r="B32" s="626" t="s">
        <v>28</v>
      </c>
      <c r="C32" s="640">
        <v>100</v>
      </c>
      <c r="D32" s="640">
        <v>100</v>
      </c>
      <c r="E32" s="640">
        <v>100</v>
      </c>
      <c r="F32" s="640">
        <v>100</v>
      </c>
      <c r="G32" s="640">
        <v>100</v>
      </c>
      <c r="H32" s="640">
        <v>100</v>
      </c>
      <c r="I32" s="640">
        <v>100</v>
      </c>
      <c r="J32" s="640">
        <v>100</v>
      </c>
      <c r="K32" s="641">
        <v>6</v>
      </c>
      <c r="L32" s="724">
        <f t="shared" si="1"/>
        <v>0.06</v>
      </c>
      <c r="M32" s="171">
        <f>SUM(J18:J32)</f>
        <v>151115</v>
      </c>
      <c r="N32" s="171">
        <f>SUM(K18:K32)</f>
        <v>138285</v>
      </c>
    </row>
    <row r="33" spans="1:12" ht="15.75" thickBot="1" x14ac:dyDescent="0.3">
      <c r="A33" s="732" t="s">
        <v>29</v>
      </c>
      <c r="B33" s="733"/>
      <c r="C33" s="725">
        <f t="shared" ref="C33:K33" si="4">SUM(C34)</f>
        <v>600</v>
      </c>
      <c r="D33" s="725">
        <f t="shared" si="4"/>
        <v>600</v>
      </c>
      <c r="E33" s="725">
        <f t="shared" si="4"/>
        <v>600</v>
      </c>
      <c r="F33" s="725">
        <f t="shared" si="4"/>
        <v>600</v>
      </c>
      <c r="G33" s="725">
        <f t="shared" si="4"/>
        <v>600</v>
      </c>
      <c r="H33" s="725">
        <f t="shared" si="4"/>
        <v>600</v>
      </c>
      <c r="I33" s="725">
        <f t="shared" si="4"/>
        <v>600</v>
      </c>
      <c r="J33" s="725">
        <f t="shared" si="4"/>
        <v>600</v>
      </c>
      <c r="K33" s="726">
        <f t="shared" si="4"/>
        <v>363</v>
      </c>
      <c r="L33" s="724">
        <f t="shared" si="1"/>
        <v>0.60499999999999998</v>
      </c>
    </row>
    <row r="34" spans="1:12" ht="15.75" thickBot="1" x14ac:dyDescent="0.3">
      <c r="A34" s="642">
        <v>240</v>
      </c>
      <c r="B34" s="643" t="s">
        <v>30</v>
      </c>
      <c r="C34" s="637">
        <v>600</v>
      </c>
      <c r="D34" s="637">
        <v>600</v>
      </c>
      <c r="E34" s="637">
        <v>600</v>
      </c>
      <c r="F34" s="637">
        <v>600</v>
      </c>
      <c r="G34" s="637">
        <v>600</v>
      </c>
      <c r="H34" s="637">
        <v>600</v>
      </c>
      <c r="I34" s="637">
        <v>600</v>
      </c>
      <c r="J34" s="637">
        <v>600</v>
      </c>
      <c r="K34" s="638">
        <v>363</v>
      </c>
      <c r="L34" s="724">
        <f t="shared" si="1"/>
        <v>0.60499999999999998</v>
      </c>
    </row>
    <row r="35" spans="1:12" ht="15.75" thickBot="1" x14ac:dyDescent="0.3">
      <c r="A35" s="732" t="s">
        <v>31</v>
      </c>
      <c r="B35" s="733"/>
      <c r="C35" s="725">
        <f t="shared" ref="C35:K35" si="5">SUM(C36:C42)</f>
        <v>39730</v>
      </c>
      <c r="D35" s="725">
        <f t="shared" si="5"/>
        <v>41710</v>
      </c>
      <c r="E35" s="725">
        <f t="shared" si="5"/>
        <v>41710</v>
      </c>
      <c r="F35" s="725">
        <f t="shared" si="5"/>
        <v>42960</v>
      </c>
      <c r="G35" s="725">
        <f t="shared" si="5"/>
        <v>42960</v>
      </c>
      <c r="H35" s="725">
        <f t="shared" si="5"/>
        <v>43960</v>
      </c>
      <c r="I35" s="725">
        <f t="shared" si="5"/>
        <v>44660</v>
      </c>
      <c r="J35" s="725">
        <f t="shared" si="5"/>
        <v>43660</v>
      </c>
      <c r="K35" s="726">
        <f t="shared" si="5"/>
        <v>36541</v>
      </c>
      <c r="L35" s="724">
        <f t="shared" si="1"/>
        <v>0.83694457169033443</v>
      </c>
    </row>
    <row r="36" spans="1:12" x14ac:dyDescent="0.25">
      <c r="A36" s="734">
        <v>292</v>
      </c>
      <c r="B36" s="735" t="s">
        <v>32</v>
      </c>
      <c r="C36" s="736">
        <v>200</v>
      </c>
      <c r="D36" s="736">
        <v>200</v>
      </c>
      <c r="E36" s="736">
        <v>200</v>
      </c>
      <c r="F36" s="736">
        <v>200</v>
      </c>
      <c r="G36" s="736">
        <v>200</v>
      </c>
      <c r="H36" s="736">
        <v>200</v>
      </c>
      <c r="I36" s="736">
        <v>200</v>
      </c>
      <c r="J36" s="737">
        <f>200+900</f>
        <v>1100</v>
      </c>
      <c r="K36" s="738">
        <v>1054</v>
      </c>
      <c r="L36" s="724">
        <f t="shared" si="1"/>
        <v>0.95818181818181813</v>
      </c>
    </row>
    <row r="37" spans="1:12" x14ac:dyDescent="0.25">
      <c r="A37" s="734">
        <v>292</v>
      </c>
      <c r="B37" s="735" t="s">
        <v>33</v>
      </c>
      <c r="C37" s="736">
        <v>300</v>
      </c>
      <c r="D37" s="736">
        <v>300</v>
      </c>
      <c r="E37" s="736">
        <v>300</v>
      </c>
      <c r="F37" s="737">
        <f>300+250</f>
        <v>550</v>
      </c>
      <c r="G37" s="736">
        <v>550</v>
      </c>
      <c r="H37" s="736">
        <v>550</v>
      </c>
      <c r="I37" s="736">
        <v>550</v>
      </c>
      <c r="J37" s="736">
        <v>550</v>
      </c>
      <c r="K37" s="738">
        <v>326</v>
      </c>
      <c r="L37" s="724">
        <f t="shared" si="1"/>
        <v>0.59272727272727277</v>
      </c>
    </row>
    <row r="38" spans="1:12" x14ac:dyDescent="0.25">
      <c r="A38" s="739">
        <v>292</v>
      </c>
      <c r="B38" s="740" t="s">
        <v>276</v>
      </c>
      <c r="C38" s="699">
        <v>0</v>
      </c>
      <c r="D38" s="700">
        <v>2000</v>
      </c>
      <c r="E38" s="699">
        <v>2000</v>
      </c>
      <c r="F38" s="699">
        <v>2000</v>
      </c>
      <c r="G38" s="699">
        <v>2000</v>
      </c>
      <c r="H38" s="699">
        <v>2000</v>
      </c>
      <c r="I38" s="699">
        <v>2000</v>
      </c>
      <c r="J38" s="699">
        <v>2000</v>
      </c>
      <c r="K38" s="741">
        <v>1998</v>
      </c>
      <c r="L38" s="724">
        <f t="shared" si="1"/>
        <v>0.999</v>
      </c>
    </row>
    <row r="39" spans="1:12" x14ac:dyDescent="0.25">
      <c r="A39" s="739">
        <v>292</v>
      </c>
      <c r="B39" s="740" t="s">
        <v>277</v>
      </c>
      <c r="C39" s="699">
        <v>15000</v>
      </c>
      <c r="D39" s="699">
        <v>15000</v>
      </c>
      <c r="E39" s="699">
        <v>15000</v>
      </c>
      <c r="F39" s="699">
        <v>15000</v>
      </c>
      <c r="G39" s="699">
        <v>15000</v>
      </c>
      <c r="H39" s="699">
        <v>15000</v>
      </c>
      <c r="I39" s="699">
        <v>15000</v>
      </c>
      <c r="J39" s="700">
        <f>15000+1200</f>
        <v>16200</v>
      </c>
      <c r="K39" s="741">
        <v>16161</v>
      </c>
      <c r="L39" s="724">
        <f t="shared" si="1"/>
        <v>0.99759259259259259</v>
      </c>
    </row>
    <row r="40" spans="1:12" x14ac:dyDescent="0.25">
      <c r="A40" s="739">
        <v>292</v>
      </c>
      <c r="B40" s="622" t="s">
        <v>35</v>
      </c>
      <c r="C40" s="644">
        <v>230</v>
      </c>
      <c r="D40" s="645">
        <f t="shared" ref="D40:J40" si="6">230-20</f>
        <v>210</v>
      </c>
      <c r="E40" s="644">
        <f t="shared" si="6"/>
        <v>210</v>
      </c>
      <c r="F40" s="644">
        <f t="shared" si="6"/>
        <v>210</v>
      </c>
      <c r="G40" s="644">
        <f t="shared" si="6"/>
        <v>210</v>
      </c>
      <c r="H40" s="644">
        <f t="shared" si="6"/>
        <v>210</v>
      </c>
      <c r="I40" s="644">
        <f t="shared" si="6"/>
        <v>210</v>
      </c>
      <c r="J40" s="644">
        <f t="shared" si="6"/>
        <v>210</v>
      </c>
      <c r="K40" s="646">
        <v>210</v>
      </c>
      <c r="L40" s="724">
        <f t="shared" si="1"/>
        <v>1</v>
      </c>
    </row>
    <row r="41" spans="1:12" x14ac:dyDescent="0.25">
      <c r="A41" s="739">
        <v>292</v>
      </c>
      <c r="B41" s="740" t="s">
        <v>36</v>
      </c>
      <c r="C41" s="699">
        <v>21000</v>
      </c>
      <c r="D41" s="699">
        <v>21000</v>
      </c>
      <c r="E41" s="699">
        <v>21000</v>
      </c>
      <c r="F41" s="700">
        <f>21000+1000</f>
        <v>22000</v>
      </c>
      <c r="G41" s="699">
        <v>22000</v>
      </c>
      <c r="H41" s="700">
        <f>22000+1000</f>
        <v>23000</v>
      </c>
      <c r="I41" s="700">
        <f>22000+1000+700</f>
        <v>23700</v>
      </c>
      <c r="J41" s="700">
        <f>22000+1000+700-1000</f>
        <v>22700</v>
      </c>
      <c r="K41" s="741">
        <f>16422-K40</f>
        <v>16212</v>
      </c>
      <c r="L41" s="724">
        <f t="shared" si="1"/>
        <v>0.71418502202643175</v>
      </c>
    </row>
    <row r="42" spans="1:12" ht="15.75" thickBot="1" x14ac:dyDescent="0.3">
      <c r="A42" s="739">
        <v>292</v>
      </c>
      <c r="B42" s="740" t="s">
        <v>37</v>
      </c>
      <c r="C42" s="699">
        <v>3000</v>
      </c>
      <c r="D42" s="699">
        <v>3000</v>
      </c>
      <c r="E42" s="699">
        <v>3000</v>
      </c>
      <c r="F42" s="699">
        <v>3000</v>
      </c>
      <c r="G42" s="699">
        <v>3000</v>
      </c>
      <c r="H42" s="699">
        <v>3000</v>
      </c>
      <c r="I42" s="699">
        <v>3000</v>
      </c>
      <c r="J42" s="700">
        <f>3000-2100</f>
        <v>900</v>
      </c>
      <c r="K42" s="741">
        <v>580</v>
      </c>
      <c r="L42" s="724">
        <f t="shared" si="1"/>
        <v>0.64444444444444449</v>
      </c>
    </row>
    <row r="43" spans="1:12" ht="15.75" thickBot="1" x14ac:dyDescent="0.3">
      <c r="A43" s="742" t="s">
        <v>38</v>
      </c>
      <c r="B43" s="743"/>
      <c r="C43" s="725">
        <f t="shared" ref="C43:K43" si="7">SUM(C44:C61)</f>
        <v>548960</v>
      </c>
      <c r="D43" s="725">
        <f t="shared" si="7"/>
        <v>571181</v>
      </c>
      <c r="E43" s="725">
        <f t="shared" si="7"/>
        <v>576181</v>
      </c>
      <c r="F43" s="725">
        <f t="shared" si="7"/>
        <v>598931</v>
      </c>
      <c r="G43" s="725">
        <f t="shared" si="7"/>
        <v>608041</v>
      </c>
      <c r="H43" s="725">
        <f t="shared" si="7"/>
        <v>613691</v>
      </c>
      <c r="I43" s="725">
        <f t="shared" si="7"/>
        <v>613664</v>
      </c>
      <c r="J43" s="725">
        <f t="shared" si="7"/>
        <v>617218</v>
      </c>
      <c r="K43" s="726">
        <f t="shared" si="7"/>
        <v>563928</v>
      </c>
      <c r="L43" s="724">
        <f t="shared" si="1"/>
        <v>0.91366097553862657</v>
      </c>
    </row>
    <row r="44" spans="1:12" x14ac:dyDescent="0.25">
      <c r="A44" s="744">
        <v>311</v>
      </c>
      <c r="B44" s="745" t="s">
        <v>330</v>
      </c>
      <c r="C44" s="632">
        <v>0</v>
      </c>
      <c r="D44" s="632">
        <v>0</v>
      </c>
      <c r="E44" s="632">
        <v>0</v>
      </c>
      <c r="F44" s="633">
        <v>5950</v>
      </c>
      <c r="G44" s="633">
        <f>5950-3950</f>
        <v>2000</v>
      </c>
      <c r="H44" s="632">
        <f>5950-3950</f>
        <v>2000</v>
      </c>
      <c r="I44" s="632">
        <f>5950-3950</f>
        <v>2000</v>
      </c>
      <c r="J44" s="632">
        <f>5950-3950</f>
        <v>2000</v>
      </c>
      <c r="K44" s="634">
        <v>2000</v>
      </c>
      <c r="L44" s="724">
        <f t="shared" si="1"/>
        <v>1</v>
      </c>
    </row>
    <row r="45" spans="1:12" x14ac:dyDescent="0.25">
      <c r="A45" s="744">
        <v>312</v>
      </c>
      <c r="B45" s="745" t="s">
        <v>39</v>
      </c>
      <c r="C45" s="632">
        <v>3500</v>
      </c>
      <c r="D45" s="632">
        <v>3500</v>
      </c>
      <c r="E45" s="632">
        <v>3500</v>
      </c>
      <c r="F45" s="632">
        <v>3500</v>
      </c>
      <c r="G45" s="632">
        <v>3500</v>
      </c>
      <c r="H45" s="633">
        <f>3500-1450</f>
        <v>2050</v>
      </c>
      <c r="I45" s="633">
        <f>3500-1450+150</f>
        <v>2200</v>
      </c>
      <c r="J45" s="632">
        <f>3500-1450+150</f>
        <v>2200</v>
      </c>
      <c r="K45" s="634">
        <v>2089</v>
      </c>
      <c r="L45" s="724">
        <f t="shared" si="1"/>
        <v>0.94954545454545458</v>
      </c>
    </row>
    <row r="46" spans="1:12" x14ac:dyDescent="0.25">
      <c r="A46" s="746">
        <v>312</v>
      </c>
      <c r="B46" s="622" t="s">
        <v>40</v>
      </c>
      <c r="C46" s="619">
        <v>7200</v>
      </c>
      <c r="D46" s="619">
        <v>7200</v>
      </c>
      <c r="E46" s="619">
        <v>7200</v>
      </c>
      <c r="F46" s="619">
        <v>7200</v>
      </c>
      <c r="G46" s="619">
        <v>7200</v>
      </c>
      <c r="H46" s="619">
        <v>7200</v>
      </c>
      <c r="I46" s="619">
        <v>7200</v>
      </c>
      <c r="J46" s="619">
        <v>7200</v>
      </c>
      <c r="K46" s="620">
        <v>5791</v>
      </c>
      <c r="L46" s="724">
        <f t="shared" si="1"/>
        <v>0.80430555555555561</v>
      </c>
    </row>
    <row r="47" spans="1:12" x14ac:dyDescent="0.25">
      <c r="A47" s="746">
        <v>312</v>
      </c>
      <c r="B47" s="622" t="s">
        <v>41</v>
      </c>
      <c r="C47" s="619">
        <v>3000</v>
      </c>
      <c r="D47" s="619">
        <v>3000</v>
      </c>
      <c r="E47" s="619">
        <v>3000</v>
      </c>
      <c r="F47" s="619">
        <v>3000</v>
      </c>
      <c r="G47" s="619">
        <v>3000</v>
      </c>
      <c r="H47" s="619">
        <v>3000</v>
      </c>
      <c r="I47" s="619">
        <v>3000</v>
      </c>
      <c r="J47" s="619">
        <v>3000</v>
      </c>
      <c r="K47" s="620">
        <v>645</v>
      </c>
      <c r="L47" s="724">
        <f t="shared" si="1"/>
        <v>0.215</v>
      </c>
    </row>
    <row r="48" spans="1:12" x14ac:dyDescent="0.25">
      <c r="A48" s="746">
        <v>312</v>
      </c>
      <c r="B48" s="747" t="s">
        <v>200</v>
      </c>
      <c r="C48" s="619">
        <v>61000</v>
      </c>
      <c r="D48" s="619">
        <v>61000</v>
      </c>
      <c r="E48" s="619">
        <v>61000</v>
      </c>
      <c r="F48" s="619">
        <v>61000</v>
      </c>
      <c r="G48" s="619">
        <v>61000</v>
      </c>
      <c r="H48" s="619">
        <v>61000</v>
      </c>
      <c r="I48" s="619">
        <v>61000</v>
      </c>
      <c r="J48" s="619">
        <v>61000</v>
      </c>
      <c r="K48" s="620">
        <f>5284+8453</f>
        <v>13737</v>
      </c>
      <c r="L48" s="724">
        <f t="shared" si="1"/>
        <v>0.22519672131147542</v>
      </c>
    </row>
    <row r="49" spans="1:15" x14ac:dyDescent="0.25">
      <c r="A49" s="746">
        <v>312</v>
      </c>
      <c r="B49" s="747" t="s">
        <v>42</v>
      </c>
      <c r="C49" s="619">
        <v>12800</v>
      </c>
      <c r="D49" s="619">
        <v>12800</v>
      </c>
      <c r="E49" s="619">
        <v>12800</v>
      </c>
      <c r="F49" s="619">
        <v>12800</v>
      </c>
      <c r="G49" s="619">
        <v>12800</v>
      </c>
      <c r="H49" s="619">
        <v>12800</v>
      </c>
      <c r="I49" s="619">
        <v>12800</v>
      </c>
      <c r="J49" s="619">
        <v>12800</v>
      </c>
      <c r="K49" s="620">
        <v>12616</v>
      </c>
      <c r="L49" s="724">
        <f t="shared" si="1"/>
        <v>0.98562499999999997</v>
      </c>
    </row>
    <row r="50" spans="1:15" x14ac:dyDescent="0.25">
      <c r="A50" s="746">
        <v>312</v>
      </c>
      <c r="B50" s="747" t="s">
        <v>43</v>
      </c>
      <c r="C50" s="619">
        <v>21800</v>
      </c>
      <c r="D50" s="619">
        <v>21800</v>
      </c>
      <c r="E50" s="619">
        <v>21800</v>
      </c>
      <c r="F50" s="619">
        <v>21800</v>
      </c>
      <c r="G50" s="619">
        <v>21800</v>
      </c>
      <c r="H50" s="649">
        <f>21800+700</f>
        <v>22500</v>
      </c>
      <c r="I50" s="619">
        <f>21800+700</f>
        <v>22500</v>
      </c>
      <c r="J50" s="619">
        <f>21800+700</f>
        <v>22500</v>
      </c>
      <c r="K50" s="620">
        <v>22490</v>
      </c>
      <c r="L50" s="724">
        <f t="shared" si="1"/>
        <v>0.99955555555555553</v>
      </c>
    </row>
    <row r="51" spans="1:15" x14ac:dyDescent="0.25">
      <c r="A51" s="746">
        <v>312</v>
      </c>
      <c r="B51" s="747" t="s">
        <v>44</v>
      </c>
      <c r="C51" s="619">
        <v>7700</v>
      </c>
      <c r="D51" s="619">
        <v>7700</v>
      </c>
      <c r="E51" s="619">
        <v>7700</v>
      </c>
      <c r="F51" s="619">
        <v>7700</v>
      </c>
      <c r="G51" s="650">
        <f>7700-120</f>
        <v>7580</v>
      </c>
      <c r="H51" s="651">
        <f>7700-120</f>
        <v>7580</v>
      </c>
      <c r="I51" s="651">
        <f>7700-120</f>
        <v>7580</v>
      </c>
      <c r="J51" s="651">
        <f>7700-120</f>
        <v>7580</v>
      </c>
      <c r="K51" s="620">
        <v>7511</v>
      </c>
      <c r="L51" s="724">
        <f t="shared" si="1"/>
        <v>0.99089709762532985</v>
      </c>
    </row>
    <row r="52" spans="1:15" x14ac:dyDescent="0.25">
      <c r="A52" s="746">
        <v>312</v>
      </c>
      <c r="B52" s="747" t="s">
        <v>329</v>
      </c>
      <c r="C52" s="619">
        <v>0</v>
      </c>
      <c r="D52" s="619">
        <v>0</v>
      </c>
      <c r="E52" s="619">
        <v>0</v>
      </c>
      <c r="F52" s="649">
        <v>2100</v>
      </c>
      <c r="G52" s="619">
        <v>2100</v>
      </c>
      <c r="H52" s="619">
        <v>2100</v>
      </c>
      <c r="I52" s="619">
        <v>2100</v>
      </c>
      <c r="J52" s="619">
        <v>2100</v>
      </c>
      <c r="K52" s="620">
        <v>2100</v>
      </c>
      <c r="L52" s="724">
        <f t="shared" si="1"/>
        <v>1</v>
      </c>
    </row>
    <row r="53" spans="1:15" x14ac:dyDescent="0.25">
      <c r="A53" s="746">
        <v>312</v>
      </c>
      <c r="B53" s="747" t="s">
        <v>350</v>
      </c>
      <c r="C53" s="619">
        <v>0</v>
      </c>
      <c r="D53" s="619">
        <v>0</v>
      </c>
      <c r="E53" s="619">
        <v>0</v>
      </c>
      <c r="F53" s="619">
        <v>0</v>
      </c>
      <c r="G53" s="649">
        <v>10000</v>
      </c>
      <c r="H53" s="619">
        <v>10000</v>
      </c>
      <c r="I53" s="619">
        <v>10000</v>
      </c>
      <c r="J53" s="619">
        <v>10000</v>
      </c>
      <c r="K53" s="620">
        <v>10000</v>
      </c>
      <c r="L53" s="724">
        <f t="shared" si="1"/>
        <v>1</v>
      </c>
    </row>
    <row r="54" spans="1:15" x14ac:dyDescent="0.25">
      <c r="A54" s="746">
        <v>312</v>
      </c>
      <c r="B54" s="747" t="s">
        <v>47</v>
      </c>
      <c r="C54" s="619">
        <v>700</v>
      </c>
      <c r="D54" s="619">
        <v>700</v>
      </c>
      <c r="E54" s="619">
        <v>700</v>
      </c>
      <c r="F54" s="649">
        <v>1400</v>
      </c>
      <c r="G54" s="619">
        <v>1400</v>
      </c>
      <c r="H54" s="619">
        <v>1400</v>
      </c>
      <c r="I54" s="619">
        <v>1400</v>
      </c>
      <c r="J54" s="619">
        <v>1400</v>
      </c>
      <c r="K54" s="620">
        <v>1400</v>
      </c>
      <c r="L54" s="724">
        <f t="shared" si="1"/>
        <v>1</v>
      </c>
    </row>
    <row r="55" spans="1:15" ht="15" customHeight="1" x14ac:dyDescent="0.25">
      <c r="A55" s="746">
        <v>312</v>
      </c>
      <c r="B55" s="745" t="s">
        <v>292</v>
      </c>
      <c r="C55" s="651">
        <v>0</v>
      </c>
      <c r="D55" s="651">
        <v>0</v>
      </c>
      <c r="E55" s="650">
        <v>5000</v>
      </c>
      <c r="F55" s="651">
        <v>5000</v>
      </c>
      <c r="G55" s="650">
        <f>5000+3000</f>
        <v>8000</v>
      </c>
      <c r="H55" s="651">
        <f>5000+3000</f>
        <v>8000</v>
      </c>
      <c r="I55" s="651">
        <f>5000+3000</f>
        <v>8000</v>
      </c>
      <c r="J55" s="651">
        <f>5000+3000</f>
        <v>8000</v>
      </c>
      <c r="K55" s="748">
        <v>8000</v>
      </c>
      <c r="L55" s="724">
        <f t="shared" si="1"/>
        <v>1</v>
      </c>
    </row>
    <row r="56" spans="1:15" x14ac:dyDescent="0.25">
      <c r="A56" s="746">
        <v>312</v>
      </c>
      <c r="B56" s="747" t="s">
        <v>46</v>
      </c>
      <c r="C56" s="619">
        <v>15500</v>
      </c>
      <c r="D56" s="619">
        <v>15500</v>
      </c>
      <c r="E56" s="619">
        <v>15500</v>
      </c>
      <c r="F56" s="619">
        <v>15500</v>
      </c>
      <c r="G56" s="619">
        <v>15500</v>
      </c>
      <c r="H56" s="619">
        <v>15500</v>
      </c>
      <c r="I56" s="619">
        <v>15500</v>
      </c>
      <c r="J56" s="619">
        <v>15500</v>
      </c>
      <c r="K56" s="620">
        <v>15485</v>
      </c>
      <c r="L56" s="724">
        <f t="shared" si="1"/>
        <v>0.99903225806451612</v>
      </c>
    </row>
    <row r="57" spans="1:15" ht="16.5" customHeight="1" x14ac:dyDescent="0.25">
      <c r="A57" s="744">
        <v>312</v>
      </c>
      <c r="B57" s="622" t="s">
        <v>49</v>
      </c>
      <c r="C57" s="623">
        <f t="shared" ref="C57" si="8">3900+220</f>
        <v>4120</v>
      </c>
      <c r="D57" s="631">
        <f>3900+220-220</f>
        <v>3900</v>
      </c>
      <c r="E57" s="623">
        <f>3900+220-220</f>
        <v>3900</v>
      </c>
      <c r="F57" s="623">
        <f>3900+220-220</f>
        <v>3900</v>
      </c>
      <c r="G57" s="631">
        <f>3900+220-220+100</f>
        <v>4000</v>
      </c>
      <c r="H57" s="623">
        <f>3900+220-220+100</f>
        <v>4000</v>
      </c>
      <c r="I57" s="623">
        <f>3900+220-220+100</f>
        <v>4000</v>
      </c>
      <c r="J57" s="623">
        <f>3900+220-220+100</f>
        <v>4000</v>
      </c>
      <c r="K57" s="624">
        <v>3966</v>
      </c>
      <c r="L57" s="724">
        <f t="shared" si="1"/>
        <v>0.99150000000000005</v>
      </c>
    </row>
    <row r="58" spans="1:15" x14ac:dyDescent="0.25">
      <c r="A58" s="744">
        <v>312</v>
      </c>
      <c r="B58" s="652" t="s">
        <v>50</v>
      </c>
      <c r="C58" s="632">
        <v>3000</v>
      </c>
      <c r="D58" s="632">
        <v>3000</v>
      </c>
      <c r="E58" s="632">
        <v>3000</v>
      </c>
      <c r="F58" s="632">
        <v>3000</v>
      </c>
      <c r="G58" s="633">
        <f>3000+20</f>
        <v>3020</v>
      </c>
      <c r="H58" s="632">
        <f>3000+20</f>
        <v>3020</v>
      </c>
      <c r="I58" s="632">
        <f>3000+20</f>
        <v>3020</v>
      </c>
      <c r="J58" s="632">
        <f>3000+20</f>
        <v>3020</v>
      </c>
      <c r="K58" s="634">
        <v>3018</v>
      </c>
      <c r="L58" s="724">
        <f t="shared" si="1"/>
        <v>0.99933774834437084</v>
      </c>
    </row>
    <row r="59" spans="1:15" x14ac:dyDescent="0.25">
      <c r="A59" s="744">
        <v>312</v>
      </c>
      <c r="B59" s="745" t="s">
        <v>51</v>
      </c>
      <c r="C59" s="632">
        <v>2200</v>
      </c>
      <c r="D59" s="633">
        <f t="shared" ref="D59:I59" si="9">2200+404</f>
        <v>2604</v>
      </c>
      <c r="E59" s="632">
        <f t="shared" si="9"/>
        <v>2604</v>
      </c>
      <c r="F59" s="632">
        <f t="shared" si="9"/>
        <v>2604</v>
      </c>
      <c r="G59" s="632">
        <f t="shared" si="9"/>
        <v>2604</v>
      </c>
      <c r="H59" s="632">
        <f t="shared" si="9"/>
        <v>2604</v>
      </c>
      <c r="I59" s="632">
        <f t="shared" si="9"/>
        <v>2604</v>
      </c>
      <c r="J59" s="633">
        <f>2200+404+170</f>
        <v>2774</v>
      </c>
      <c r="K59" s="634">
        <v>2774</v>
      </c>
      <c r="L59" s="724">
        <f t="shared" si="1"/>
        <v>1</v>
      </c>
    </row>
    <row r="60" spans="1:15" ht="17.25" customHeight="1" x14ac:dyDescent="0.25">
      <c r="A60" s="746">
        <v>312</v>
      </c>
      <c r="B60" s="747" t="s">
        <v>320</v>
      </c>
      <c r="C60" s="619">
        <v>0</v>
      </c>
      <c r="D60" s="619">
        <v>0</v>
      </c>
      <c r="E60" s="619">
        <v>0</v>
      </c>
      <c r="F60" s="649">
        <v>14000</v>
      </c>
      <c r="G60" s="619">
        <v>14000</v>
      </c>
      <c r="H60" s="619">
        <v>14000</v>
      </c>
      <c r="I60" s="619">
        <v>14000</v>
      </c>
      <c r="J60" s="619">
        <v>14000</v>
      </c>
      <c r="K60" s="620">
        <v>12162</v>
      </c>
      <c r="L60" s="724">
        <f t="shared" si="1"/>
        <v>0.86871428571428566</v>
      </c>
    </row>
    <row r="61" spans="1:15" ht="20.25" customHeight="1" thickBot="1" x14ac:dyDescent="0.3">
      <c r="A61" s="653">
        <v>312</v>
      </c>
      <c r="B61" s="654" t="s">
        <v>52</v>
      </c>
      <c r="C61" s="655">
        <v>406440</v>
      </c>
      <c r="D61" s="656">
        <f>406440+22037</f>
        <v>428477</v>
      </c>
      <c r="E61" s="655">
        <f>406440+22037</f>
        <v>428477</v>
      </c>
      <c r="F61" s="655">
        <f>406440+22037</f>
        <v>428477</v>
      </c>
      <c r="G61" s="656">
        <f>406440+22037+60</f>
        <v>428537</v>
      </c>
      <c r="H61" s="656">
        <f>406440+22037+60+6024+376</f>
        <v>434937</v>
      </c>
      <c r="I61" s="656">
        <f>406440+22037+60+6024+376+4806-4983</f>
        <v>434760</v>
      </c>
      <c r="J61" s="656">
        <f>406440+22037+60+6024+376+4806-4983+3384</f>
        <v>438144</v>
      </c>
      <c r="K61" s="657">
        <v>438144</v>
      </c>
      <c r="L61" s="724">
        <f t="shared" si="1"/>
        <v>1</v>
      </c>
    </row>
    <row r="62" spans="1:15" ht="17.25" customHeight="1" thickBot="1" x14ac:dyDescent="0.3">
      <c r="A62" s="658" t="s">
        <v>53</v>
      </c>
      <c r="B62" s="659"/>
      <c r="C62" s="660">
        <f t="shared" ref="C62:K62" si="10">SUM(C4+C12+C33+C35+C43)</f>
        <v>1758540</v>
      </c>
      <c r="D62" s="660">
        <f t="shared" si="10"/>
        <v>1782773</v>
      </c>
      <c r="E62" s="660">
        <f t="shared" si="10"/>
        <v>1787773</v>
      </c>
      <c r="F62" s="660">
        <f t="shared" si="10"/>
        <v>1816773</v>
      </c>
      <c r="G62" s="660">
        <f t="shared" si="10"/>
        <v>1845933</v>
      </c>
      <c r="H62" s="660">
        <f t="shared" si="10"/>
        <v>1854378</v>
      </c>
      <c r="I62" s="660">
        <f t="shared" si="10"/>
        <v>1856051</v>
      </c>
      <c r="J62" s="660">
        <f t="shared" si="10"/>
        <v>1868976</v>
      </c>
      <c r="K62" s="661">
        <f t="shared" si="10"/>
        <v>1790113</v>
      </c>
      <c r="L62" s="724">
        <f t="shared" si="1"/>
        <v>0.95780416655965617</v>
      </c>
      <c r="M62" s="171">
        <f>J62-I62</f>
        <v>12925</v>
      </c>
      <c r="N62" s="171"/>
    </row>
    <row r="63" spans="1:15" ht="15.75" x14ac:dyDescent="0.25">
      <c r="A63" s="749" t="s">
        <v>54</v>
      </c>
      <c r="B63" s="750" t="s">
        <v>397</v>
      </c>
      <c r="C63" s="751">
        <v>3000</v>
      </c>
      <c r="D63" s="751">
        <f>3000+350</f>
        <v>3350</v>
      </c>
      <c r="E63" s="751">
        <f>3000+350</f>
        <v>3350</v>
      </c>
      <c r="F63" s="751">
        <f>3000+350</f>
        <v>3350</v>
      </c>
      <c r="G63" s="752">
        <f>3000+350+2770</f>
        <v>6120</v>
      </c>
      <c r="H63" s="751">
        <f>3000+350+2770</f>
        <v>6120</v>
      </c>
      <c r="I63" s="751">
        <f>3000+350+2770</f>
        <v>6120</v>
      </c>
      <c r="J63" s="752">
        <f>3000+350+2770+627</f>
        <v>6747</v>
      </c>
      <c r="K63" s="753">
        <v>6746</v>
      </c>
      <c r="L63" s="724">
        <f t="shared" si="1"/>
        <v>0.99985178597895363</v>
      </c>
      <c r="M63" s="171"/>
      <c r="N63" s="171"/>
      <c r="O63" s="60"/>
    </row>
    <row r="64" spans="1:15" ht="16.5" thickBot="1" x14ac:dyDescent="0.3">
      <c r="A64" s="754" t="s">
        <v>54</v>
      </c>
      <c r="B64" s="755" t="s">
        <v>387</v>
      </c>
      <c r="C64" s="756">
        <v>0</v>
      </c>
      <c r="D64" s="756">
        <v>0</v>
      </c>
      <c r="E64" s="756">
        <v>0</v>
      </c>
      <c r="F64" s="756">
        <v>0</v>
      </c>
      <c r="G64" s="756">
        <v>0</v>
      </c>
      <c r="H64" s="757">
        <v>4905</v>
      </c>
      <c r="I64" s="756">
        <v>4905</v>
      </c>
      <c r="J64" s="757">
        <f>4905+25+1</f>
        <v>4931</v>
      </c>
      <c r="K64" s="758">
        <v>4930</v>
      </c>
      <c r="L64" s="724">
        <f t="shared" si="1"/>
        <v>0.99979720137903061</v>
      </c>
      <c r="O64" s="60"/>
    </row>
    <row r="65" spans="1:15" ht="21" customHeight="1" thickBot="1" x14ac:dyDescent="0.3">
      <c r="A65" s="759" t="s">
        <v>54</v>
      </c>
      <c r="B65" s="760" t="s">
        <v>396</v>
      </c>
      <c r="C65" s="761">
        <f>SUM(C63:C64)</f>
        <v>3000</v>
      </c>
      <c r="D65" s="761">
        <f t="shared" ref="D65:K65" si="11">SUM(D63:D64)</f>
        <v>3350</v>
      </c>
      <c r="E65" s="761">
        <f t="shared" si="11"/>
        <v>3350</v>
      </c>
      <c r="F65" s="761">
        <f t="shared" si="11"/>
        <v>3350</v>
      </c>
      <c r="G65" s="761">
        <f t="shared" si="11"/>
        <v>6120</v>
      </c>
      <c r="H65" s="761">
        <f t="shared" si="11"/>
        <v>11025</v>
      </c>
      <c r="I65" s="761">
        <f t="shared" si="11"/>
        <v>11025</v>
      </c>
      <c r="J65" s="761">
        <f t="shared" si="11"/>
        <v>11678</v>
      </c>
      <c r="K65" s="761">
        <f t="shared" si="11"/>
        <v>11676</v>
      </c>
      <c r="L65" s="724">
        <f t="shared" si="1"/>
        <v>0.99982873779756809</v>
      </c>
      <c r="O65" s="59"/>
    </row>
    <row r="66" spans="1:15" ht="30.75" customHeight="1" thickBot="1" x14ac:dyDescent="0.3">
      <c r="A66" s="658" t="s">
        <v>56</v>
      </c>
      <c r="B66" s="647"/>
      <c r="C66" s="660">
        <f>C62+C65</f>
        <v>1761540</v>
      </c>
      <c r="D66" s="660">
        <f t="shared" ref="D66:K66" si="12">D62+D65</f>
        <v>1786123</v>
      </c>
      <c r="E66" s="660">
        <f t="shared" si="12"/>
        <v>1791123</v>
      </c>
      <c r="F66" s="660">
        <f t="shared" si="12"/>
        <v>1820123</v>
      </c>
      <c r="G66" s="660">
        <f t="shared" si="12"/>
        <v>1852053</v>
      </c>
      <c r="H66" s="660">
        <f t="shared" si="12"/>
        <v>1865403</v>
      </c>
      <c r="I66" s="660">
        <f t="shared" si="12"/>
        <v>1867076</v>
      </c>
      <c r="J66" s="660">
        <f t="shared" si="12"/>
        <v>1880654</v>
      </c>
      <c r="K66" s="660">
        <f t="shared" si="12"/>
        <v>1801789</v>
      </c>
      <c r="L66" s="724">
        <f t="shared" si="1"/>
        <v>0.95806511989977949</v>
      </c>
      <c r="M66" s="171">
        <f>J66-I66</f>
        <v>13578</v>
      </c>
    </row>
    <row r="67" spans="1:15" ht="15.75" x14ac:dyDescent="0.25">
      <c r="A67" s="663"/>
      <c r="B67" s="664"/>
      <c r="C67" s="665"/>
      <c r="D67" s="665"/>
      <c r="E67" s="665"/>
      <c r="F67" s="665"/>
      <c r="G67" s="665"/>
      <c r="H67" s="665"/>
      <c r="I67" s="665"/>
      <c r="J67" s="665"/>
      <c r="K67" s="665"/>
      <c r="L67" s="665"/>
      <c r="M67" s="60"/>
      <c r="N67" s="60"/>
    </row>
    <row r="68" spans="1:15" ht="15" customHeight="1" thickBot="1" x14ac:dyDescent="0.3">
      <c r="A68" s="970" t="s">
        <v>57</v>
      </c>
      <c r="B68" s="971"/>
      <c r="C68" s="971"/>
      <c r="D68" s="971"/>
      <c r="E68" s="971"/>
      <c r="F68" s="971"/>
      <c r="G68" s="971"/>
      <c r="H68" s="971"/>
      <c r="I68" s="971"/>
      <c r="J68" s="971"/>
      <c r="K68" s="971"/>
      <c r="L68" s="971"/>
    </row>
    <row r="69" spans="1:15" x14ac:dyDescent="0.25">
      <c r="A69" s="958" t="s">
        <v>1</v>
      </c>
      <c r="B69" s="959"/>
      <c r="C69" s="962">
        <v>2017</v>
      </c>
      <c r="D69" s="962" t="s">
        <v>235</v>
      </c>
      <c r="E69" s="962" t="s">
        <v>279</v>
      </c>
      <c r="F69" s="962" t="s">
        <v>310</v>
      </c>
      <c r="G69" s="972" t="s">
        <v>348</v>
      </c>
      <c r="H69" s="962" t="s">
        <v>386</v>
      </c>
      <c r="I69" s="962" t="s">
        <v>471</v>
      </c>
      <c r="J69" s="962" t="s">
        <v>480</v>
      </c>
      <c r="K69" s="966" t="s">
        <v>498</v>
      </c>
      <c r="L69" s="611" t="s">
        <v>280</v>
      </c>
    </row>
    <row r="70" spans="1:15" ht="15.75" thickBot="1" x14ac:dyDescent="0.3">
      <c r="A70" s="960"/>
      <c r="B70" s="961"/>
      <c r="C70" s="963"/>
      <c r="D70" s="963"/>
      <c r="E70" s="963"/>
      <c r="F70" s="963"/>
      <c r="G70" s="973"/>
      <c r="H70" s="963"/>
      <c r="I70" s="963"/>
      <c r="J70" s="963"/>
      <c r="K70" s="967"/>
      <c r="L70" s="612" t="s">
        <v>281</v>
      </c>
    </row>
    <row r="71" spans="1:15" ht="15.75" thickBot="1" x14ac:dyDescent="0.3">
      <c r="A71" s="762" t="s">
        <v>58</v>
      </c>
      <c r="B71" s="763"/>
      <c r="C71" s="764">
        <f t="shared" ref="C71:K71" si="13">SUM(C72:C76)</f>
        <v>188500</v>
      </c>
      <c r="D71" s="764">
        <f t="shared" si="13"/>
        <v>188480</v>
      </c>
      <c r="E71" s="764">
        <f t="shared" si="13"/>
        <v>188480</v>
      </c>
      <c r="F71" s="764">
        <f t="shared" si="13"/>
        <v>191730</v>
      </c>
      <c r="G71" s="765">
        <f t="shared" si="13"/>
        <v>191830</v>
      </c>
      <c r="H71" s="765">
        <f t="shared" si="13"/>
        <v>192980</v>
      </c>
      <c r="I71" s="765">
        <f t="shared" si="13"/>
        <v>193130</v>
      </c>
      <c r="J71" s="765">
        <f t="shared" si="13"/>
        <v>194130</v>
      </c>
      <c r="K71" s="766">
        <f t="shared" si="13"/>
        <v>156377</v>
      </c>
      <c r="L71" s="767">
        <f>K71/J71</f>
        <v>0.80552722402513777</v>
      </c>
    </row>
    <row r="72" spans="1:15" x14ac:dyDescent="0.25">
      <c r="A72" s="667" t="s">
        <v>59</v>
      </c>
      <c r="B72" s="768" t="s">
        <v>60</v>
      </c>
      <c r="C72" s="769">
        <f>80000+16500</f>
        <v>96500</v>
      </c>
      <c r="D72" s="770">
        <f>80000+16500+200</f>
        <v>96700</v>
      </c>
      <c r="E72" s="769">
        <f>80000+16500+200</f>
        <v>96700</v>
      </c>
      <c r="F72" s="770">
        <f>80000+16500+200+250</f>
        <v>96950</v>
      </c>
      <c r="G72" s="771">
        <f>80000+16500+200+250</f>
        <v>96950</v>
      </c>
      <c r="H72" s="772">
        <f>80000+16500+200+250+4100</f>
        <v>101050</v>
      </c>
      <c r="I72" s="771">
        <f>80000+16500+200+250+4100</f>
        <v>101050</v>
      </c>
      <c r="J72" s="771">
        <f>80000+16500+200+250+4100</f>
        <v>101050</v>
      </c>
      <c r="K72" s="773">
        <v>80991</v>
      </c>
      <c r="L72" s="767">
        <f t="shared" ref="L72:L126" si="14">K72/J72</f>
        <v>0.80149430974764968</v>
      </c>
    </row>
    <row r="73" spans="1:15" x14ac:dyDescent="0.25">
      <c r="A73" s="668" t="s">
        <v>61</v>
      </c>
      <c r="B73" s="747" t="s">
        <v>209</v>
      </c>
      <c r="C73" s="644">
        <f>7100+10600+32300</f>
        <v>50000</v>
      </c>
      <c r="D73" s="644">
        <f t="shared" ref="D73:E73" si="15">7100+10600+32300</f>
        <v>50000</v>
      </c>
      <c r="E73" s="644">
        <f t="shared" si="15"/>
        <v>50000</v>
      </c>
      <c r="F73" s="645">
        <f>7100+10600+32300+3000</f>
        <v>53000</v>
      </c>
      <c r="G73" s="774">
        <f>7100+10600+32300+3000</f>
        <v>53000</v>
      </c>
      <c r="H73" s="775">
        <f>7100+10600+32300+3000-1500</f>
        <v>51500</v>
      </c>
      <c r="I73" s="774">
        <f>7100+10600+32300+3000-1500</f>
        <v>51500</v>
      </c>
      <c r="J73" s="775">
        <f>7100+10600+32300+3000-1500+1000</f>
        <v>52500</v>
      </c>
      <c r="K73" s="646">
        <v>43743</v>
      </c>
      <c r="L73" s="767">
        <f t="shared" si="14"/>
        <v>0.83320000000000005</v>
      </c>
    </row>
    <row r="74" spans="1:15" x14ac:dyDescent="0.25">
      <c r="A74" s="668" t="s">
        <v>62</v>
      </c>
      <c r="B74" s="747" t="s">
        <v>208</v>
      </c>
      <c r="C74" s="644">
        <v>2000</v>
      </c>
      <c r="D74" s="644">
        <v>2000</v>
      </c>
      <c r="E74" s="644">
        <v>2000</v>
      </c>
      <c r="F74" s="644">
        <v>2000</v>
      </c>
      <c r="G74" s="774">
        <v>2000</v>
      </c>
      <c r="H74" s="774">
        <v>2000</v>
      </c>
      <c r="I74" s="774">
        <v>2000</v>
      </c>
      <c r="J74" s="774">
        <v>2000</v>
      </c>
      <c r="K74" s="646">
        <v>1742</v>
      </c>
      <c r="L74" s="767">
        <f t="shared" si="14"/>
        <v>0.871</v>
      </c>
    </row>
    <row r="75" spans="1:15" x14ac:dyDescent="0.25">
      <c r="A75" s="669" t="s">
        <v>63</v>
      </c>
      <c r="B75" s="747" t="s">
        <v>64</v>
      </c>
      <c r="C75" s="699">
        <f>3000+900+220+32380</f>
        <v>36500</v>
      </c>
      <c r="D75" s="700">
        <f>3000+900+220+32380-220</f>
        <v>36280</v>
      </c>
      <c r="E75" s="699">
        <f>3000+900+220+32380-220</f>
        <v>36280</v>
      </c>
      <c r="F75" s="699">
        <f>3000+900+220+32380-220</f>
        <v>36280</v>
      </c>
      <c r="G75" s="776">
        <f>3000+900+220+32380-220+100</f>
        <v>36380</v>
      </c>
      <c r="H75" s="701">
        <f>3000+900+220+32380-220+100</f>
        <v>36380</v>
      </c>
      <c r="I75" s="701">
        <f>3000+900+220+32380-220+100</f>
        <v>36380</v>
      </c>
      <c r="J75" s="701">
        <f>3000+900+220+32380-220+100</f>
        <v>36380</v>
      </c>
      <c r="K75" s="741">
        <v>27812</v>
      </c>
      <c r="L75" s="767">
        <f t="shared" si="14"/>
        <v>0.76448598130841117</v>
      </c>
    </row>
    <row r="76" spans="1:15" ht="15.75" thickBot="1" x14ac:dyDescent="0.3">
      <c r="A76" s="670" t="s">
        <v>65</v>
      </c>
      <c r="B76" s="728" t="s">
        <v>66</v>
      </c>
      <c r="C76" s="777">
        <v>3500</v>
      </c>
      <c r="D76" s="777">
        <v>3500</v>
      </c>
      <c r="E76" s="777">
        <v>3500</v>
      </c>
      <c r="F76" s="777">
        <v>3500</v>
      </c>
      <c r="G76" s="778">
        <v>3500</v>
      </c>
      <c r="H76" s="779">
        <f>3500-1450</f>
        <v>2050</v>
      </c>
      <c r="I76" s="779">
        <f>3500-1450+150</f>
        <v>2200</v>
      </c>
      <c r="J76" s="778">
        <f>3500-1450+150</f>
        <v>2200</v>
      </c>
      <c r="K76" s="780">
        <v>2089</v>
      </c>
      <c r="L76" s="767">
        <f t="shared" si="14"/>
        <v>0.94954545454545458</v>
      </c>
    </row>
    <row r="77" spans="1:15" ht="15.75" thickBot="1" x14ac:dyDescent="0.3">
      <c r="A77" s="781" t="s">
        <v>67</v>
      </c>
      <c r="B77" s="782"/>
      <c r="C77" s="764">
        <f t="shared" ref="C77:K77" si="16">SUM(C78)</f>
        <v>1500</v>
      </c>
      <c r="D77" s="764">
        <f t="shared" si="16"/>
        <v>1480</v>
      </c>
      <c r="E77" s="764">
        <f t="shared" si="16"/>
        <v>1480</v>
      </c>
      <c r="F77" s="764">
        <f t="shared" si="16"/>
        <v>1480</v>
      </c>
      <c r="G77" s="765">
        <f t="shared" si="16"/>
        <v>1480</v>
      </c>
      <c r="H77" s="765">
        <f t="shared" si="16"/>
        <v>1480</v>
      </c>
      <c r="I77" s="765">
        <f t="shared" si="16"/>
        <v>1480</v>
      </c>
      <c r="J77" s="765">
        <f t="shared" si="16"/>
        <v>1480</v>
      </c>
      <c r="K77" s="766">
        <f t="shared" si="16"/>
        <v>1395</v>
      </c>
      <c r="L77" s="767">
        <f t="shared" si="14"/>
        <v>0.94256756756756754</v>
      </c>
    </row>
    <row r="78" spans="1:15" ht="15.75" thickBot="1" x14ac:dyDescent="0.3">
      <c r="A78" s="671" t="s">
        <v>68</v>
      </c>
      <c r="B78" s="783" t="s">
        <v>69</v>
      </c>
      <c r="C78" s="784">
        <v>1500</v>
      </c>
      <c r="D78" s="785">
        <f t="shared" ref="D78:J78" si="17">1500-20</f>
        <v>1480</v>
      </c>
      <c r="E78" s="784">
        <f t="shared" si="17"/>
        <v>1480</v>
      </c>
      <c r="F78" s="784">
        <f t="shared" si="17"/>
        <v>1480</v>
      </c>
      <c r="G78" s="786">
        <f t="shared" si="17"/>
        <v>1480</v>
      </c>
      <c r="H78" s="786">
        <f t="shared" si="17"/>
        <v>1480</v>
      </c>
      <c r="I78" s="786">
        <f t="shared" si="17"/>
        <v>1480</v>
      </c>
      <c r="J78" s="786">
        <f t="shared" si="17"/>
        <v>1480</v>
      </c>
      <c r="K78" s="787">
        <v>1395</v>
      </c>
      <c r="L78" s="767">
        <f t="shared" si="14"/>
        <v>0.94256756756756754</v>
      </c>
    </row>
    <row r="79" spans="1:15" ht="15.75" thickBot="1" x14ac:dyDescent="0.3">
      <c r="A79" s="781" t="s">
        <v>70</v>
      </c>
      <c r="B79" s="782"/>
      <c r="C79" s="764">
        <f t="shared" ref="C79:K79" si="18">SUM(C80:C81)</f>
        <v>10900</v>
      </c>
      <c r="D79" s="764">
        <f t="shared" si="18"/>
        <v>10900</v>
      </c>
      <c r="E79" s="764">
        <f t="shared" si="18"/>
        <v>10900</v>
      </c>
      <c r="F79" s="764">
        <f t="shared" si="18"/>
        <v>11600</v>
      </c>
      <c r="G79" s="765">
        <f t="shared" ref="G79:J79" si="19">SUM(G80:G81)</f>
        <v>11600</v>
      </c>
      <c r="H79" s="765">
        <f t="shared" si="19"/>
        <v>11600</v>
      </c>
      <c r="I79" s="765">
        <f t="shared" si="19"/>
        <v>12100</v>
      </c>
      <c r="J79" s="765">
        <f t="shared" si="19"/>
        <v>12100</v>
      </c>
      <c r="K79" s="766">
        <f t="shared" si="18"/>
        <v>9689</v>
      </c>
      <c r="L79" s="767">
        <f t="shared" si="14"/>
        <v>0.80074380165289261</v>
      </c>
    </row>
    <row r="80" spans="1:15" x14ac:dyDescent="0.25">
      <c r="A80" s="788" t="s">
        <v>71</v>
      </c>
      <c r="B80" s="789" t="s">
        <v>72</v>
      </c>
      <c r="C80" s="790">
        <v>10600</v>
      </c>
      <c r="D80" s="790">
        <v>10600</v>
      </c>
      <c r="E80" s="790">
        <v>10600</v>
      </c>
      <c r="F80" s="791">
        <f>10600+700</f>
        <v>11300</v>
      </c>
      <c r="G80" s="792">
        <f>10600+700</f>
        <v>11300</v>
      </c>
      <c r="H80" s="792">
        <f>10600+700</f>
        <v>11300</v>
      </c>
      <c r="I80" s="793">
        <f>10600+700-200</f>
        <v>11100</v>
      </c>
      <c r="J80" s="792">
        <f>10600+700-200</f>
        <v>11100</v>
      </c>
      <c r="K80" s="794">
        <v>8907</v>
      </c>
      <c r="L80" s="767">
        <f t="shared" si="14"/>
        <v>0.80243243243243245</v>
      </c>
    </row>
    <row r="81" spans="1:12" ht="15.75" thickBot="1" x14ac:dyDescent="0.3">
      <c r="A81" s="795" t="s">
        <v>73</v>
      </c>
      <c r="B81" s="796" t="s">
        <v>74</v>
      </c>
      <c r="C81" s="797">
        <v>300</v>
      </c>
      <c r="D81" s="797">
        <v>300</v>
      </c>
      <c r="E81" s="797">
        <v>300</v>
      </c>
      <c r="F81" s="797">
        <v>300</v>
      </c>
      <c r="G81" s="798">
        <v>300</v>
      </c>
      <c r="H81" s="798">
        <v>300</v>
      </c>
      <c r="I81" s="799">
        <f>300+700</f>
        <v>1000</v>
      </c>
      <c r="J81" s="798">
        <f>300+700</f>
        <v>1000</v>
      </c>
      <c r="K81" s="800">
        <v>782</v>
      </c>
      <c r="L81" s="767">
        <f t="shared" si="14"/>
        <v>0.78200000000000003</v>
      </c>
    </row>
    <row r="82" spans="1:12" ht="15.75" thickBot="1" x14ac:dyDescent="0.3">
      <c r="A82" s="762" t="s">
        <v>75</v>
      </c>
      <c r="B82" s="672"/>
      <c r="C82" s="764">
        <f t="shared" ref="C82:K82" si="20">SUM(C83:C86)</f>
        <v>57000</v>
      </c>
      <c r="D82" s="764">
        <f t="shared" si="20"/>
        <v>57000</v>
      </c>
      <c r="E82" s="764">
        <f t="shared" si="20"/>
        <v>57000</v>
      </c>
      <c r="F82" s="764">
        <f t="shared" si="20"/>
        <v>57000</v>
      </c>
      <c r="G82" s="765">
        <f t="shared" si="20"/>
        <v>66900</v>
      </c>
      <c r="H82" s="765">
        <f t="shared" si="20"/>
        <v>64200</v>
      </c>
      <c r="I82" s="765">
        <f t="shared" si="20"/>
        <v>64200</v>
      </c>
      <c r="J82" s="765">
        <f t="shared" si="20"/>
        <v>64200</v>
      </c>
      <c r="K82" s="766">
        <f t="shared" si="20"/>
        <v>56288</v>
      </c>
      <c r="L82" s="767">
        <f t="shared" si="14"/>
        <v>0.87676012461059194</v>
      </c>
    </row>
    <row r="83" spans="1:12" x14ac:dyDescent="0.25">
      <c r="A83" s="801" t="s">
        <v>76</v>
      </c>
      <c r="B83" s="735" t="s">
        <v>77</v>
      </c>
      <c r="C83" s="736">
        <f>15900+1500+6000</f>
        <v>23400</v>
      </c>
      <c r="D83" s="736">
        <f t="shared" ref="D83:G83" si="21">15900+1500+6000</f>
        <v>23400</v>
      </c>
      <c r="E83" s="736">
        <f t="shared" si="21"/>
        <v>23400</v>
      </c>
      <c r="F83" s="736">
        <f t="shared" si="21"/>
        <v>23400</v>
      </c>
      <c r="G83" s="802">
        <f t="shared" si="21"/>
        <v>23400</v>
      </c>
      <c r="H83" s="803">
        <f>15900+1500+6000+300</f>
        <v>23700</v>
      </c>
      <c r="I83" s="802">
        <f>15900+1500+6000+300</f>
        <v>23700</v>
      </c>
      <c r="J83" s="802">
        <f>15900+1500+6000+300</f>
        <v>23700</v>
      </c>
      <c r="K83" s="738">
        <v>19779</v>
      </c>
      <c r="L83" s="767">
        <f t="shared" si="14"/>
        <v>0.83455696202531648</v>
      </c>
    </row>
    <row r="84" spans="1:12" x14ac:dyDescent="0.25">
      <c r="A84" s="669" t="s">
        <v>78</v>
      </c>
      <c r="B84" s="747" t="s">
        <v>79</v>
      </c>
      <c r="C84" s="644">
        <v>18500</v>
      </c>
      <c r="D84" s="644">
        <v>18500</v>
      </c>
      <c r="E84" s="644">
        <v>18500</v>
      </c>
      <c r="F84" s="644">
        <v>18500</v>
      </c>
      <c r="G84" s="775">
        <f>18500-100</f>
        <v>18400</v>
      </c>
      <c r="H84" s="774">
        <f>18500-100</f>
        <v>18400</v>
      </c>
      <c r="I84" s="774">
        <f>18500-100</f>
        <v>18400</v>
      </c>
      <c r="J84" s="774">
        <f>18500-100</f>
        <v>18400</v>
      </c>
      <c r="K84" s="646">
        <v>17838</v>
      </c>
      <c r="L84" s="767">
        <f t="shared" si="14"/>
        <v>0.96945652173913044</v>
      </c>
    </row>
    <row r="85" spans="1:12" x14ac:dyDescent="0.25">
      <c r="A85" s="669" t="s">
        <v>80</v>
      </c>
      <c r="B85" s="747" t="s">
        <v>81</v>
      </c>
      <c r="C85" s="699">
        <v>15000</v>
      </c>
      <c r="D85" s="699">
        <v>15000</v>
      </c>
      <c r="E85" s="699">
        <v>15000</v>
      </c>
      <c r="F85" s="699">
        <v>15000</v>
      </c>
      <c r="G85" s="776">
        <f>15000+10000</f>
        <v>25000</v>
      </c>
      <c r="H85" s="776">
        <f>15000+10000-3000</f>
        <v>22000</v>
      </c>
      <c r="I85" s="701">
        <f>15000+10000-3000</f>
        <v>22000</v>
      </c>
      <c r="J85" s="701">
        <f>15000+10000-3000</f>
        <v>22000</v>
      </c>
      <c r="K85" s="741">
        <v>18671</v>
      </c>
      <c r="L85" s="767">
        <f t="shared" si="14"/>
        <v>0.8486818181818182</v>
      </c>
    </row>
    <row r="86" spans="1:12" ht="15.75" thickBot="1" x14ac:dyDescent="0.3">
      <c r="A86" s="669" t="s">
        <v>82</v>
      </c>
      <c r="B86" s="747" t="s">
        <v>83</v>
      </c>
      <c r="C86" s="699">
        <v>100</v>
      </c>
      <c r="D86" s="699">
        <v>100</v>
      </c>
      <c r="E86" s="699">
        <v>100</v>
      </c>
      <c r="F86" s="699">
        <v>100</v>
      </c>
      <c r="G86" s="701">
        <v>100</v>
      </c>
      <c r="H86" s="701">
        <v>100</v>
      </c>
      <c r="I86" s="701">
        <v>100</v>
      </c>
      <c r="J86" s="701">
        <v>100</v>
      </c>
      <c r="K86" s="741">
        <v>0</v>
      </c>
      <c r="L86" s="767">
        <f t="shared" si="14"/>
        <v>0</v>
      </c>
    </row>
    <row r="87" spans="1:12" ht="15.75" thickBot="1" x14ac:dyDescent="0.3">
      <c r="A87" s="974" t="s">
        <v>84</v>
      </c>
      <c r="B87" s="975"/>
      <c r="C87" s="764">
        <f t="shared" ref="C87:K87" si="22">SUM(C88:C91)</f>
        <v>88750</v>
      </c>
      <c r="D87" s="764">
        <f t="shared" si="22"/>
        <v>88750</v>
      </c>
      <c r="E87" s="764">
        <f t="shared" si="22"/>
        <v>88750</v>
      </c>
      <c r="F87" s="764">
        <f t="shared" si="22"/>
        <v>90050</v>
      </c>
      <c r="G87" s="765">
        <f t="shared" si="22"/>
        <v>90950</v>
      </c>
      <c r="H87" s="765">
        <f t="shared" si="22"/>
        <v>91150</v>
      </c>
      <c r="I87" s="765">
        <f t="shared" si="22"/>
        <v>92150</v>
      </c>
      <c r="J87" s="765">
        <f t="shared" si="22"/>
        <v>92150</v>
      </c>
      <c r="K87" s="766">
        <f t="shared" si="22"/>
        <v>78137</v>
      </c>
      <c r="L87" s="767">
        <f t="shared" si="14"/>
        <v>0.84793271839392292</v>
      </c>
    </row>
    <row r="88" spans="1:12" x14ac:dyDescent="0.25">
      <c r="A88" s="673" t="s">
        <v>85</v>
      </c>
      <c r="B88" s="804" t="s">
        <v>86</v>
      </c>
      <c r="C88" s="805">
        <f>25000+20000</f>
        <v>45000</v>
      </c>
      <c r="D88" s="805">
        <f t="shared" ref="D88:F88" si="23">25000+20000</f>
        <v>45000</v>
      </c>
      <c r="E88" s="805">
        <f t="shared" si="23"/>
        <v>45000</v>
      </c>
      <c r="F88" s="805">
        <f t="shared" si="23"/>
        <v>45000</v>
      </c>
      <c r="G88" s="806">
        <f>25000+20000+900</f>
        <v>45900</v>
      </c>
      <c r="H88" s="806">
        <f>25000+20000+900+300+2000</f>
        <v>48200</v>
      </c>
      <c r="I88" s="807">
        <f>25000+20000+900+300+2000</f>
        <v>48200</v>
      </c>
      <c r="J88" s="807">
        <f>25000+20000+900+300+2000</f>
        <v>48200</v>
      </c>
      <c r="K88" s="808">
        <v>41225</v>
      </c>
      <c r="L88" s="767">
        <f t="shared" si="14"/>
        <v>0.85529045643153523</v>
      </c>
    </row>
    <row r="89" spans="1:12" x14ac:dyDescent="0.25">
      <c r="A89" s="669" t="s">
        <v>87</v>
      </c>
      <c r="B89" s="747" t="s">
        <v>88</v>
      </c>
      <c r="C89" s="644">
        <v>36000</v>
      </c>
      <c r="D89" s="644">
        <v>36000</v>
      </c>
      <c r="E89" s="644">
        <v>36000</v>
      </c>
      <c r="F89" s="644">
        <v>36000</v>
      </c>
      <c r="G89" s="774">
        <v>36000</v>
      </c>
      <c r="H89" s="775">
        <f>36000-2000</f>
        <v>34000</v>
      </c>
      <c r="I89" s="775">
        <f>36000-2000+1000</f>
        <v>35000</v>
      </c>
      <c r="J89" s="774">
        <f>36000-2000+1000</f>
        <v>35000</v>
      </c>
      <c r="K89" s="646">
        <v>33622</v>
      </c>
      <c r="L89" s="767">
        <f t="shared" si="14"/>
        <v>0.96062857142857139</v>
      </c>
    </row>
    <row r="90" spans="1:12" x14ac:dyDescent="0.25">
      <c r="A90" s="671" t="s">
        <v>89</v>
      </c>
      <c r="B90" s="809" t="s">
        <v>90</v>
      </c>
      <c r="C90" s="810">
        <v>950</v>
      </c>
      <c r="D90" s="810">
        <v>950</v>
      </c>
      <c r="E90" s="810">
        <v>950</v>
      </c>
      <c r="F90" s="810">
        <v>950</v>
      </c>
      <c r="G90" s="811">
        <v>950</v>
      </c>
      <c r="H90" s="812">
        <f>950-100</f>
        <v>850</v>
      </c>
      <c r="I90" s="811">
        <f>950-100</f>
        <v>850</v>
      </c>
      <c r="J90" s="811">
        <f>950-100</f>
        <v>850</v>
      </c>
      <c r="K90" s="813">
        <v>746</v>
      </c>
      <c r="L90" s="767">
        <f t="shared" si="14"/>
        <v>0.87764705882352945</v>
      </c>
    </row>
    <row r="91" spans="1:12" ht="15.75" thickBot="1" x14ac:dyDescent="0.3">
      <c r="A91" s="674" t="s">
        <v>91</v>
      </c>
      <c r="B91" s="814" t="s">
        <v>204</v>
      </c>
      <c r="C91" s="815">
        <f>5700+1000+100</f>
        <v>6800</v>
      </c>
      <c r="D91" s="815">
        <f t="shared" ref="D91:E91" si="24">5700+1000+100</f>
        <v>6800</v>
      </c>
      <c r="E91" s="815">
        <f t="shared" si="24"/>
        <v>6800</v>
      </c>
      <c r="F91" s="816">
        <f>5700+1000+100+300+1000</f>
        <v>8100</v>
      </c>
      <c r="G91" s="817">
        <f>5700+1000+100+300+1000</f>
        <v>8100</v>
      </c>
      <c r="H91" s="817">
        <f>5700+1000+100+300+1000</f>
        <v>8100</v>
      </c>
      <c r="I91" s="817">
        <f>5700+1000+100+300+1000</f>
        <v>8100</v>
      </c>
      <c r="J91" s="817">
        <f>5700+1000+100+300+1000</f>
        <v>8100</v>
      </c>
      <c r="K91" s="818">
        <v>2544</v>
      </c>
      <c r="L91" s="767">
        <f t="shared" si="14"/>
        <v>0.31407407407407406</v>
      </c>
    </row>
    <row r="92" spans="1:12" ht="15.75" thickBot="1" x14ac:dyDescent="0.3">
      <c r="A92" s="762" t="s">
        <v>92</v>
      </c>
      <c r="B92" s="672"/>
      <c r="C92" s="764">
        <f t="shared" ref="C92:K92" si="25">SUM(C93:C95)</f>
        <v>144000</v>
      </c>
      <c r="D92" s="764">
        <f t="shared" si="25"/>
        <v>145232</v>
      </c>
      <c r="E92" s="764">
        <f t="shared" si="25"/>
        <v>145232</v>
      </c>
      <c r="F92" s="764">
        <f t="shared" si="25"/>
        <v>149932</v>
      </c>
      <c r="G92" s="765">
        <f t="shared" ref="G92:J92" si="26">SUM(G93:G95)</f>
        <v>150732</v>
      </c>
      <c r="H92" s="765">
        <f t="shared" si="26"/>
        <v>154732</v>
      </c>
      <c r="I92" s="765">
        <f t="shared" si="26"/>
        <v>154732</v>
      </c>
      <c r="J92" s="765">
        <f t="shared" si="26"/>
        <v>163032</v>
      </c>
      <c r="K92" s="766">
        <f t="shared" si="25"/>
        <v>107398</v>
      </c>
      <c r="L92" s="767">
        <f t="shared" si="14"/>
        <v>0.6587541096226508</v>
      </c>
    </row>
    <row r="93" spans="1:12" x14ac:dyDescent="0.25">
      <c r="A93" s="801" t="s">
        <v>93</v>
      </c>
      <c r="B93" s="768" t="s">
        <v>94</v>
      </c>
      <c r="C93" s="819">
        <v>108000</v>
      </c>
      <c r="D93" s="820">
        <f>108000+1232</f>
        <v>109232</v>
      </c>
      <c r="E93" s="819">
        <f>108000+1232</f>
        <v>109232</v>
      </c>
      <c r="F93" s="820">
        <f>108000+1232+4700</f>
        <v>113932</v>
      </c>
      <c r="G93" s="771">
        <f>108000+1232+4700</f>
        <v>113932</v>
      </c>
      <c r="H93" s="772">
        <f>108000+1232+4700+4000</f>
        <v>117932</v>
      </c>
      <c r="I93" s="771">
        <f>108000+1232+4700+4000</f>
        <v>117932</v>
      </c>
      <c r="J93" s="772">
        <f>108000+1232+4700+4000+9050</f>
        <v>126982</v>
      </c>
      <c r="K93" s="773">
        <v>78470</v>
      </c>
      <c r="L93" s="767">
        <f t="shared" si="14"/>
        <v>0.6179616008568144</v>
      </c>
    </row>
    <row r="94" spans="1:12" x14ac:dyDescent="0.25">
      <c r="A94" s="821" t="s">
        <v>95</v>
      </c>
      <c r="B94" s="747" t="s">
        <v>96</v>
      </c>
      <c r="C94" s="822">
        <v>19000</v>
      </c>
      <c r="D94" s="822">
        <v>19000</v>
      </c>
      <c r="E94" s="822">
        <v>19000</v>
      </c>
      <c r="F94" s="822">
        <v>19000</v>
      </c>
      <c r="G94" s="775">
        <f>19000+800</f>
        <v>19800</v>
      </c>
      <c r="H94" s="774">
        <f>19000+800</f>
        <v>19800</v>
      </c>
      <c r="I94" s="774">
        <f>19000+800</f>
        <v>19800</v>
      </c>
      <c r="J94" s="774">
        <f>19000+800</f>
        <v>19800</v>
      </c>
      <c r="K94" s="646">
        <v>18042</v>
      </c>
      <c r="L94" s="767">
        <f t="shared" si="14"/>
        <v>0.91121212121212125</v>
      </c>
    </row>
    <row r="95" spans="1:12" ht="15.75" thickBot="1" x14ac:dyDescent="0.3">
      <c r="A95" s="823" t="s">
        <v>97</v>
      </c>
      <c r="B95" s="814" t="s">
        <v>98</v>
      </c>
      <c r="C95" s="824">
        <f>2000+14000+400+600</f>
        <v>17000</v>
      </c>
      <c r="D95" s="824">
        <f t="shared" ref="D95:I95" si="27">2000+14000+400+600</f>
        <v>17000</v>
      </c>
      <c r="E95" s="824">
        <f t="shared" si="27"/>
        <v>17000</v>
      </c>
      <c r="F95" s="824">
        <f t="shared" si="27"/>
        <v>17000</v>
      </c>
      <c r="G95" s="825">
        <f t="shared" si="27"/>
        <v>17000</v>
      </c>
      <c r="H95" s="825">
        <f t="shared" si="27"/>
        <v>17000</v>
      </c>
      <c r="I95" s="825">
        <f t="shared" si="27"/>
        <v>17000</v>
      </c>
      <c r="J95" s="931">
        <f>2000+14000+400+600-750</f>
        <v>16250</v>
      </c>
      <c r="K95" s="826">
        <v>10886</v>
      </c>
      <c r="L95" s="767">
        <f t="shared" si="14"/>
        <v>0.66990769230769232</v>
      </c>
    </row>
    <row r="96" spans="1:12" ht="15.75" thickBot="1" x14ac:dyDescent="0.3">
      <c r="A96" s="827" t="s">
        <v>99</v>
      </c>
      <c r="B96" s="675"/>
      <c r="C96" s="828">
        <f t="shared" ref="C96:K96" si="28">SUM(C97:C99)</f>
        <v>450</v>
      </c>
      <c r="D96" s="828">
        <f t="shared" si="28"/>
        <v>530</v>
      </c>
      <c r="E96" s="828">
        <f t="shared" si="28"/>
        <v>530</v>
      </c>
      <c r="F96" s="828">
        <f t="shared" si="28"/>
        <v>530</v>
      </c>
      <c r="G96" s="829">
        <f t="shared" si="28"/>
        <v>620</v>
      </c>
      <c r="H96" s="829">
        <f t="shared" ref="H96:J96" si="29">SUM(H97:H99)</f>
        <v>820</v>
      </c>
      <c r="I96" s="829">
        <f t="shared" si="29"/>
        <v>820</v>
      </c>
      <c r="J96" s="829">
        <f t="shared" si="29"/>
        <v>820</v>
      </c>
      <c r="K96" s="830">
        <f t="shared" si="28"/>
        <v>462</v>
      </c>
      <c r="L96" s="767">
        <f t="shared" si="14"/>
        <v>0.56341463414634141</v>
      </c>
    </row>
    <row r="97" spans="1:12" x14ac:dyDescent="0.25">
      <c r="A97" s="788" t="s">
        <v>100</v>
      </c>
      <c r="B97" s="804" t="s">
        <v>101</v>
      </c>
      <c r="C97" s="831">
        <v>50</v>
      </c>
      <c r="D97" s="831">
        <v>50</v>
      </c>
      <c r="E97" s="831">
        <v>50</v>
      </c>
      <c r="F97" s="831">
        <v>50</v>
      </c>
      <c r="G97" s="807">
        <v>50</v>
      </c>
      <c r="H97" s="807">
        <v>50</v>
      </c>
      <c r="I97" s="807">
        <v>50</v>
      </c>
      <c r="J97" s="807">
        <v>50</v>
      </c>
      <c r="K97" s="808">
        <v>50</v>
      </c>
      <c r="L97" s="767">
        <f t="shared" si="14"/>
        <v>1</v>
      </c>
    </row>
    <row r="98" spans="1:12" x14ac:dyDescent="0.25">
      <c r="A98" s="821" t="s">
        <v>102</v>
      </c>
      <c r="B98" s="747" t="s">
        <v>103</v>
      </c>
      <c r="C98" s="822">
        <v>50</v>
      </c>
      <c r="D98" s="832">
        <f t="shared" ref="D98:J98" si="30">50+80</f>
        <v>130</v>
      </c>
      <c r="E98" s="822">
        <f t="shared" si="30"/>
        <v>130</v>
      </c>
      <c r="F98" s="822">
        <f t="shared" si="30"/>
        <v>130</v>
      </c>
      <c r="G98" s="774">
        <f t="shared" si="30"/>
        <v>130</v>
      </c>
      <c r="H98" s="774">
        <f t="shared" si="30"/>
        <v>130</v>
      </c>
      <c r="I98" s="774">
        <f t="shared" si="30"/>
        <v>130</v>
      </c>
      <c r="J98" s="774">
        <f t="shared" si="30"/>
        <v>130</v>
      </c>
      <c r="K98" s="646">
        <v>84</v>
      </c>
      <c r="L98" s="767">
        <f t="shared" si="14"/>
        <v>0.64615384615384619</v>
      </c>
    </row>
    <row r="99" spans="1:12" ht="15.75" thickBot="1" x14ac:dyDescent="0.3">
      <c r="A99" s="823" t="s">
        <v>104</v>
      </c>
      <c r="B99" s="814" t="s">
        <v>105</v>
      </c>
      <c r="C99" s="833">
        <v>350</v>
      </c>
      <c r="D99" s="833">
        <v>350</v>
      </c>
      <c r="E99" s="833">
        <v>350</v>
      </c>
      <c r="F99" s="833">
        <v>350</v>
      </c>
      <c r="G99" s="834">
        <f>350+90</f>
        <v>440</v>
      </c>
      <c r="H99" s="834">
        <f>350+90+200</f>
        <v>640</v>
      </c>
      <c r="I99" s="817">
        <f>350+90+200</f>
        <v>640</v>
      </c>
      <c r="J99" s="817">
        <f>350+90+200</f>
        <v>640</v>
      </c>
      <c r="K99" s="818">
        <v>328</v>
      </c>
      <c r="L99" s="767">
        <f t="shared" si="14"/>
        <v>0.51249999999999996</v>
      </c>
    </row>
    <row r="100" spans="1:12" ht="15.75" thickBot="1" x14ac:dyDescent="0.3">
      <c r="A100" s="835" t="s">
        <v>106</v>
      </c>
      <c r="B100" s="836"/>
      <c r="C100" s="837">
        <f t="shared" ref="C100:K100" si="31">SUM(C101:C105)</f>
        <v>108100</v>
      </c>
      <c r="D100" s="837">
        <f t="shared" si="31"/>
        <v>108100</v>
      </c>
      <c r="E100" s="837">
        <f t="shared" si="31"/>
        <v>113100</v>
      </c>
      <c r="F100" s="837">
        <f t="shared" si="31"/>
        <v>121150</v>
      </c>
      <c r="G100" s="838">
        <f t="shared" si="31"/>
        <v>126750</v>
      </c>
      <c r="H100" s="838">
        <f t="shared" si="31"/>
        <v>122750</v>
      </c>
      <c r="I100" s="838">
        <f t="shared" si="31"/>
        <v>122750</v>
      </c>
      <c r="J100" s="838">
        <f t="shared" si="31"/>
        <v>123070</v>
      </c>
      <c r="K100" s="839">
        <f t="shared" si="31"/>
        <v>113224</v>
      </c>
      <c r="L100" s="767">
        <f t="shared" si="14"/>
        <v>0.91999674981717716</v>
      </c>
    </row>
    <row r="101" spans="1:12" x14ac:dyDescent="0.25">
      <c r="A101" s="673" t="s">
        <v>107</v>
      </c>
      <c r="B101" s="804" t="s">
        <v>108</v>
      </c>
      <c r="C101" s="805">
        <f>9300+7300</f>
        <v>16600</v>
      </c>
      <c r="D101" s="805">
        <f t="shared" ref="D101:J101" si="32">9300+7300</f>
        <v>16600</v>
      </c>
      <c r="E101" s="805">
        <f t="shared" si="32"/>
        <v>16600</v>
      </c>
      <c r="F101" s="805">
        <f t="shared" si="32"/>
        <v>16600</v>
      </c>
      <c r="G101" s="807">
        <f t="shared" si="32"/>
        <v>16600</v>
      </c>
      <c r="H101" s="807">
        <f t="shared" si="32"/>
        <v>16600</v>
      </c>
      <c r="I101" s="807">
        <f t="shared" si="32"/>
        <v>16600</v>
      </c>
      <c r="J101" s="807">
        <f t="shared" si="32"/>
        <v>16600</v>
      </c>
      <c r="K101" s="808">
        <v>14818</v>
      </c>
      <c r="L101" s="767">
        <f t="shared" si="14"/>
        <v>0.89265060240963856</v>
      </c>
    </row>
    <row r="102" spans="1:12" x14ac:dyDescent="0.25">
      <c r="A102" s="676" t="s">
        <v>109</v>
      </c>
      <c r="B102" s="840" t="s">
        <v>351</v>
      </c>
      <c r="C102" s="736">
        <f>12600+1800+2000+48600</f>
        <v>65000</v>
      </c>
      <c r="D102" s="736">
        <f t="shared" ref="D102" si="33">12600+1800+2000+48600</f>
        <v>65000</v>
      </c>
      <c r="E102" s="737">
        <f>12600+1800+2000+48600+5820</f>
        <v>70820</v>
      </c>
      <c r="F102" s="737">
        <f>12600+1800+2000+48600+5820+2100+5950</f>
        <v>78870</v>
      </c>
      <c r="G102" s="803">
        <f>12600+1800+2000+48600+5820+2100+5950+5750-3950+600+3200</f>
        <v>84470</v>
      </c>
      <c r="H102" s="803">
        <f>12600+1800+2000+48600+5820+2100+5950+5750-3950+600+3200-2000</f>
        <v>82470</v>
      </c>
      <c r="I102" s="802">
        <f>12600+1800+2000+48600+5820+2100+5950+5750-3950+600+3200-2000</f>
        <v>82470</v>
      </c>
      <c r="J102" s="802">
        <f>12600+1800+2000+48600+5820+2100+5950+5750-3950+600+3200-2000</f>
        <v>82470</v>
      </c>
      <c r="K102" s="738">
        <v>77935</v>
      </c>
      <c r="L102" s="767">
        <f t="shared" si="14"/>
        <v>0.9450103067782224</v>
      </c>
    </row>
    <row r="103" spans="1:12" x14ac:dyDescent="0.25">
      <c r="A103" s="676" t="s">
        <v>111</v>
      </c>
      <c r="B103" s="768" t="s">
        <v>112</v>
      </c>
      <c r="C103" s="769">
        <f>2800+700</f>
        <v>3500</v>
      </c>
      <c r="D103" s="769">
        <f t="shared" ref="D103:J103" si="34">2800+700</f>
        <v>3500</v>
      </c>
      <c r="E103" s="769">
        <f t="shared" si="34"/>
        <v>3500</v>
      </c>
      <c r="F103" s="769">
        <f t="shared" si="34"/>
        <v>3500</v>
      </c>
      <c r="G103" s="771">
        <f t="shared" si="34"/>
        <v>3500</v>
      </c>
      <c r="H103" s="771">
        <f t="shared" si="34"/>
        <v>3500</v>
      </c>
      <c r="I103" s="771">
        <f t="shared" si="34"/>
        <v>3500</v>
      </c>
      <c r="J103" s="771">
        <f t="shared" si="34"/>
        <v>3500</v>
      </c>
      <c r="K103" s="773">
        <v>3135</v>
      </c>
      <c r="L103" s="767">
        <f t="shared" si="14"/>
        <v>0.89571428571428569</v>
      </c>
    </row>
    <row r="104" spans="1:12" x14ac:dyDescent="0.25">
      <c r="A104" s="676" t="s">
        <v>113</v>
      </c>
      <c r="B104" s="768" t="s">
        <v>114</v>
      </c>
      <c r="C104" s="769">
        <f>7400+3000+2600</f>
        <v>13000</v>
      </c>
      <c r="D104" s="769">
        <f t="shared" ref="D104:G104" si="35">7400+3000+2600</f>
        <v>13000</v>
      </c>
      <c r="E104" s="769">
        <f t="shared" si="35"/>
        <v>13000</v>
      </c>
      <c r="F104" s="769">
        <f t="shared" si="35"/>
        <v>13000</v>
      </c>
      <c r="G104" s="771">
        <f t="shared" si="35"/>
        <v>13000</v>
      </c>
      <c r="H104" s="772">
        <f>7400+3000+2600-2000</f>
        <v>11000</v>
      </c>
      <c r="I104" s="771">
        <f>7400+3000+2600-2000</f>
        <v>11000</v>
      </c>
      <c r="J104" s="771">
        <f>7400+3000+2600-2000</f>
        <v>11000</v>
      </c>
      <c r="K104" s="773">
        <v>8294</v>
      </c>
      <c r="L104" s="767">
        <f t="shared" si="14"/>
        <v>0.754</v>
      </c>
    </row>
    <row r="105" spans="1:12" ht="15.75" thickBot="1" x14ac:dyDescent="0.3">
      <c r="A105" s="674" t="s">
        <v>115</v>
      </c>
      <c r="B105" s="814" t="s">
        <v>203</v>
      </c>
      <c r="C105" s="815">
        <v>10000</v>
      </c>
      <c r="D105" s="815">
        <v>10000</v>
      </c>
      <c r="E105" s="816">
        <f t="shared" ref="E105:I105" si="36">10000-820</f>
        <v>9180</v>
      </c>
      <c r="F105" s="815">
        <f t="shared" si="36"/>
        <v>9180</v>
      </c>
      <c r="G105" s="817">
        <f t="shared" si="36"/>
        <v>9180</v>
      </c>
      <c r="H105" s="817">
        <f t="shared" si="36"/>
        <v>9180</v>
      </c>
      <c r="I105" s="817">
        <f t="shared" si="36"/>
        <v>9180</v>
      </c>
      <c r="J105" s="834">
        <f>10000-820+320</f>
        <v>9500</v>
      </c>
      <c r="K105" s="818">
        <v>9042</v>
      </c>
      <c r="L105" s="767">
        <f t="shared" si="14"/>
        <v>0.95178947368421052</v>
      </c>
    </row>
    <row r="106" spans="1:12" ht="15.75" thickBot="1" x14ac:dyDescent="0.3">
      <c r="A106" s="781" t="s">
        <v>116</v>
      </c>
      <c r="B106" s="782"/>
      <c r="C106" s="764">
        <f t="shared" ref="C106:D106" si="37">SUM(C107:C113)</f>
        <v>384700</v>
      </c>
      <c r="D106" s="764">
        <f t="shared" si="37"/>
        <v>385624</v>
      </c>
      <c r="E106" s="764">
        <f t="shared" ref="E106:K106" si="38">SUM(E107:E113)</f>
        <v>385624</v>
      </c>
      <c r="F106" s="764">
        <f t="shared" si="38"/>
        <v>385624</v>
      </c>
      <c r="G106" s="765">
        <f t="shared" si="38"/>
        <v>386124</v>
      </c>
      <c r="H106" s="765">
        <f t="shared" si="38"/>
        <v>328024</v>
      </c>
      <c r="I106" s="765">
        <f t="shared" si="38"/>
        <v>328224</v>
      </c>
      <c r="J106" s="765">
        <f t="shared" si="38"/>
        <v>328420</v>
      </c>
      <c r="K106" s="766">
        <f t="shared" si="38"/>
        <v>308051</v>
      </c>
      <c r="L106" s="767">
        <f t="shared" si="14"/>
        <v>0.93797880762438346</v>
      </c>
    </row>
    <row r="107" spans="1:12" x14ac:dyDescent="0.25">
      <c r="A107" s="841" t="s">
        <v>117</v>
      </c>
      <c r="B107" s="842" t="s">
        <v>118</v>
      </c>
      <c r="C107" s="790">
        <v>118000</v>
      </c>
      <c r="D107" s="791">
        <f>118000+404</f>
        <v>118404</v>
      </c>
      <c r="E107" s="790">
        <f>118000+404</f>
        <v>118404</v>
      </c>
      <c r="F107" s="790">
        <f>118000+404</f>
        <v>118404</v>
      </c>
      <c r="G107" s="792">
        <f>118000+404</f>
        <v>118404</v>
      </c>
      <c r="H107" s="793">
        <f>118000+404-3600</f>
        <v>114804</v>
      </c>
      <c r="I107" s="792">
        <f>118000+404-3600</f>
        <v>114804</v>
      </c>
      <c r="J107" s="793">
        <f>118000+404-3600+196</f>
        <v>115000</v>
      </c>
      <c r="K107" s="794">
        <v>104500</v>
      </c>
      <c r="L107" s="767">
        <f t="shared" si="14"/>
        <v>0.90869565217391302</v>
      </c>
    </row>
    <row r="108" spans="1:12" x14ac:dyDescent="0.25">
      <c r="A108" s="843" t="s">
        <v>119</v>
      </c>
      <c r="B108" s="740" t="s">
        <v>187</v>
      </c>
      <c r="C108" s="699">
        <f>177000+2600</f>
        <v>179600</v>
      </c>
      <c r="D108" s="700">
        <f>177000+2600+520</f>
        <v>180120</v>
      </c>
      <c r="E108" s="699">
        <f>177000+2600+520</f>
        <v>180120</v>
      </c>
      <c r="F108" s="699">
        <f>177000+2600+520</f>
        <v>180120</v>
      </c>
      <c r="G108" s="776">
        <f>177000+2600+520+500</f>
        <v>180620</v>
      </c>
      <c r="H108" s="776">
        <f>177000+2600+520+500-59000+400</f>
        <v>122020</v>
      </c>
      <c r="I108" s="776">
        <f>177000+2600+520+500-59000+400+200</f>
        <v>122220</v>
      </c>
      <c r="J108" s="844">
        <f>177000+2600+520+500-59000+400+200</f>
        <v>122220</v>
      </c>
      <c r="K108" s="741">
        <v>119829</v>
      </c>
      <c r="L108" s="767">
        <f t="shared" si="14"/>
        <v>0.98043691703485514</v>
      </c>
    </row>
    <row r="109" spans="1:12" x14ac:dyDescent="0.25">
      <c r="A109" s="843" t="s">
        <v>120</v>
      </c>
      <c r="B109" s="740" t="s">
        <v>121</v>
      </c>
      <c r="C109" s="699">
        <v>11800</v>
      </c>
      <c r="D109" s="699">
        <v>11800</v>
      </c>
      <c r="E109" s="699">
        <v>11800</v>
      </c>
      <c r="F109" s="699">
        <v>11800</v>
      </c>
      <c r="G109" s="701">
        <v>11800</v>
      </c>
      <c r="H109" s="776">
        <f>11800+100+900</f>
        <v>12800</v>
      </c>
      <c r="I109" s="701">
        <f>11800+100+900</f>
        <v>12800</v>
      </c>
      <c r="J109" s="701">
        <f>11800+100+900</f>
        <v>12800</v>
      </c>
      <c r="K109" s="741">
        <v>10957</v>
      </c>
      <c r="L109" s="767">
        <f t="shared" si="14"/>
        <v>0.85601562499999995</v>
      </c>
    </row>
    <row r="110" spans="1:12" x14ac:dyDescent="0.25">
      <c r="A110" s="843" t="s">
        <v>122</v>
      </c>
      <c r="B110" s="740" t="s">
        <v>123</v>
      </c>
      <c r="C110" s="699">
        <v>17200</v>
      </c>
      <c r="D110" s="699">
        <v>17200</v>
      </c>
      <c r="E110" s="699">
        <v>17200</v>
      </c>
      <c r="F110" s="699">
        <v>17200</v>
      </c>
      <c r="G110" s="701">
        <v>17200</v>
      </c>
      <c r="H110" s="776">
        <f t="shared" ref="H110:J111" si="39">17200+200+1200</f>
        <v>18600</v>
      </c>
      <c r="I110" s="701">
        <f t="shared" si="39"/>
        <v>18600</v>
      </c>
      <c r="J110" s="701">
        <f t="shared" si="39"/>
        <v>18600</v>
      </c>
      <c r="K110" s="741">
        <v>16441</v>
      </c>
      <c r="L110" s="767">
        <f t="shared" si="14"/>
        <v>0.88392473118279569</v>
      </c>
    </row>
    <row r="111" spans="1:12" x14ac:dyDescent="0.25">
      <c r="A111" s="843" t="s">
        <v>124</v>
      </c>
      <c r="B111" s="740" t="s">
        <v>125</v>
      </c>
      <c r="C111" s="699">
        <v>17200</v>
      </c>
      <c r="D111" s="699">
        <v>17200</v>
      </c>
      <c r="E111" s="699">
        <v>17200</v>
      </c>
      <c r="F111" s="699">
        <v>17200</v>
      </c>
      <c r="G111" s="701">
        <v>17200</v>
      </c>
      <c r="H111" s="776">
        <f t="shared" si="39"/>
        <v>18600</v>
      </c>
      <c r="I111" s="701">
        <f t="shared" si="39"/>
        <v>18600</v>
      </c>
      <c r="J111" s="701">
        <f t="shared" si="39"/>
        <v>18600</v>
      </c>
      <c r="K111" s="741">
        <v>16441</v>
      </c>
      <c r="L111" s="767">
        <f t="shared" si="14"/>
        <v>0.88392473118279569</v>
      </c>
    </row>
    <row r="112" spans="1:12" x14ac:dyDescent="0.25">
      <c r="A112" s="845" t="s">
        <v>126</v>
      </c>
      <c r="B112" s="740" t="s">
        <v>127</v>
      </c>
      <c r="C112" s="704">
        <f>11800+4400+21800+300</f>
        <v>38300</v>
      </c>
      <c r="D112" s="704">
        <f t="shared" ref="D112:G112" si="40">11800+4400+21800+300</f>
        <v>38300</v>
      </c>
      <c r="E112" s="704">
        <f t="shared" si="40"/>
        <v>38300</v>
      </c>
      <c r="F112" s="704">
        <f t="shared" si="40"/>
        <v>38300</v>
      </c>
      <c r="G112" s="705">
        <f t="shared" si="40"/>
        <v>38300</v>
      </c>
      <c r="H112" s="846">
        <f>11800+4400+21800+300+100-500+700</f>
        <v>38600</v>
      </c>
      <c r="I112" s="705">
        <f>11800+4400+21800+300+100-500+700</f>
        <v>38600</v>
      </c>
      <c r="J112" s="705">
        <f>11800+4400+21800+300+100-500+700</f>
        <v>38600</v>
      </c>
      <c r="K112" s="847">
        <v>37289</v>
      </c>
      <c r="L112" s="767">
        <f t="shared" si="14"/>
        <v>0.96603626943005183</v>
      </c>
    </row>
    <row r="113" spans="1:13" ht="15.75" thickBot="1" x14ac:dyDescent="0.3">
      <c r="A113" s="843" t="s">
        <v>128</v>
      </c>
      <c r="B113" s="740" t="s">
        <v>129</v>
      </c>
      <c r="C113" s="704">
        <v>2600</v>
      </c>
      <c r="D113" s="704">
        <v>2600</v>
      </c>
      <c r="E113" s="704">
        <v>2600</v>
      </c>
      <c r="F113" s="704">
        <v>2600</v>
      </c>
      <c r="G113" s="705">
        <v>2600</v>
      </c>
      <c r="H113" s="705">
        <v>2600</v>
      </c>
      <c r="I113" s="705">
        <v>2600</v>
      </c>
      <c r="J113" s="705">
        <v>2600</v>
      </c>
      <c r="K113" s="847">
        <v>2594</v>
      </c>
      <c r="L113" s="767">
        <f t="shared" si="14"/>
        <v>0.99769230769230766</v>
      </c>
    </row>
    <row r="114" spans="1:13" ht="15.75" thickBot="1" x14ac:dyDescent="0.3">
      <c r="A114" s="762" t="s">
        <v>130</v>
      </c>
      <c r="B114" s="763"/>
      <c r="C114" s="764">
        <f t="shared" ref="C114" si="41">SUM(C115:C119)</f>
        <v>196800</v>
      </c>
      <c r="D114" s="764">
        <f t="shared" ref="D114:K114" si="42">SUM(D115:D119)</f>
        <v>196800</v>
      </c>
      <c r="E114" s="764">
        <f t="shared" si="42"/>
        <v>196800</v>
      </c>
      <c r="F114" s="764">
        <f t="shared" si="42"/>
        <v>196800</v>
      </c>
      <c r="G114" s="765">
        <f t="shared" si="42"/>
        <v>197110</v>
      </c>
      <c r="H114" s="765">
        <f t="shared" si="42"/>
        <v>216110</v>
      </c>
      <c r="I114" s="765">
        <f t="shared" si="42"/>
        <v>216110</v>
      </c>
      <c r="J114" s="765">
        <f t="shared" si="42"/>
        <v>216110</v>
      </c>
      <c r="K114" s="766">
        <f t="shared" si="42"/>
        <v>144398</v>
      </c>
      <c r="L114" s="767">
        <f t="shared" si="14"/>
        <v>0.66816898801536251</v>
      </c>
    </row>
    <row r="115" spans="1:13" x14ac:dyDescent="0.25">
      <c r="A115" s="676" t="s">
        <v>131</v>
      </c>
      <c r="B115" s="768" t="s">
        <v>132</v>
      </c>
      <c r="C115" s="769">
        <f>100000+15600</f>
        <v>115600</v>
      </c>
      <c r="D115" s="769">
        <f t="shared" ref="D115:F115" si="43">100000+15600</f>
        <v>115600</v>
      </c>
      <c r="E115" s="769">
        <f t="shared" si="43"/>
        <v>115600</v>
      </c>
      <c r="F115" s="769">
        <f t="shared" si="43"/>
        <v>115600</v>
      </c>
      <c r="G115" s="772">
        <f>100000+15600+350-90</f>
        <v>115860</v>
      </c>
      <c r="H115" s="772">
        <f>100000+15600+350-90+7000</f>
        <v>122860</v>
      </c>
      <c r="I115" s="771">
        <f>100000+15600+350-90+7000</f>
        <v>122860</v>
      </c>
      <c r="J115" s="771">
        <f>100000+15600+350-90+7000</f>
        <v>122860</v>
      </c>
      <c r="K115" s="773">
        <v>110782</v>
      </c>
      <c r="L115" s="767">
        <f t="shared" si="14"/>
        <v>0.90169298388409569</v>
      </c>
    </row>
    <row r="116" spans="1:13" x14ac:dyDescent="0.25">
      <c r="A116" s="676" t="s">
        <v>133</v>
      </c>
      <c r="B116" s="768" t="s">
        <v>201</v>
      </c>
      <c r="C116" s="769">
        <f>7200+3000</f>
        <v>10200</v>
      </c>
      <c r="D116" s="769">
        <f t="shared" ref="D116:J116" si="44">7200+3000</f>
        <v>10200</v>
      </c>
      <c r="E116" s="769">
        <f t="shared" si="44"/>
        <v>10200</v>
      </c>
      <c r="F116" s="769">
        <f t="shared" si="44"/>
        <v>10200</v>
      </c>
      <c r="G116" s="771">
        <f t="shared" si="44"/>
        <v>10200</v>
      </c>
      <c r="H116" s="771">
        <f t="shared" si="44"/>
        <v>10200</v>
      </c>
      <c r="I116" s="771">
        <f t="shared" si="44"/>
        <v>10200</v>
      </c>
      <c r="J116" s="771">
        <f t="shared" si="44"/>
        <v>10200</v>
      </c>
      <c r="K116" s="773">
        <v>6436</v>
      </c>
      <c r="L116" s="767">
        <f t="shared" si="14"/>
        <v>0.63098039215686275</v>
      </c>
    </row>
    <row r="117" spans="1:13" x14ac:dyDescent="0.25">
      <c r="A117" s="669" t="s">
        <v>134</v>
      </c>
      <c r="B117" s="747" t="s">
        <v>202</v>
      </c>
      <c r="C117" s="644">
        <f>12000+49000+9000</f>
        <v>70000</v>
      </c>
      <c r="D117" s="644">
        <f t="shared" ref="D117:F117" si="45">12000+49000+9000</f>
        <v>70000</v>
      </c>
      <c r="E117" s="644">
        <f t="shared" si="45"/>
        <v>70000</v>
      </c>
      <c r="F117" s="644">
        <f t="shared" si="45"/>
        <v>70000</v>
      </c>
      <c r="G117" s="775">
        <f>12000+49000+9000+50</f>
        <v>70050</v>
      </c>
      <c r="H117" s="775">
        <f>12000+49000+9000+50+12000</f>
        <v>82050</v>
      </c>
      <c r="I117" s="774">
        <f>12000+49000+9000+50+12000</f>
        <v>82050</v>
      </c>
      <c r="J117" s="774">
        <f>12000+49000+9000+50+12000</f>
        <v>82050</v>
      </c>
      <c r="K117" s="646">
        <v>27180</v>
      </c>
      <c r="L117" s="767">
        <f t="shared" si="14"/>
        <v>0.33126142595978064</v>
      </c>
    </row>
    <row r="118" spans="1:13" x14ac:dyDescent="0.25">
      <c r="A118" s="669" t="s">
        <v>135</v>
      </c>
      <c r="B118" s="747" t="s">
        <v>136</v>
      </c>
      <c r="C118" s="644">
        <v>500</v>
      </c>
      <c r="D118" s="644">
        <v>500</v>
      </c>
      <c r="E118" s="644">
        <v>500</v>
      </c>
      <c r="F118" s="644">
        <v>500</v>
      </c>
      <c r="G118" s="774">
        <v>500</v>
      </c>
      <c r="H118" s="774">
        <v>500</v>
      </c>
      <c r="I118" s="774">
        <v>500</v>
      </c>
      <c r="J118" s="774">
        <v>500</v>
      </c>
      <c r="K118" s="646">
        <v>0</v>
      </c>
      <c r="L118" s="767">
        <f t="shared" si="14"/>
        <v>0</v>
      </c>
    </row>
    <row r="119" spans="1:13" ht="15.75" thickBot="1" x14ac:dyDescent="0.3">
      <c r="A119" s="674" t="s">
        <v>137</v>
      </c>
      <c r="B119" s="814" t="s">
        <v>138</v>
      </c>
      <c r="C119" s="815">
        <v>500</v>
      </c>
      <c r="D119" s="815">
        <v>500</v>
      </c>
      <c r="E119" s="815">
        <v>500</v>
      </c>
      <c r="F119" s="815">
        <v>500</v>
      </c>
      <c r="G119" s="817">
        <v>500</v>
      </c>
      <c r="H119" s="817">
        <v>500</v>
      </c>
      <c r="I119" s="817">
        <v>500</v>
      </c>
      <c r="J119" s="817">
        <v>500</v>
      </c>
      <c r="K119" s="818">
        <v>0</v>
      </c>
      <c r="L119" s="767">
        <f t="shared" si="14"/>
        <v>0</v>
      </c>
    </row>
    <row r="120" spans="1:13" ht="16.5" customHeight="1" thickBot="1" x14ac:dyDescent="0.3">
      <c r="A120" s="677" t="s">
        <v>139</v>
      </c>
      <c r="B120" s="675"/>
      <c r="C120" s="678">
        <f t="shared" ref="C120:K120" si="46">SUM(C71+C77+C79+C82+C87+C92+C96+C100+C106+C114)</f>
        <v>1180700</v>
      </c>
      <c r="D120" s="678">
        <f t="shared" si="46"/>
        <v>1182896</v>
      </c>
      <c r="E120" s="678">
        <f t="shared" si="46"/>
        <v>1187896</v>
      </c>
      <c r="F120" s="678">
        <f t="shared" si="46"/>
        <v>1205896</v>
      </c>
      <c r="G120" s="679">
        <f t="shared" si="46"/>
        <v>1224096</v>
      </c>
      <c r="H120" s="679">
        <f t="shared" si="46"/>
        <v>1183846</v>
      </c>
      <c r="I120" s="679">
        <f t="shared" si="46"/>
        <v>1185696</v>
      </c>
      <c r="J120" s="679">
        <f t="shared" si="46"/>
        <v>1195512</v>
      </c>
      <c r="K120" s="680">
        <f t="shared" si="46"/>
        <v>975419</v>
      </c>
      <c r="L120" s="666">
        <f t="shared" si="14"/>
        <v>0.81590063504172272</v>
      </c>
      <c r="M120" s="171">
        <f>J120-I120</f>
        <v>9816</v>
      </c>
    </row>
    <row r="121" spans="1:13" ht="18.75" customHeight="1" x14ac:dyDescent="0.25">
      <c r="A121" s="848" t="s">
        <v>140</v>
      </c>
      <c r="B121" s="849" t="s">
        <v>141</v>
      </c>
      <c r="C121" s="850">
        <f>C61+C63</f>
        <v>409440</v>
      </c>
      <c r="D121" s="850">
        <f t="shared" ref="D121:K121" si="47">D61+D63</f>
        <v>431827</v>
      </c>
      <c r="E121" s="850">
        <f t="shared" si="47"/>
        <v>431827</v>
      </c>
      <c r="F121" s="850">
        <f t="shared" si="47"/>
        <v>431827</v>
      </c>
      <c r="G121" s="850">
        <f t="shared" si="47"/>
        <v>434657</v>
      </c>
      <c r="H121" s="851">
        <f t="shared" si="47"/>
        <v>441057</v>
      </c>
      <c r="I121" s="851">
        <f t="shared" si="47"/>
        <v>440880</v>
      </c>
      <c r="J121" s="851">
        <f t="shared" si="47"/>
        <v>444891</v>
      </c>
      <c r="K121" s="850">
        <f t="shared" si="47"/>
        <v>444890</v>
      </c>
      <c r="L121" s="767">
        <f t="shared" si="14"/>
        <v>0.99999775225841836</v>
      </c>
    </row>
    <row r="122" spans="1:13" ht="18.75" customHeight="1" thickBot="1" x14ac:dyDescent="0.3">
      <c r="A122" s="852" t="s">
        <v>142</v>
      </c>
      <c r="B122" s="755" t="s">
        <v>143</v>
      </c>
      <c r="C122" s="853">
        <v>19000</v>
      </c>
      <c r="D122" s="853">
        <v>19000</v>
      </c>
      <c r="E122" s="853">
        <v>19000</v>
      </c>
      <c r="F122" s="853">
        <v>19000</v>
      </c>
      <c r="G122" s="854">
        <v>19000</v>
      </c>
      <c r="H122" s="854">
        <v>19000</v>
      </c>
      <c r="I122" s="854">
        <v>19000</v>
      </c>
      <c r="J122" s="854">
        <v>19000</v>
      </c>
      <c r="K122" s="855">
        <f>4750*4</f>
        <v>19000</v>
      </c>
      <c r="L122" s="767">
        <f t="shared" si="14"/>
        <v>1</v>
      </c>
    </row>
    <row r="123" spans="1:13" ht="18.75" customHeight="1" thickBot="1" x14ac:dyDescent="0.3">
      <c r="A123" s="856"/>
      <c r="B123" s="857" t="s">
        <v>394</v>
      </c>
      <c r="C123" s="761">
        <f>SUM(C121:C122)</f>
        <v>428440</v>
      </c>
      <c r="D123" s="761">
        <f t="shared" ref="D123:K123" si="48">SUM(D121:D122)</f>
        <v>450827</v>
      </c>
      <c r="E123" s="761">
        <f t="shared" si="48"/>
        <v>450827</v>
      </c>
      <c r="F123" s="761">
        <f t="shared" si="48"/>
        <v>450827</v>
      </c>
      <c r="G123" s="761">
        <f t="shared" si="48"/>
        <v>453657</v>
      </c>
      <c r="H123" s="761">
        <f t="shared" si="48"/>
        <v>460057</v>
      </c>
      <c r="I123" s="761">
        <f t="shared" si="48"/>
        <v>459880</v>
      </c>
      <c r="J123" s="761">
        <f t="shared" si="48"/>
        <v>463891</v>
      </c>
      <c r="K123" s="761">
        <f t="shared" si="48"/>
        <v>463890</v>
      </c>
      <c r="L123" s="767">
        <f t="shared" si="14"/>
        <v>0.99999784432118755</v>
      </c>
    </row>
    <row r="124" spans="1:13" ht="19.5" customHeight="1" x14ac:dyDescent="0.25">
      <c r="A124" s="848" t="s">
        <v>119</v>
      </c>
      <c r="B124" s="849" t="s">
        <v>392</v>
      </c>
      <c r="C124" s="850">
        <f>C64+0</f>
        <v>0</v>
      </c>
      <c r="D124" s="850">
        <f t="shared" ref="D124:G124" si="49">D64+0</f>
        <v>0</v>
      </c>
      <c r="E124" s="850">
        <f t="shared" si="49"/>
        <v>0</v>
      </c>
      <c r="F124" s="850">
        <f t="shared" si="49"/>
        <v>0</v>
      </c>
      <c r="G124" s="850">
        <f t="shared" si="49"/>
        <v>0</v>
      </c>
      <c r="H124" s="851">
        <v>69000</v>
      </c>
      <c r="I124" s="850">
        <v>69000</v>
      </c>
      <c r="J124" s="851">
        <f>69000+1</f>
        <v>69001</v>
      </c>
      <c r="K124" s="850">
        <v>69000</v>
      </c>
      <c r="L124" s="767">
        <f t="shared" si="14"/>
        <v>0.99998550745641368</v>
      </c>
    </row>
    <row r="125" spans="1:13" ht="26.25" customHeight="1" thickBot="1" x14ac:dyDescent="0.3">
      <c r="A125" s="858" t="s">
        <v>393</v>
      </c>
      <c r="B125" s="859"/>
      <c r="C125" s="860">
        <f>C123+C124</f>
        <v>428440</v>
      </c>
      <c r="D125" s="860">
        <f t="shared" ref="D125:K125" si="50">D123+D124</f>
        <v>450827</v>
      </c>
      <c r="E125" s="860">
        <f t="shared" si="50"/>
        <v>450827</v>
      </c>
      <c r="F125" s="860">
        <f t="shared" si="50"/>
        <v>450827</v>
      </c>
      <c r="G125" s="860">
        <f t="shared" si="50"/>
        <v>453657</v>
      </c>
      <c r="H125" s="860">
        <f t="shared" si="50"/>
        <v>529057</v>
      </c>
      <c r="I125" s="860">
        <f t="shared" si="50"/>
        <v>528880</v>
      </c>
      <c r="J125" s="860">
        <f t="shared" si="50"/>
        <v>532892</v>
      </c>
      <c r="K125" s="860">
        <f t="shared" si="50"/>
        <v>532890</v>
      </c>
      <c r="L125" s="767">
        <f t="shared" si="14"/>
        <v>0.999996246894305</v>
      </c>
      <c r="M125" s="171">
        <f>J125-I125</f>
        <v>4012</v>
      </c>
    </row>
    <row r="126" spans="1:13" ht="20.25" customHeight="1" thickBot="1" x14ac:dyDescent="0.3">
      <c r="A126" s="681" t="s">
        <v>395</v>
      </c>
      <c r="B126" s="672"/>
      <c r="C126" s="682">
        <f>C120+C125</f>
        <v>1609140</v>
      </c>
      <c r="D126" s="682">
        <f t="shared" ref="D126:K126" si="51">D120+D125</f>
        <v>1633723</v>
      </c>
      <c r="E126" s="682">
        <f t="shared" si="51"/>
        <v>1638723</v>
      </c>
      <c r="F126" s="682">
        <f t="shared" si="51"/>
        <v>1656723</v>
      </c>
      <c r="G126" s="682">
        <f t="shared" si="51"/>
        <v>1677753</v>
      </c>
      <c r="H126" s="682">
        <f t="shared" si="51"/>
        <v>1712903</v>
      </c>
      <c r="I126" s="682">
        <f t="shared" si="51"/>
        <v>1714576</v>
      </c>
      <c r="J126" s="682">
        <f t="shared" si="51"/>
        <v>1728404</v>
      </c>
      <c r="K126" s="682">
        <f t="shared" si="51"/>
        <v>1508309</v>
      </c>
      <c r="L126" s="666">
        <f t="shared" si="14"/>
        <v>0.8726599799583894</v>
      </c>
      <c r="M126" s="171">
        <f>J126-I126</f>
        <v>13828</v>
      </c>
    </row>
    <row r="127" spans="1:13" ht="16.5" customHeight="1" x14ac:dyDescent="0.25">
      <c r="A127" s="683"/>
      <c r="B127" s="683"/>
      <c r="C127" s="683"/>
      <c r="D127" s="683"/>
      <c r="E127" s="683"/>
      <c r="F127" s="683"/>
      <c r="G127" s="683"/>
      <c r="H127" s="683"/>
      <c r="I127" s="683"/>
      <c r="J127" s="683"/>
      <c r="K127" s="683"/>
      <c r="L127" s="683"/>
    </row>
    <row r="128" spans="1:13" x14ac:dyDescent="0.25">
      <c r="A128" s="683"/>
      <c r="B128" s="683"/>
      <c r="C128" s="683"/>
      <c r="D128" s="683"/>
      <c r="E128" s="683"/>
      <c r="F128" s="683"/>
      <c r="G128" s="683"/>
      <c r="H128" s="683"/>
      <c r="I128" s="683"/>
      <c r="J128" s="683"/>
      <c r="K128" s="683"/>
      <c r="L128" s="683"/>
    </row>
    <row r="129" spans="1:16" ht="15" customHeight="1" thickBot="1" x14ac:dyDescent="0.3">
      <c r="A129" s="964" t="s">
        <v>146</v>
      </c>
      <c r="B129" s="965"/>
      <c r="C129" s="965"/>
      <c r="D129" s="965"/>
      <c r="E129" s="965"/>
      <c r="F129" s="965"/>
      <c r="G129" s="965"/>
      <c r="H129" s="965"/>
      <c r="I129" s="965"/>
      <c r="J129" s="965"/>
      <c r="K129" s="965"/>
      <c r="L129" s="965"/>
    </row>
    <row r="130" spans="1:16" x14ac:dyDescent="0.25">
      <c r="A130" s="978" t="s">
        <v>1</v>
      </c>
      <c r="B130" s="959"/>
      <c r="C130" s="981">
        <v>2017</v>
      </c>
      <c r="D130" s="981" t="s">
        <v>235</v>
      </c>
      <c r="E130" s="981" t="s">
        <v>279</v>
      </c>
      <c r="F130" s="981" t="s">
        <v>310</v>
      </c>
      <c r="G130" s="981" t="s">
        <v>348</v>
      </c>
      <c r="H130" s="981" t="s">
        <v>386</v>
      </c>
      <c r="I130" s="981" t="s">
        <v>471</v>
      </c>
      <c r="J130" s="981" t="s">
        <v>480</v>
      </c>
      <c r="K130" s="966" t="s">
        <v>498</v>
      </c>
      <c r="L130" s="611" t="s">
        <v>280</v>
      </c>
    </row>
    <row r="131" spans="1:16" ht="15.75" thickBot="1" x14ac:dyDescent="0.3">
      <c r="A131" s="979"/>
      <c r="B131" s="980"/>
      <c r="C131" s="982"/>
      <c r="D131" s="982"/>
      <c r="E131" s="982"/>
      <c r="F131" s="982"/>
      <c r="G131" s="982"/>
      <c r="H131" s="982"/>
      <c r="I131" s="982"/>
      <c r="J131" s="982"/>
      <c r="K131" s="967"/>
      <c r="L131" s="612" t="s">
        <v>281</v>
      </c>
    </row>
    <row r="132" spans="1:16" ht="16.5" thickBot="1" x14ac:dyDescent="0.3">
      <c r="A132" s="976" t="s">
        <v>147</v>
      </c>
      <c r="B132" s="977"/>
      <c r="C132" s="684">
        <f t="shared" ref="C132:K132" si="52">SUM(C133:C141)</f>
        <v>1669100</v>
      </c>
      <c r="D132" s="684">
        <f t="shared" si="52"/>
        <v>1653200</v>
      </c>
      <c r="E132" s="684">
        <f t="shared" si="52"/>
        <v>1748000</v>
      </c>
      <c r="F132" s="684">
        <f t="shared" si="52"/>
        <v>1748000</v>
      </c>
      <c r="G132" s="684">
        <f t="shared" si="52"/>
        <v>1778000</v>
      </c>
      <c r="H132" s="684">
        <f t="shared" si="52"/>
        <v>18800</v>
      </c>
      <c r="I132" s="684">
        <f t="shared" si="52"/>
        <v>18800</v>
      </c>
      <c r="J132" s="684">
        <f t="shared" si="52"/>
        <v>18800</v>
      </c>
      <c r="K132" s="685">
        <f t="shared" si="52"/>
        <v>15234</v>
      </c>
      <c r="L132" s="686">
        <f>K132/J132</f>
        <v>0.81031914893617019</v>
      </c>
      <c r="M132" s="171"/>
      <c r="N132" s="171">
        <f>J132-I132</f>
        <v>0</v>
      </c>
    </row>
    <row r="133" spans="1:16" x14ac:dyDescent="0.25">
      <c r="A133" s="907">
        <v>231</v>
      </c>
      <c r="B133" s="804" t="s">
        <v>148</v>
      </c>
      <c r="C133" s="908">
        <v>0</v>
      </c>
      <c r="D133" s="908">
        <v>0</v>
      </c>
      <c r="E133" s="908">
        <v>0</v>
      </c>
      <c r="F133" s="908">
        <v>0</v>
      </c>
      <c r="G133" s="909">
        <v>0</v>
      </c>
      <c r="H133" s="908">
        <v>0</v>
      </c>
      <c r="I133" s="908">
        <v>0</v>
      </c>
      <c r="J133" s="908">
        <v>0</v>
      </c>
      <c r="K133" s="910">
        <v>0</v>
      </c>
      <c r="L133" s="686">
        <v>0</v>
      </c>
      <c r="P133" s="178"/>
    </row>
    <row r="134" spans="1:16" ht="15.75" thickBot="1" x14ac:dyDescent="0.3">
      <c r="A134" s="922">
        <v>233</v>
      </c>
      <c r="B134" s="814" t="s">
        <v>149</v>
      </c>
      <c r="C134" s="923">
        <v>1000</v>
      </c>
      <c r="D134" s="923">
        <v>1000</v>
      </c>
      <c r="E134" s="923">
        <v>1000</v>
      </c>
      <c r="F134" s="923">
        <v>1000</v>
      </c>
      <c r="G134" s="923">
        <v>1000</v>
      </c>
      <c r="H134" s="924">
        <f>1000+5300</f>
        <v>6300</v>
      </c>
      <c r="I134" s="923">
        <f>1000+5300</f>
        <v>6300</v>
      </c>
      <c r="J134" s="923">
        <f>1000+5300</f>
        <v>6300</v>
      </c>
      <c r="K134" s="925">
        <v>5251</v>
      </c>
      <c r="L134" s="686">
        <f t="shared" ref="L134:L167" si="53">K134/J134</f>
        <v>0.83349206349206351</v>
      </c>
      <c r="M134" s="171">
        <f>SUM(J133:J134)</f>
        <v>6300</v>
      </c>
      <c r="N134" s="171">
        <f>SUM(K133:K134)</f>
        <v>5251</v>
      </c>
    </row>
    <row r="135" spans="1:16" x14ac:dyDescent="0.25">
      <c r="A135" s="918">
        <v>322</v>
      </c>
      <c r="B135" s="768" t="s">
        <v>192</v>
      </c>
      <c r="C135" s="919">
        <v>134200</v>
      </c>
      <c r="D135" s="919">
        <v>134200</v>
      </c>
      <c r="E135" s="920">
        <f>134200+65800</f>
        <v>200000</v>
      </c>
      <c r="F135" s="919">
        <f>134200+65800</f>
        <v>200000</v>
      </c>
      <c r="G135" s="919">
        <f>134200+65800</f>
        <v>200000</v>
      </c>
      <c r="H135" s="920">
        <v>0</v>
      </c>
      <c r="I135" s="919">
        <v>0</v>
      </c>
      <c r="J135" s="919">
        <v>0</v>
      </c>
      <c r="K135" s="921">
        <v>0</v>
      </c>
      <c r="L135" s="686">
        <v>0</v>
      </c>
    </row>
    <row r="136" spans="1:16" x14ac:dyDescent="0.25">
      <c r="A136" s="912">
        <v>322</v>
      </c>
      <c r="B136" s="747" t="s">
        <v>193</v>
      </c>
      <c r="C136" s="913">
        <v>155400</v>
      </c>
      <c r="D136" s="913">
        <v>155400</v>
      </c>
      <c r="E136" s="913">
        <v>155400</v>
      </c>
      <c r="F136" s="913">
        <v>155400</v>
      </c>
      <c r="G136" s="913">
        <v>155400</v>
      </c>
      <c r="H136" s="914">
        <v>0</v>
      </c>
      <c r="I136" s="913">
        <v>0</v>
      </c>
      <c r="J136" s="913">
        <v>0</v>
      </c>
      <c r="K136" s="911">
        <v>0</v>
      </c>
      <c r="L136" s="686">
        <v>0</v>
      </c>
    </row>
    <row r="137" spans="1:16" x14ac:dyDescent="0.25">
      <c r="A137" s="912">
        <v>322</v>
      </c>
      <c r="B137" s="747" t="s">
        <v>194</v>
      </c>
      <c r="C137" s="913">
        <v>39900</v>
      </c>
      <c r="D137" s="914">
        <f>39900-15900</f>
        <v>24000</v>
      </c>
      <c r="E137" s="913">
        <f>39900-15900</f>
        <v>24000</v>
      </c>
      <c r="F137" s="913">
        <f>39900-15900</f>
        <v>24000</v>
      </c>
      <c r="G137" s="913">
        <f>39900-15900</f>
        <v>24000</v>
      </c>
      <c r="H137" s="914">
        <v>0</v>
      </c>
      <c r="I137" s="913">
        <v>0</v>
      </c>
      <c r="J137" s="913">
        <v>0</v>
      </c>
      <c r="K137" s="911">
        <v>0</v>
      </c>
      <c r="L137" s="686">
        <v>0</v>
      </c>
    </row>
    <row r="138" spans="1:16" x14ac:dyDescent="0.25">
      <c r="A138" s="912">
        <v>322</v>
      </c>
      <c r="B138" s="747" t="s">
        <v>195</v>
      </c>
      <c r="C138" s="913">
        <v>1222600</v>
      </c>
      <c r="D138" s="913">
        <v>1222600</v>
      </c>
      <c r="E138" s="913">
        <v>1222600</v>
      </c>
      <c r="F138" s="913">
        <v>1222600</v>
      </c>
      <c r="G138" s="913">
        <v>1222600</v>
      </c>
      <c r="H138" s="914">
        <v>0</v>
      </c>
      <c r="I138" s="913">
        <v>0</v>
      </c>
      <c r="J138" s="913">
        <v>0</v>
      </c>
      <c r="K138" s="911">
        <v>0</v>
      </c>
      <c r="L138" s="686">
        <v>0</v>
      </c>
    </row>
    <row r="139" spans="1:16" x14ac:dyDescent="0.25">
      <c r="A139" s="912">
        <v>322</v>
      </c>
      <c r="B139" s="747" t="s">
        <v>196</v>
      </c>
      <c r="C139" s="913">
        <v>103500</v>
      </c>
      <c r="D139" s="913">
        <v>103500</v>
      </c>
      <c r="E139" s="914">
        <f>103500+29000</f>
        <v>132500</v>
      </c>
      <c r="F139" s="913">
        <f>103500+29000</f>
        <v>132500</v>
      </c>
      <c r="G139" s="913">
        <f>103500+29000</f>
        <v>132500</v>
      </c>
      <c r="H139" s="914">
        <v>0</v>
      </c>
      <c r="I139" s="913">
        <v>0</v>
      </c>
      <c r="J139" s="913">
        <v>0</v>
      </c>
      <c r="K139" s="911">
        <v>0</v>
      </c>
      <c r="L139" s="686">
        <v>0</v>
      </c>
    </row>
    <row r="140" spans="1:16" x14ac:dyDescent="0.25">
      <c r="A140" s="912">
        <v>322</v>
      </c>
      <c r="B140" s="747" t="s">
        <v>352</v>
      </c>
      <c r="C140" s="913">
        <v>0</v>
      </c>
      <c r="D140" s="913">
        <v>0</v>
      </c>
      <c r="E140" s="913">
        <v>0</v>
      </c>
      <c r="F140" s="913">
        <v>0</v>
      </c>
      <c r="G140" s="914">
        <v>30000</v>
      </c>
      <c r="H140" s="914">
        <v>0</v>
      </c>
      <c r="I140" s="913">
        <v>0</v>
      </c>
      <c r="J140" s="913">
        <v>0</v>
      </c>
      <c r="K140" s="911">
        <v>0</v>
      </c>
      <c r="L140" s="686">
        <v>0</v>
      </c>
    </row>
    <row r="141" spans="1:16" ht="15.75" thickBot="1" x14ac:dyDescent="0.3">
      <c r="A141" s="915">
        <v>322</v>
      </c>
      <c r="B141" s="863" t="s">
        <v>150</v>
      </c>
      <c r="C141" s="916">
        <v>12500</v>
      </c>
      <c r="D141" s="916">
        <v>12500</v>
      </c>
      <c r="E141" s="916">
        <v>12500</v>
      </c>
      <c r="F141" s="916">
        <v>12500</v>
      </c>
      <c r="G141" s="916">
        <v>12500</v>
      </c>
      <c r="H141" s="916">
        <v>12500</v>
      </c>
      <c r="I141" s="916">
        <v>12500</v>
      </c>
      <c r="J141" s="916">
        <v>12500</v>
      </c>
      <c r="K141" s="917">
        <v>9983</v>
      </c>
      <c r="L141" s="686">
        <f t="shared" si="53"/>
        <v>0.79864000000000002</v>
      </c>
      <c r="M141" s="171">
        <f>SUM(J135:J141)</f>
        <v>12500</v>
      </c>
      <c r="N141" s="171">
        <f>SUM(K135:K141)</f>
        <v>9983</v>
      </c>
    </row>
    <row r="142" spans="1:16" ht="16.5" thickBot="1" x14ac:dyDescent="0.3">
      <c r="A142" s="976" t="s">
        <v>151</v>
      </c>
      <c r="B142" s="977"/>
      <c r="C142" s="684">
        <f t="shared" ref="C142:K142" si="54">SUM(C143:C167)</f>
        <v>2481900</v>
      </c>
      <c r="D142" s="684">
        <f t="shared" si="54"/>
        <v>2481900</v>
      </c>
      <c r="E142" s="684">
        <f t="shared" si="54"/>
        <v>2595700</v>
      </c>
      <c r="F142" s="684">
        <f t="shared" si="54"/>
        <v>2606700</v>
      </c>
      <c r="G142" s="684">
        <f t="shared" si="54"/>
        <v>2665600</v>
      </c>
      <c r="H142" s="684">
        <f t="shared" ref="H142:J142" si="55">SUM(H143:H167)</f>
        <v>257900</v>
      </c>
      <c r="I142" s="684">
        <f t="shared" si="55"/>
        <v>257900</v>
      </c>
      <c r="J142" s="684">
        <f t="shared" si="55"/>
        <v>257650</v>
      </c>
      <c r="K142" s="685">
        <f t="shared" si="54"/>
        <v>227336</v>
      </c>
      <c r="L142" s="686">
        <f t="shared" si="53"/>
        <v>0.88234426547642153</v>
      </c>
      <c r="M142" s="171"/>
      <c r="N142" s="171">
        <f>J142-I142</f>
        <v>-250</v>
      </c>
    </row>
    <row r="143" spans="1:16" x14ac:dyDescent="0.25">
      <c r="A143" s="841" t="s">
        <v>59</v>
      </c>
      <c r="B143" s="804" t="s">
        <v>185</v>
      </c>
      <c r="C143" s="864">
        <v>3000</v>
      </c>
      <c r="D143" s="864">
        <v>3000</v>
      </c>
      <c r="E143" s="864">
        <v>3000</v>
      </c>
      <c r="F143" s="864">
        <v>3000</v>
      </c>
      <c r="G143" s="864">
        <v>3000</v>
      </c>
      <c r="H143" s="865">
        <v>0</v>
      </c>
      <c r="I143" s="866">
        <v>0</v>
      </c>
      <c r="J143" s="866">
        <v>0</v>
      </c>
      <c r="K143" s="866">
        <v>0</v>
      </c>
      <c r="L143" s="686">
        <v>0</v>
      </c>
    </row>
    <row r="144" spans="1:16" ht="15.75" thickBot="1" x14ac:dyDescent="0.3">
      <c r="A144" s="867" t="s">
        <v>59</v>
      </c>
      <c r="B144" s="814" t="s">
        <v>184</v>
      </c>
      <c r="C144" s="868">
        <v>108200</v>
      </c>
      <c r="D144" s="868">
        <v>108200</v>
      </c>
      <c r="E144" s="869">
        <f>108200+31800</f>
        <v>140000</v>
      </c>
      <c r="F144" s="868">
        <f>108200+31800</f>
        <v>140000</v>
      </c>
      <c r="G144" s="868">
        <f>108200+31800</f>
        <v>140000</v>
      </c>
      <c r="H144" s="870">
        <v>0</v>
      </c>
      <c r="I144" s="871">
        <v>0</v>
      </c>
      <c r="J144" s="871">
        <v>0</v>
      </c>
      <c r="K144" s="871">
        <v>0</v>
      </c>
      <c r="L144" s="686">
        <v>0</v>
      </c>
      <c r="N144" s="171"/>
      <c r="P144" s="142"/>
    </row>
    <row r="145" spans="1:16" x14ac:dyDescent="0.25">
      <c r="A145" s="872" t="s">
        <v>71</v>
      </c>
      <c r="B145" s="768" t="s">
        <v>353</v>
      </c>
      <c r="C145" s="873">
        <v>0</v>
      </c>
      <c r="D145" s="873">
        <v>0</v>
      </c>
      <c r="E145" s="873">
        <v>0</v>
      </c>
      <c r="F145" s="873">
        <v>0</v>
      </c>
      <c r="G145" s="874">
        <v>32000</v>
      </c>
      <c r="H145" s="874">
        <v>0</v>
      </c>
      <c r="I145" s="873">
        <v>0</v>
      </c>
      <c r="J145" s="873">
        <v>0</v>
      </c>
      <c r="K145" s="875">
        <v>0</v>
      </c>
      <c r="L145" s="686">
        <v>0</v>
      </c>
      <c r="N145" s="171"/>
      <c r="P145" s="142"/>
    </row>
    <row r="146" spans="1:16" ht="15.75" thickBot="1" x14ac:dyDescent="0.3">
      <c r="A146" s="670" t="s">
        <v>73</v>
      </c>
      <c r="B146" s="863" t="s">
        <v>152</v>
      </c>
      <c r="C146" s="876">
        <v>14800</v>
      </c>
      <c r="D146" s="876">
        <v>14800</v>
      </c>
      <c r="E146" s="876">
        <v>14800</v>
      </c>
      <c r="F146" s="876">
        <v>14800</v>
      </c>
      <c r="G146" s="876">
        <v>14800</v>
      </c>
      <c r="H146" s="876">
        <v>14800</v>
      </c>
      <c r="I146" s="876">
        <v>14800</v>
      </c>
      <c r="J146" s="876">
        <v>14800</v>
      </c>
      <c r="K146" s="877">
        <v>11867</v>
      </c>
      <c r="L146" s="686">
        <f t="shared" si="53"/>
        <v>0.80182432432432438</v>
      </c>
      <c r="N146" s="171"/>
      <c r="O146" s="140"/>
    </row>
    <row r="147" spans="1:16" x14ac:dyDescent="0.25">
      <c r="A147" s="878" t="s">
        <v>78</v>
      </c>
      <c r="B147" s="618" t="s">
        <v>301</v>
      </c>
      <c r="C147" s="873">
        <v>0</v>
      </c>
      <c r="D147" s="873">
        <v>0</v>
      </c>
      <c r="E147" s="874">
        <v>5000</v>
      </c>
      <c r="F147" s="874">
        <f>5000+2000</f>
        <v>7000</v>
      </c>
      <c r="G147" s="873">
        <f>5000+2000</f>
        <v>7000</v>
      </c>
      <c r="H147" s="874">
        <v>0</v>
      </c>
      <c r="I147" s="873">
        <v>0</v>
      </c>
      <c r="J147" s="873">
        <v>0</v>
      </c>
      <c r="K147" s="875">
        <v>0</v>
      </c>
      <c r="L147" s="686">
        <v>0</v>
      </c>
      <c r="O147" s="140"/>
    </row>
    <row r="148" spans="1:16" x14ac:dyDescent="0.25">
      <c r="A148" s="878" t="s">
        <v>80</v>
      </c>
      <c r="B148" s="618" t="s">
        <v>153</v>
      </c>
      <c r="C148" s="873">
        <v>10000</v>
      </c>
      <c r="D148" s="873">
        <v>10000</v>
      </c>
      <c r="E148" s="873">
        <v>10000</v>
      </c>
      <c r="F148" s="873">
        <v>10000</v>
      </c>
      <c r="G148" s="874">
        <v>0</v>
      </c>
      <c r="H148" s="873">
        <v>0</v>
      </c>
      <c r="I148" s="873">
        <v>0</v>
      </c>
      <c r="J148" s="873">
        <v>0</v>
      </c>
      <c r="K148" s="875">
        <v>0</v>
      </c>
      <c r="L148" s="686">
        <v>0</v>
      </c>
    </row>
    <row r="149" spans="1:16" ht="15.75" thickBot="1" x14ac:dyDescent="0.3">
      <c r="A149" s="879" t="s">
        <v>80</v>
      </c>
      <c r="B149" s="880" t="s">
        <v>197</v>
      </c>
      <c r="C149" s="868">
        <v>40000</v>
      </c>
      <c r="D149" s="868">
        <v>40000</v>
      </c>
      <c r="E149" s="868">
        <v>40000</v>
      </c>
      <c r="F149" s="869">
        <v>0</v>
      </c>
      <c r="G149" s="868">
        <v>0</v>
      </c>
      <c r="H149" s="868">
        <v>0</v>
      </c>
      <c r="I149" s="868">
        <v>0</v>
      </c>
      <c r="J149" s="868">
        <v>0</v>
      </c>
      <c r="K149" s="875">
        <v>0</v>
      </c>
      <c r="L149" s="686">
        <v>0</v>
      </c>
    </row>
    <row r="150" spans="1:16" x14ac:dyDescent="0.25">
      <c r="A150" s="881" t="s">
        <v>87</v>
      </c>
      <c r="B150" s="882" t="s">
        <v>318</v>
      </c>
      <c r="C150" s="883">
        <v>0</v>
      </c>
      <c r="D150" s="883">
        <v>0</v>
      </c>
      <c r="E150" s="883">
        <v>0</v>
      </c>
      <c r="F150" s="884">
        <v>2000</v>
      </c>
      <c r="G150" s="883">
        <v>2000</v>
      </c>
      <c r="H150" s="883">
        <v>2000</v>
      </c>
      <c r="I150" s="883">
        <v>2000</v>
      </c>
      <c r="J150" s="883">
        <v>2000</v>
      </c>
      <c r="K150" s="885">
        <v>1498</v>
      </c>
      <c r="L150" s="686">
        <f t="shared" si="53"/>
        <v>0.749</v>
      </c>
    </row>
    <row r="151" spans="1:16" ht="16.5" customHeight="1" thickBot="1" x14ac:dyDescent="0.3">
      <c r="A151" s="823" t="s">
        <v>87</v>
      </c>
      <c r="B151" s="880" t="s">
        <v>198</v>
      </c>
      <c r="C151" s="868">
        <v>1287000</v>
      </c>
      <c r="D151" s="868">
        <v>1287000</v>
      </c>
      <c r="E151" s="868">
        <v>1287000</v>
      </c>
      <c r="F151" s="868">
        <v>1287000</v>
      </c>
      <c r="G151" s="868">
        <v>1287000</v>
      </c>
      <c r="H151" s="869">
        <v>0</v>
      </c>
      <c r="I151" s="868">
        <v>0</v>
      </c>
      <c r="J151" s="868">
        <v>0</v>
      </c>
      <c r="K151" s="871">
        <v>0</v>
      </c>
      <c r="L151" s="686">
        <v>0</v>
      </c>
      <c r="O151" s="141"/>
    </row>
    <row r="152" spans="1:16" x14ac:dyDescent="0.25">
      <c r="A152" s="886" t="s">
        <v>154</v>
      </c>
      <c r="B152" s="887" t="s">
        <v>190</v>
      </c>
      <c r="C152" s="883">
        <v>0</v>
      </c>
      <c r="D152" s="883">
        <v>0</v>
      </c>
      <c r="E152" s="883">
        <v>0</v>
      </c>
      <c r="F152" s="884">
        <v>7000</v>
      </c>
      <c r="G152" s="883">
        <f>10000-3000</f>
        <v>7000</v>
      </c>
      <c r="H152" s="883">
        <f>10000-3000</f>
        <v>7000</v>
      </c>
      <c r="I152" s="883">
        <f>10000-3000</f>
        <v>7000</v>
      </c>
      <c r="J152" s="883">
        <f>10000-3000</f>
        <v>7000</v>
      </c>
      <c r="K152" s="888">
        <v>2107</v>
      </c>
      <c r="L152" s="686">
        <f t="shared" si="53"/>
        <v>0.30099999999999999</v>
      </c>
    </row>
    <row r="153" spans="1:16" x14ac:dyDescent="0.25">
      <c r="A153" s="889" t="s">
        <v>154</v>
      </c>
      <c r="B153" s="890" t="s">
        <v>295</v>
      </c>
      <c r="C153" s="891">
        <v>50000</v>
      </c>
      <c r="D153" s="891">
        <v>50000</v>
      </c>
      <c r="E153" s="892">
        <f>50000+4000</f>
        <v>54000</v>
      </c>
      <c r="F153" s="891">
        <f>50000+4000</f>
        <v>54000</v>
      </c>
      <c r="G153" s="892">
        <f>50000+4000+10500</f>
        <v>64500</v>
      </c>
      <c r="H153" s="891">
        <f>50000+4000+10500</f>
        <v>64500</v>
      </c>
      <c r="I153" s="891">
        <f>50000+4000+10500</f>
        <v>64500</v>
      </c>
      <c r="J153" s="891">
        <f>50000+4000+10500</f>
        <v>64500</v>
      </c>
      <c r="K153" s="893">
        <f>612+48650</f>
        <v>49262</v>
      </c>
      <c r="L153" s="686">
        <f t="shared" si="53"/>
        <v>0.76375193798449614</v>
      </c>
      <c r="P153" s="157"/>
    </row>
    <row r="154" spans="1:16" ht="15.75" thickBot="1" x14ac:dyDescent="0.3">
      <c r="A154" s="894" t="s">
        <v>154</v>
      </c>
      <c r="B154" s="626" t="s">
        <v>323</v>
      </c>
      <c r="C154" s="868">
        <v>0</v>
      </c>
      <c r="D154" s="868">
        <v>0</v>
      </c>
      <c r="E154" s="868">
        <v>0</v>
      </c>
      <c r="F154" s="869">
        <v>40000</v>
      </c>
      <c r="G154" s="868">
        <v>40000</v>
      </c>
      <c r="H154" s="869">
        <f>40000-4000</f>
        <v>36000</v>
      </c>
      <c r="I154" s="868">
        <f>40000-4000</f>
        <v>36000</v>
      </c>
      <c r="J154" s="868">
        <f>40000-4000</f>
        <v>36000</v>
      </c>
      <c r="K154" s="871">
        <v>34597</v>
      </c>
      <c r="L154" s="686">
        <f t="shared" si="53"/>
        <v>0.96102777777777781</v>
      </c>
      <c r="P154" s="138"/>
    </row>
    <row r="155" spans="1:16" ht="16.5" customHeight="1" x14ac:dyDescent="0.25">
      <c r="A155" s="895" t="s">
        <v>93</v>
      </c>
      <c r="B155" s="896" t="s">
        <v>293</v>
      </c>
      <c r="C155" s="897">
        <v>0</v>
      </c>
      <c r="D155" s="897">
        <v>0</v>
      </c>
      <c r="E155" s="898">
        <v>1000</v>
      </c>
      <c r="F155" s="897">
        <v>1000</v>
      </c>
      <c r="G155" s="897">
        <v>1000</v>
      </c>
      <c r="H155" s="897">
        <v>1000</v>
      </c>
      <c r="I155" s="897">
        <v>1000</v>
      </c>
      <c r="J155" s="897">
        <v>1000</v>
      </c>
      <c r="K155" s="899">
        <v>869</v>
      </c>
      <c r="L155" s="686">
        <f t="shared" si="53"/>
        <v>0.86899999999999999</v>
      </c>
    </row>
    <row r="156" spans="1:16" ht="15.75" customHeight="1" x14ac:dyDescent="0.25">
      <c r="A156" s="900" t="s">
        <v>93</v>
      </c>
      <c r="B156" s="901" t="s">
        <v>343</v>
      </c>
      <c r="C156" s="873">
        <v>0</v>
      </c>
      <c r="D156" s="873">
        <v>0</v>
      </c>
      <c r="E156" s="873">
        <v>0</v>
      </c>
      <c r="F156" s="873">
        <v>0</v>
      </c>
      <c r="G156" s="874">
        <v>4500</v>
      </c>
      <c r="H156" s="873">
        <v>4500</v>
      </c>
      <c r="I156" s="873">
        <v>4500</v>
      </c>
      <c r="J156" s="873">
        <v>4500</v>
      </c>
      <c r="K156" s="875">
        <v>3696</v>
      </c>
      <c r="L156" s="686">
        <f t="shared" si="53"/>
        <v>0.82133333333333336</v>
      </c>
    </row>
    <row r="157" spans="1:16" ht="15" customHeight="1" thickBot="1" x14ac:dyDescent="0.3">
      <c r="A157" s="902" t="s">
        <v>97</v>
      </c>
      <c r="B157" s="903" t="s">
        <v>334</v>
      </c>
      <c r="C157" s="876">
        <v>163600</v>
      </c>
      <c r="D157" s="876">
        <v>163600</v>
      </c>
      <c r="E157" s="876">
        <v>163600</v>
      </c>
      <c r="F157" s="876">
        <v>163600</v>
      </c>
      <c r="G157" s="876">
        <v>163600</v>
      </c>
      <c r="H157" s="904">
        <v>0</v>
      </c>
      <c r="I157" s="876">
        <v>0</v>
      </c>
      <c r="J157" s="876">
        <v>0</v>
      </c>
      <c r="K157" s="871">
        <v>0</v>
      </c>
      <c r="L157" s="686">
        <v>0</v>
      </c>
      <c r="M157" s="140"/>
    </row>
    <row r="158" spans="1:16" x14ac:dyDescent="0.25">
      <c r="A158" s="900" t="s">
        <v>107</v>
      </c>
      <c r="B158" s="901" t="s">
        <v>207</v>
      </c>
      <c r="C158" s="873">
        <v>42000</v>
      </c>
      <c r="D158" s="873">
        <v>42000</v>
      </c>
      <c r="E158" s="873">
        <v>42000</v>
      </c>
      <c r="F158" s="873">
        <v>42000</v>
      </c>
      <c r="G158" s="874">
        <f>42000-4500</f>
        <v>37500</v>
      </c>
      <c r="H158" s="874">
        <v>0</v>
      </c>
      <c r="I158" s="873">
        <v>0</v>
      </c>
      <c r="J158" s="873">
        <v>0</v>
      </c>
      <c r="K158" s="888">
        <v>0</v>
      </c>
      <c r="L158" s="686">
        <v>0</v>
      </c>
      <c r="M158" s="140"/>
      <c r="O158" s="157"/>
    </row>
    <row r="159" spans="1:16" x14ac:dyDescent="0.25">
      <c r="A159" s="889" t="s">
        <v>107</v>
      </c>
      <c r="B159" s="890" t="s">
        <v>205</v>
      </c>
      <c r="C159" s="891">
        <v>56400</v>
      </c>
      <c r="D159" s="891">
        <v>56400</v>
      </c>
      <c r="E159" s="891">
        <v>56400</v>
      </c>
      <c r="F159" s="891">
        <v>56400</v>
      </c>
      <c r="G159" s="892">
        <f>56400-4400</f>
        <v>52000</v>
      </c>
      <c r="H159" s="891">
        <f>56400-4400</f>
        <v>52000</v>
      </c>
      <c r="I159" s="891">
        <f>56400-4400</f>
        <v>52000</v>
      </c>
      <c r="J159" s="892">
        <f>56400-4400-250</f>
        <v>51750</v>
      </c>
      <c r="K159" s="893">
        <v>51725</v>
      </c>
      <c r="L159" s="686">
        <f t="shared" si="53"/>
        <v>0.99951690821256034</v>
      </c>
      <c r="M159" s="140"/>
      <c r="N159" s="138"/>
      <c r="O159" s="157"/>
    </row>
    <row r="160" spans="1:16" x14ac:dyDescent="0.25">
      <c r="A160" s="889" t="s">
        <v>107</v>
      </c>
      <c r="B160" s="890" t="s">
        <v>188</v>
      </c>
      <c r="C160" s="891">
        <v>10000</v>
      </c>
      <c r="D160" s="891">
        <v>10000</v>
      </c>
      <c r="E160" s="891">
        <v>10000</v>
      </c>
      <c r="F160" s="891">
        <v>10000</v>
      </c>
      <c r="G160" s="891">
        <v>10000</v>
      </c>
      <c r="H160" s="892">
        <v>0</v>
      </c>
      <c r="I160" s="891">
        <v>0</v>
      </c>
      <c r="J160" s="891">
        <v>0</v>
      </c>
      <c r="K160" s="893">
        <v>0</v>
      </c>
      <c r="L160" s="686">
        <v>0</v>
      </c>
      <c r="M160" s="140"/>
      <c r="N160" s="157"/>
      <c r="O160" s="157"/>
    </row>
    <row r="161" spans="1:16" x14ac:dyDescent="0.25">
      <c r="A161" s="889" t="s">
        <v>107</v>
      </c>
      <c r="B161" s="890" t="s">
        <v>189</v>
      </c>
      <c r="C161" s="891">
        <v>10000</v>
      </c>
      <c r="D161" s="891">
        <v>10000</v>
      </c>
      <c r="E161" s="891">
        <v>10000</v>
      </c>
      <c r="F161" s="891">
        <v>10000</v>
      </c>
      <c r="G161" s="891">
        <v>10000</v>
      </c>
      <c r="H161" s="891">
        <v>10000</v>
      </c>
      <c r="I161" s="891">
        <v>10000</v>
      </c>
      <c r="J161" s="891">
        <v>10000</v>
      </c>
      <c r="K161" s="893">
        <v>9953</v>
      </c>
      <c r="L161" s="686">
        <f t="shared" si="53"/>
        <v>0.99529999999999996</v>
      </c>
      <c r="M161" s="140"/>
    </row>
    <row r="162" spans="1:16" x14ac:dyDescent="0.25">
      <c r="A162" s="889" t="s">
        <v>107</v>
      </c>
      <c r="B162" s="890" t="s">
        <v>183</v>
      </c>
      <c r="C162" s="891">
        <v>30000</v>
      </c>
      <c r="D162" s="891">
        <v>30000</v>
      </c>
      <c r="E162" s="891">
        <v>30000</v>
      </c>
      <c r="F162" s="891">
        <v>30000</v>
      </c>
      <c r="G162" s="892">
        <f>30000+27000</f>
        <v>57000</v>
      </c>
      <c r="H162" s="892">
        <f>30000+27000-8000</f>
        <v>49000</v>
      </c>
      <c r="I162" s="891">
        <f>30000+27000-8000</f>
        <v>49000</v>
      </c>
      <c r="J162" s="891">
        <f>30000+27000-8000</f>
        <v>49000</v>
      </c>
      <c r="K162" s="893">
        <v>44705</v>
      </c>
      <c r="L162" s="686">
        <f t="shared" si="53"/>
        <v>0.91234693877551021</v>
      </c>
      <c r="M162" s="140"/>
      <c r="N162" s="138"/>
    </row>
    <row r="163" spans="1:16" x14ac:dyDescent="0.25">
      <c r="A163" s="889" t="s">
        <v>109</v>
      </c>
      <c r="B163" s="890" t="s">
        <v>182</v>
      </c>
      <c r="C163" s="891">
        <v>500000</v>
      </c>
      <c r="D163" s="891">
        <v>500000</v>
      </c>
      <c r="E163" s="891">
        <v>500000</v>
      </c>
      <c r="F163" s="891">
        <v>500000</v>
      </c>
      <c r="G163" s="891">
        <v>500000</v>
      </c>
      <c r="H163" s="892">
        <v>0</v>
      </c>
      <c r="I163" s="891">
        <v>0</v>
      </c>
      <c r="J163" s="891">
        <v>0</v>
      </c>
      <c r="K163" s="893">
        <v>0</v>
      </c>
      <c r="L163" s="686">
        <v>0</v>
      </c>
      <c r="M163" s="143"/>
    </row>
    <row r="164" spans="1:16" ht="15.75" thickBot="1" x14ac:dyDescent="0.3">
      <c r="A164" s="905" t="s">
        <v>111</v>
      </c>
      <c r="B164" s="626" t="s">
        <v>156</v>
      </c>
      <c r="C164" s="868">
        <v>2700</v>
      </c>
      <c r="D164" s="868">
        <v>2700</v>
      </c>
      <c r="E164" s="868">
        <v>2700</v>
      </c>
      <c r="F164" s="868">
        <v>2700</v>
      </c>
      <c r="G164" s="868">
        <v>2700</v>
      </c>
      <c r="H164" s="868">
        <v>2700</v>
      </c>
      <c r="I164" s="868">
        <v>2700</v>
      </c>
      <c r="J164" s="868">
        <v>2700</v>
      </c>
      <c r="K164" s="871">
        <v>2698</v>
      </c>
      <c r="L164" s="686">
        <f t="shared" si="53"/>
        <v>0.99925925925925929</v>
      </c>
      <c r="M164" s="143"/>
    </row>
    <row r="165" spans="1:16" x14ac:dyDescent="0.25">
      <c r="A165" s="667" t="s">
        <v>117</v>
      </c>
      <c r="B165" s="618" t="s">
        <v>199</v>
      </c>
      <c r="C165" s="873">
        <v>141200</v>
      </c>
      <c r="D165" s="873">
        <v>141200</v>
      </c>
      <c r="E165" s="874">
        <f>141200+72000</f>
        <v>213200</v>
      </c>
      <c r="F165" s="873">
        <f>141200+72000</f>
        <v>213200</v>
      </c>
      <c r="G165" s="873">
        <f>141200+72000</f>
        <v>213200</v>
      </c>
      <c r="H165" s="874">
        <v>0</v>
      </c>
      <c r="I165" s="873">
        <v>0</v>
      </c>
      <c r="J165" s="873">
        <v>0</v>
      </c>
      <c r="K165" s="875">
        <v>0</v>
      </c>
      <c r="L165" s="686">
        <v>0</v>
      </c>
      <c r="M165" s="143"/>
    </row>
    <row r="166" spans="1:16" ht="15" customHeight="1" x14ac:dyDescent="0.25">
      <c r="A166" s="668" t="s">
        <v>140</v>
      </c>
      <c r="B166" s="622" t="s">
        <v>349</v>
      </c>
      <c r="C166" s="897">
        <v>0</v>
      </c>
      <c r="D166" s="897">
        <v>0</v>
      </c>
      <c r="E166" s="897">
        <v>0</v>
      </c>
      <c r="F166" s="897">
        <v>0</v>
      </c>
      <c r="G166" s="898">
        <v>3800</v>
      </c>
      <c r="H166" s="897">
        <v>3800</v>
      </c>
      <c r="I166" s="897">
        <v>3800</v>
      </c>
      <c r="J166" s="897">
        <v>3800</v>
      </c>
      <c r="K166" s="899">
        <v>3759</v>
      </c>
      <c r="L166" s="686">
        <f t="shared" si="53"/>
        <v>0.98921052631578943</v>
      </c>
      <c r="M166" s="143"/>
    </row>
    <row r="167" spans="1:16" ht="18.75" customHeight="1" thickBot="1" x14ac:dyDescent="0.3">
      <c r="A167" s="906" t="s">
        <v>126</v>
      </c>
      <c r="B167" s="636" t="s">
        <v>314</v>
      </c>
      <c r="C167" s="876">
        <v>13000</v>
      </c>
      <c r="D167" s="876">
        <v>13000</v>
      </c>
      <c r="E167" s="876">
        <v>13000</v>
      </c>
      <c r="F167" s="876">
        <v>13000</v>
      </c>
      <c r="G167" s="876">
        <v>13000</v>
      </c>
      <c r="H167" s="904">
        <f>13000-2400</f>
        <v>10600</v>
      </c>
      <c r="I167" s="876">
        <f>13000-2400</f>
        <v>10600</v>
      </c>
      <c r="J167" s="876">
        <f>13000-2400</f>
        <v>10600</v>
      </c>
      <c r="K167" s="877">
        <v>10600</v>
      </c>
      <c r="L167" s="686">
        <f t="shared" si="53"/>
        <v>1</v>
      </c>
      <c r="M167" s="141"/>
    </row>
    <row r="168" spans="1:16" ht="18.75" customHeight="1" x14ac:dyDescent="0.25">
      <c r="A168" s="687"/>
      <c r="B168" s="688"/>
      <c r="C168" s="140"/>
      <c r="D168" s="140"/>
      <c r="E168" s="140"/>
      <c r="F168" s="140"/>
      <c r="G168" s="140"/>
      <c r="H168" s="140"/>
      <c r="I168" s="140"/>
      <c r="J168" s="140"/>
      <c r="K168" s="683"/>
      <c r="L168" s="683"/>
    </row>
    <row r="169" spans="1:16" x14ac:dyDescent="0.25">
      <c r="A169" s="689"/>
      <c r="B169" s="690"/>
      <c r="C169" s="691" t="s">
        <v>157</v>
      </c>
      <c r="D169" s="691"/>
      <c r="E169" s="691"/>
      <c r="F169" s="691"/>
      <c r="G169" s="691"/>
      <c r="H169" s="691"/>
      <c r="I169" s="691"/>
      <c r="J169" s="691"/>
      <c r="K169" s="683"/>
      <c r="L169" s="683"/>
    </row>
    <row r="170" spans="1:16" ht="15" customHeight="1" thickBot="1" x14ac:dyDescent="0.3">
      <c r="A170" s="983" t="s">
        <v>158</v>
      </c>
      <c r="B170" s="984"/>
      <c r="C170" s="984"/>
      <c r="D170" s="984"/>
      <c r="E170" s="984"/>
      <c r="F170" s="984"/>
      <c r="G170" s="984"/>
      <c r="H170" s="984"/>
      <c r="I170" s="984"/>
      <c r="J170" s="984"/>
      <c r="K170" s="984"/>
      <c r="L170" s="984"/>
    </row>
    <row r="171" spans="1:16" x14ac:dyDescent="0.25">
      <c r="A171" s="978" t="s">
        <v>1</v>
      </c>
      <c r="B171" s="959"/>
      <c r="C171" s="981">
        <v>2017</v>
      </c>
      <c r="D171" s="981" t="s">
        <v>235</v>
      </c>
      <c r="E171" s="981" t="s">
        <v>279</v>
      </c>
      <c r="F171" s="981" t="s">
        <v>310</v>
      </c>
      <c r="G171" s="981" t="s">
        <v>348</v>
      </c>
      <c r="H171" s="981" t="s">
        <v>386</v>
      </c>
      <c r="I171" s="981" t="s">
        <v>471</v>
      </c>
      <c r="J171" s="981" t="s">
        <v>480</v>
      </c>
      <c r="K171" s="966" t="s">
        <v>498</v>
      </c>
      <c r="L171" s="692" t="s">
        <v>280</v>
      </c>
    </row>
    <row r="172" spans="1:16" ht="15.75" thickBot="1" x14ac:dyDescent="0.3">
      <c r="A172" s="979"/>
      <c r="B172" s="980"/>
      <c r="C172" s="982"/>
      <c r="D172" s="982"/>
      <c r="E172" s="982"/>
      <c r="F172" s="982"/>
      <c r="G172" s="982"/>
      <c r="H172" s="982"/>
      <c r="I172" s="982"/>
      <c r="J172" s="982"/>
      <c r="K172" s="967"/>
      <c r="L172" s="693" t="s">
        <v>281</v>
      </c>
    </row>
    <row r="173" spans="1:16" ht="16.5" thickBot="1" x14ac:dyDescent="0.3">
      <c r="A173" s="694" t="s">
        <v>159</v>
      </c>
      <c r="B173" s="695"/>
      <c r="C173" s="662">
        <f>SUM(C174:C178)</f>
        <v>714200</v>
      </c>
      <c r="D173" s="662">
        <f t="shared" ref="D173:K173" si="56">SUM(D174:D178)</f>
        <v>730100</v>
      </c>
      <c r="E173" s="662">
        <f t="shared" si="56"/>
        <v>749100</v>
      </c>
      <c r="F173" s="662">
        <f t="shared" si="56"/>
        <v>749100</v>
      </c>
      <c r="G173" s="662">
        <f t="shared" si="56"/>
        <v>767100</v>
      </c>
      <c r="H173" s="662">
        <f t="shared" si="56"/>
        <v>87400</v>
      </c>
      <c r="I173" s="662">
        <f t="shared" si="56"/>
        <v>87400</v>
      </c>
      <c r="J173" s="662">
        <f t="shared" si="56"/>
        <v>87400</v>
      </c>
      <c r="K173" s="662">
        <f t="shared" si="56"/>
        <v>87331</v>
      </c>
      <c r="L173" s="697">
        <f>K173/J173</f>
        <v>0.99921052631578944</v>
      </c>
      <c r="M173" s="171"/>
      <c r="N173" s="171">
        <f>J173-I173</f>
        <v>0</v>
      </c>
    </row>
    <row r="174" spans="1:16" ht="15.75" thickBot="1" x14ac:dyDescent="0.3">
      <c r="A174" s="702">
        <v>453</v>
      </c>
      <c r="B174" s="703" t="s">
        <v>161</v>
      </c>
      <c r="C174" s="704">
        <v>1500</v>
      </c>
      <c r="D174" s="704">
        <v>1500</v>
      </c>
      <c r="E174" s="704">
        <v>1500</v>
      </c>
      <c r="F174" s="704">
        <v>1500</v>
      </c>
      <c r="G174" s="704">
        <v>1500</v>
      </c>
      <c r="H174" s="704">
        <v>1500</v>
      </c>
      <c r="I174" s="704">
        <v>1500</v>
      </c>
      <c r="J174" s="706">
        <f>1500-750</f>
        <v>750</v>
      </c>
      <c r="K174" s="705">
        <v>709</v>
      </c>
      <c r="L174" s="697">
        <f>K174/J174</f>
        <v>0.94533333333333336</v>
      </c>
      <c r="M174" s="171"/>
      <c r="N174" s="171">
        <f t="shared" ref="N174:N181" si="57">J174-I174</f>
        <v>-750</v>
      </c>
    </row>
    <row r="175" spans="1:16" ht="15.75" thickBot="1" x14ac:dyDescent="0.3">
      <c r="A175" s="702">
        <v>453</v>
      </c>
      <c r="B175" s="703" t="s">
        <v>507</v>
      </c>
      <c r="C175" s="704">
        <v>0</v>
      </c>
      <c r="D175" s="704">
        <v>0</v>
      </c>
      <c r="E175" s="704">
        <v>0</v>
      </c>
      <c r="F175" s="704">
        <v>0</v>
      </c>
      <c r="G175" s="704">
        <v>0</v>
      </c>
      <c r="H175" s="704">
        <v>0</v>
      </c>
      <c r="I175" s="704">
        <v>0</v>
      </c>
      <c r="J175" s="706">
        <v>1000</v>
      </c>
      <c r="K175" s="705">
        <v>997</v>
      </c>
      <c r="L175" s="697">
        <f>K175/J175</f>
        <v>0.997</v>
      </c>
      <c r="M175" s="171"/>
      <c r="N175" s="171"/>
    </row>
    <row r="176" spans="1:16" ht="15.75" thickBot="1" x14ac:dyDescent="0.3">
      <c r="A176" s="698">
        <v>454</v>
      </c>
      <c r="B176" s="652" t="s">
        <v>160</v>
      </c>
      <c r="C176" s="699">
        <f>312800</f>
        <v>312800</v>
      </c>
      <c r="D176" s="700">
        <f>312800+15900</f>
        <v>328700</v>
      </c>
      <c r="E176" s="700">
        <f>312800+15900-11000</f>
        <v>317700</v>
      </c>
      <c r="F176" s="699">
        <f>312800+15900-11000</f>
        <v>317700</v>
      </c>
      <c r="G176" s="699">
        <f>312800+15900-11000</f>
        <v>317700</v>
      </c>
      <c r="H176" s="700">
        <f>312800+15900-11000-246200+14400</f>
        <v>85900</v>
      </c>
      <c r="I176" s="699">
        <f>312800+15900-11000-246200+14400</f>
        <v>85900</v>
      </c>
      <c r="J176" s="700">
        <f>312800+15900-11000-246200+14400-250</f>
        <v>85650</v>
      </c>
      <c r="K176" s="701">
        <v>85625</v>
      </c>
      <c r="L176" s="697">
        <f t="shared" ref="L176:L181" si="58">K176/J176</f>
        <v>0.99970811441914764</v>
      </c>
      <c r="N176" s="171">
        <f t="shared" si="57"/>
        <v>-250</v>
      </c>
      <c r="P176" s="172"/>
    </row>
    <row r="177" spans="1:15" ht="15.75" thickBot="1" x14ac:dyDescent="0.3">
      <c r="A177" s="698">
        <v>456</v>
      </c>
      <c r="B177" s="652" t="s">
        <v>500</v>
      </c>
      <c r="C177" s="699">
        <v>0</v>
      </c>
      <c r="D177" s="699">
        <v>0</v>
      </c>
      <c r="E177" s="699">
        <v>0</v>
      </c>
      <c r="F177" s="699">
        <v>0</v>
      </c>
      <c r="G177" s="699">
        <v>0</v>
      </c>
      <c r="H177" s="699">
        <v>0</v>
      </c>
      <c r="I177" s="699">
        <v>0</v>
      </c>
      <c r="J177" s="699">
        <v>0</v>
      </c>
      <c r="K177" s="701">
        <v>0</v>
      </c>
      <c r="L177" s="697">
        <v>0</v>
      </c>
      <c r="N177" s="171">
        <f t="shared" si="57"/>
        <v>0</v>
      </c>
    </row>
    <row r="178" spans="1:15" ht="15" customHeight="1" thickBot="1" x14ac:dyDescent="0.3">
      <c r="A178" s="702">
        <v>513</v>
      </c>
      <c r="B178" s="703" t="s">
        <v>162</v>
      </c>
      <c r="C178" s="704">
        <f>500000-100100</f>
        <v>399900</v>
      </c>
      <c r="D178" s="704">
        <f t="shared" ref="D178" si="59">500000-100100</f>
        <v>399900</v>
      </c>
      <c r="E178" s="706">
        <f>500000-100100+11000+19000</f>
        <v>429900</v>
      </c>
      <c r="F178" s="704">
        <f>500000-100100+11000+19000</f>
        <v>429900</v>
      </c>
      <c r="G178" s="706">
        <f>500000-100100+11000+19000+18000</f>
        <v>447900</v>
      </c>
      <c r="H178" s="706">
        <v>0</v>
      </c>
      <c r="I178" s="707">
        <v>0</v>
      </c>
      <c r="J178" s="707">
        <v>0</v>
      </c>
      <c r="K178" s="705">
        <v>0</v>
      </c>
      <c r="L178" s="697">
        <v>0</v>
      </c>
      <c r="M178" s="312"/>
      <c r="N178" s="171">
        <f t="shared" si="57"/>
        <v>0</v>
      </c>
    </row>
    <row r="179" spans="1:15" ht="18" customHeight="1" thickBot="1" x14ac:dyDescent="0.3">
      <c r="A179" s="694" t="s">
        <v>163</v>
      </c>
      <c r="B179" s="695"/>
      <c r="C179" s="662">
        <f t="shared" ref="C179:D179" si="60">SUM(C180:C181)</f>
        <v>53800</v>
      </c>
      <c r="D179" s="662">
        <f t="shared" si="60"/>
        <v>53800</v>
      </c>
      <c r="E179" s="662">
        <f t="shared" ref="E179:K179" si="61">SUM(E180:E181)</f>
        <v>53800</v>
      </c>
      <c r="F179" s="662">
        <f t="shared" si="61"/>
        <v>53800</v>
      </c>
      <c r="G179" s="662">
        <f t="shared" si="61"/>
        <v>53800</v>
      </c>
      <c r="H179" s="662">
        <f t="shared" si="61"/>
        <v>800</v>
      </c>
      <c r="I179" s="662">
        <f t="shared" si="61"/>
        <v>800</v>
      </c>
      <c r="J179" s="662">
        <f t="shared" si="61"/>
        <v>800</v>
      </c>
      <c r="K179" s="696">
        <f t="shared" si="61"/>
        <v>789</v>
      </c>
      <c r="L179" s="697">
        <f t="shared" si="58"/>
        <v>0.98624999999999996</v>
      </c>
      <c r="M179" s="157"/>
      <c r="N179" s="171">
        <f t="shared" si="57"/>
        <v>0</v>
      </c>
    </row>
    <row r="180" spans="1:15" ht="16.5" customHeight="1" thickBot="1" x14ac:dyDescent="0.3">
      <c r="A180" s="861">
        <v>821</v>
      </c>
      <c r="B180" s="842" t="s">
        <v>164</v>
      </c>
      <c r="C180" s="790">
        <v>53000</v>
      </c>
      <c r="D180" s="790">
        <v>53000</v>
      </c>
      <c r="E180" s="790">
        <v>53000</v>
      </c>
      <c r="F180" s="790">
        <v>53000</v>
      </c>
      <c r="G180" s="790">
        <v>53000</v>
      </c>
      <c r="H180" s="791">
        <v>0</v>
      </c>
      <c r="I180" s="862">
        <v>0</v>
      </c>
      <c r="J180" s="862">
        <v>0</v>
      </c>
      <c r="K180" s="792">
        <v>0</v>
      </c>
      <c r="L180" s="697">
        <v>0</v>
      </c>
      <c r="M180" s="138"/>
      <c r="N180" s="171">
        <f t="shared" si="57"/>
        <v>0</v>
      </c>
    </row>
    <row r="181" spans="1:15" ht="16.5" customHeight="1" thickBot="1" x14ac:dyDescent="0.3">
      <c r="A181" s="642">
        <v>821</v>
      </c>
      <c r="B181" s="863" t="s">
        <v>165</v>
      </c>
      <c r="C181" s="777">
        <v>800</v>
      </c>
      <c r="D181" s="777">
        <v>800</v>
      </c>
      <c r="E181" s="777">
        <v>800</v>
      </c>
      <c r="F181" s="777">
        <v>800</v>
      </c>
      <c r="G181" s="777">
        <v>800</v>
      </c>
      <c r="H181" s="777">
        <v>800</v>
      </c>
      <c r="I181" s="777">
        <v>800</v>
      </c>
      <c r="J181" s="777">
        <v>800</v>
      </c>
      <c r="K181" s="778">
        <v>789</v>
      </c>
      <c r="L181" s="697">
        <f t="shared" si="58"/>
        <v>0.98624999999999996</v>
      </c>
      <c r="N181" s="171">
        <f t="shared" si="57"/>
        <v>0</v>
      </c>
    </row>
    <row r="182" spans="1:15" ht="15" customHeight="1" x14ac:dyDescent="0.25">
      <c r="A182" s="689"/>
      <c r="B182" s="708"/>
      <c r="C182" s="709"/>
      <c r="D182" s="709"/>
      <c r="E182" s="709"/>
      <c r="F182" s="709"/>
      <c r="G182" s="709"/>
      <c r="H182" s="709"/>
      <c r="I182" s="709"/>
      <c r="J182" s="709"/>
      <c r="K182" s="709"/>
      <c r="L182" s="683"/>
      <c r="O182" s="172"/>
    </row>
    <row r="183" spans="1:15" ht="16.5" thickBot="1" x14ac:dyDescent="0.3">
      <c r="A183" s="663"/>
      <c r="B183" s="688"/>
      <c r="C183" s="688"/>
      <c r="D183" s="688"/>
      <c r="E183" s="688"/>
      <c r="F183" s="688"/>
      <c r="G183" s="688"/>
      <c r="H183" s="688"/>
      <c r="I183" s="688"/>
      <c r="J183" s="688"/>
      <c r="K183" s="688"/>
      <c r="L183" s="683"/>
      <c r="N183" s="172"/>
    </row>
    <row r="184" spans="1:15" ht="18.75" thickBot="1" x14ac:dyDescent="0.3">
      <c r="A184" s="989" t="s">
        <v>166</v>
      </c>
      <c r="B184" s="990"/>
      <c r="C184" s="990"/>
      <c r="D184" s="990"/>
      <c r="E184" s="990"/>
      <c r="F184" s="990"/>
      <c r="G184" s="990"/>
      <c r="H184" s="990"/>
      <c r="I184" s="990"/>
      <c r="J184" s="990"/>
      <c r="K184" s="991"/>
      <c r="L184" s="683"/>
    </row>
    <row r="185" spans="1:15" x14ac:dyDescent="0.25">
      <c r="A185" s="978" t="s">
        <v>1</v>
      </c>
      <c r="B185" s="959"/>
      <c r="C185" s="981">
        <v>2017</v>
      </c>
      <c r="D185" s="981" t="s">
        <v>235</v>
      </c>
      <c r="E185" s="981" t="s">
        <v>279</v>
      </c>
      <c r="F185" s="981" t="s">
        <v>310</v>
      </c>
      <c r="G185" s="981" t="s">
        <v>348</v>
      </c>
      <c r="H185" s="981" t="s">
        <v>386</v>
      </c>
      <c r="I185" s="981" t="s">
        <v>471</v>
      </c>
      <c r="J185" s="981" t="s">
        <v>480</v>
      </c>
      <c r="K185" s="966" t="s">
        <v>498</v>
      </c>
      <c r="L185" s="683"/>
    </row>
    <row r="186" spans="1:15" ht="15.75" thickBot="1" x14ac:dyDescent="0.3">
      <c r="A186" s="979"/>
      <c r="B186" s="980"/>
      <c r="C186" s="982"/>
      <c r="D186" s="982"/>
      <c r="E186" s="982"/>
      <c r="F186" s="982"/>
      <c r="G186" s="982"/>
      <c r="H186" s="982"/>
      <c r="I186" s="982"/>
      <c r="J186" s="982"/>
      <c r="K186" s="967"/>
      <c r="L186" s="683"/>
    </row>
    <row r="187" spans="1:15" ht="15.75" x14ac:dyDescent="0.25">
      <c r="A187" s="710" t="s">
        <v>167</v>
      </c>
      <c r="B187" s="628"/>
      <c r="C187" s="711">
        <f t="shared" ref="C187:K187" si="62">C66</f>
        <v>1761540</v>
      </c>
      <c r="D187" s="711">
        <f t="shared" si="62"/>
        <v>1786123</v>
      </c>
      <c r="E187" s="711">
        <f t="shared" si="62"/>
        <v>1791123</v>
      </c>
      <c r="F187" s="711">
        <f t="shared" si="62"/>
        <v>1820123</v>
      </c>
      <c r="G187" s="711">
        <f t="shared" si="62"/>
        <v>1852053</v>
      </c>
      <c r="H187" s="711">
        <f t="shared" si="62"/>
        <v>1865403</v>
      </c>
      <c r="I187" s="711">
        <f t="shared" si="62"/>
        <v>1867076</v>
      </c>
      <c r="J187" s="711">
        <f t="shared" si="62"/>
        <v>1880654</v>
      </c>
      <c r="K187" s="711">
        <f t="shared" si="62"/>
        <v>1801789</v>
      </c>
      <c r="L187" s="683"/>
      <c r="M187" s="171">
        <f>J187-I187</f>
        <v>13578</v>
      </c>
      <c r="N187" s="171"/>
    </row>
    <row r="188" spans="1:15" ht="15.75" x14ac:dyDescent="0.25">
      <c r="A188" s="712" t="s">
        <v>168</v>
      </c>
      <c r="B188" s="622"/>
      <c r="C188" s="639">
        <f t="shared" ref="C188:K188" si="63">C126</f>
        <v>1609140</v>
      </c>
      <c r="D188" s="639">
        <f t="shared" si="63"/>
        <v>1633723</v>
      </c>
      <c r="E188" s="639">
        <f t="shared" si="63"/>
        <v>1638723</v>
      </c>
      <c r="F188" s="639">
        <f t="shared" si="63"/>
        <v>1656723</v>
      </c>
      <c r="G188" s="639">
        <f t="shared" si="63"/>
        <v>1677753</v>
      </c>
      <c r="H188" s="639">
        <f t="shared" si="63"/>
        <v>1712903</v>
      </c>
      <c r="I188" s="639">
        <f t="shared" si="63"/>
        <v>1714576</v>
      </c>
      <c r="J188" s="639">
        <f t="shared" si="63"/>
        <v>1728404</v>
      </c>
      <c r="K188" s="639">
        <f t="shared" si="63"/>
        <v>1508309</v>
      </c>
      <c r="L188" s="683"/>
      <c r="M188" s="171">
        <f t="shared" ref="M188:M196" si="64">J188-I188</f>
        <v>13828</v>
      </c>
      <c r="N188" s="171"/>
    </row>
    <row r="189" spans="1:15" ht="15.75" x14ac:dyDescent="0.25">
      <c r="A189" s="985" t="s">
        <v>169</v>
      </c>
      <c r="B189" s="986"/>
      <c r="C189" s="713">
        <f t="shared" ref="C189:K189" si="65">C187-C188</f>
        <v>152400</v>
      </c>
      <c r="D189" s="713">
        <f t="shared" si="65"/>
        <v>152400</v>
      </c>
      <c r="E189" s="713">
        <f t="shared" si="65"/>
        <v>152400</v>
      </c>
      <c r="F189" s="713">
        <f t="shared" si="65"/>
        <v>163400</v>
      </c>
      <c r="G189" s="713">
        <f t="shared" si="65"/>
        <v>174300</v>
      </c>
      <c r="H189" s="713">
        <f t="shared" si="65"/>
        <v>152500</v>
      </c>
      <c r="I189" s="713">
        <f t="shared" si="65"/>
        <v>152500</v>
      </c>
      <c r="J189" s="713">
        <f t="shared" si="65"/>
        <v>152250</v>
      </c>
      <c r="K189" s="713">
        <f t="shared" si="65"/>
        <v>293480</v>
      </c>
      <c r="L189" s="683"/>
      <c r="M189" s="171">
        <f t="shared" si="64"/>
        <v>-250</v>
      </c>
      <c r="N189" s="171"/>
    </row>
    <row r="190" spans="1:15" ht="15.75" x14ac:dyDescent="0.25">
      <c r="A190" s="712" t="s">
        <v>170</v>
      </c>
      <c r="B190" s="622"/>
      <c r="C190" s="639">
        <f t="shared" ref="C190:K190" si="66">C132</f>
        <v>1669100</v>
      </c>
      <c r="D190" s="639">
        <f t="shared" si="66"/>
        <v>1653200</v>
      </c>
      <c r="E190" s="639">
        <f t="shared" si="66"/>
        <v>1748000</v>
      </c>
      <c r="F190" s="639">
        <f t="shared" si="66"/>
        <v>1748000</v>
      </c>
      <c r="G190" s="639">
        <f t="shared" si="66"/>
        <v>1778000</v>
      </c>
      <c r="H190" s="639">
        <f t="shared" si="66"/>
        <v>18800</v>
      </c>
      <c r="I190" s="639">
        <f t="shared" si="66"/>
        <v>18800</v>
      </c>
      <c r="J190" s="639">
        <f t="shared" si="66"/>
        <v>18800</v>
      </c>
      <c r="K190" s="639">
        <f t="shared" si="66"/>
        <v>15234</v>
      </c>
      <c r="L190" s="683"/>
      <c r="M190" s="171">
        <f t="shared" si="64"/>
        <v>0</v>
      </c>
      <c r="N190" s="171"/>
    </row>
    <row r="191" spans="1:15" ht="15.75" x14ac:dyDescent="0.25">
      <c r="A191" s="712" t="s">
        <v>171</v>
      </c>
      <c r="B191" s="622"/>
      <c r="C191" s="927">
        <f t="shared" ref="C191:K191" si="67">C142</f>
        <v>2481900</v>
      </c>
      <c r="D191" s="927">
        <f t="shared" si="67"/>
        <v>2481900</v>
      </c>
      <c r="E191" s="927">
        <f t="shared" si="67"/>
        <v>2595700</v>
      </c>
      <c r="F191" s="927">
        <f t="shared" si="67"/>
        <v>2606700</v>
      </c>
      <c r="G191" s="927">
        <f t="shared" si="67"/>
        <v>2665600</v>
      </c>
      <c r="H191" s="927">
        <f t="shared" si="67"/>
        <v>257900</v>
      </c>
      <c r="I191" s="927">
        <f t="shared" si="67"/>
        <v>257900</v>
      </c>
      <c r="J191" s="927">
        <f t="shared" si="67"/>
        <v>257650</v>
      </c>
      <c r="K191" s="927">
        <f t="shared" si="67"/>
        <v>227336</v>
      </c>
      <c r="L191" s="683"/>
      <c r="M191" s="171">
        <f t="shared" si="64"/>
        <v>-250</v>
      </c>
      <c r="N191" s="171"/>
    </row>
    <row r="192" spans="1:15" ht="15.75" x14ac:dyDescent="0.25">
      <c r="A192" s="985" t="s">
        <v>172</v>
      </c>
      <c r="B192" s="986"/>
      <c r="C192" s="713">
        <f t="shared" ref="C192:K192" si="68">C190-C191</f>
        <v>-812800</v>
      </c>
      <c r="D192" s="713">
        <f t="shared" si="68"/>
        <v>-828700</v>
      </c>
      <c r="E192" s="713">
        <f t="shared" si="68"/>
        <v>-847700</v>
      </c>
      <c r="F192" s="713">
        <f t="shared" si="68"/>
        <v>-858700</v>
      </c>
      <c r="G192" s="713">
        <f t="shared" si="68"/>
        <v>-887600</v>
      </c>
      <c r="H192" s="713">
        <f t="shared" si="68"/>
        <v>-239100</v>
      </c>
      <c r="I192" s="713">
        <f t="shared" si="68"/>
        <v>-239100</v>
      </c>
      <c r="J192" s="713">
        <f t="shared" si="68"/>
        <v>-238850</v>
      </c>
      <c r="K192" s="713">
        <f t="shared" si="68"/>
        <v>-212102</v>
      </c>
      <c r="L192" s="683"/>
      <c r="M192" s="171">
        <f t="shared" si="64"/>
        <v>250</v>
      </c>
      <c r="N192" s="171"/>
    </row>
    <row r="193" spans="1:14" ht="15.75" x14ac:dyDescent="0.25">
      <c r="A193" s="714" t="s">
        <v>173</v>
      </c>
      <c r="B193" s="715"/>
      <c r="C193" s="648">
        <f t="shared" ref="C193:K193" si="69">C173</f>
        <v>714200</v>
      </c>
      <c r="D193" s="648">
        <f t="shared" si="69"/>
        <v>730100</v>
      </c>
      <c r="E193" s="648">
        <f t="shared" si="69"/>
        <v>749100</v>
      </c>
      <c r="F193" s="648">
        <f t="shared" si="69"/>
        <v>749100</v>
      </c>
      <c r="G193" s="648">
        <f t="shared" si="69"/>
        <v>767100</v>
      </c>
      <c r="H193" s="648">
        <f t="shared" si="69"/>
        <v>87400</v>
      </c>
      <c r="I193" s="648">
        <f t="shared" si="69"/>
        <v>87400</v>
      </c>
      <c r="J193" s="648">
        <f t="shared" si="69"/>
        <v>87400</v>
      </c>
      <c r="K193" s="648">
        <f t="shared" si="69"/>
        <v>87331</v>
      </c>
      <c r="L193" s="716"/>
      <c r="M193" s="171">
        <f t="shared" si="64"/>
        <v>0</v>
      </c>
      <c r="N193" s="171"/>
    </row>
    <row r="194" spans="1:14" ht="15.75" x14ac:dyDescent="0.25">
      <c r="A194" s="714" t="s">
        <v>174</v>
      </c>
      <c r="B194" s="715"/>
      <c r="C194" s="648">
        <f t="shared" ref="C194:K194" si="70">C179</f>
        <v>53800</v>
      </c>
      <c r="D194" s="648">
        <f t="shared" si="70"/>
        <v>53800</v>
      </c>
      <c r="E194" s="648">
        <f t="shared" si="70"/>
        <v>53800</v>
      </c>
      <c r="F194" s="648">
        <f t="shared" si="70"/>
        <v>53800</v>
      </c>
      <c r="G194" s="648">
        <f t="shared" si="70"/>
        <v>53800</v>
      </c>
      <c r="H194" s="648">
        <f t="shared" si="70"/>
        <v>800</v>
      </c>
      <c r="I194" s="648">
        <f t="shared" si="70"/>
        <v>800</v>
      </c>
      <c r="J194" s="648">
        <f t="shared" si="70"/>
        <v>800</v>
      </c>
      <c r="K194" s="648">
        <f t="shared" si="70"/>
        <v>789</v>
      </c>
      <c r="L194" s="683"/>
      <c r="M194" s="171">
        <f t="shared" si="64"/>
        <v>0</v>
      </c>
      <c r="N194" s="171"/>
    </row>
    <row r="195" spans="1:14" ht="16.5" thickBot="1" x14ac:dyDescent="0.3">
      <c r="A195" s="987" t="s">
        <v>175</v>
      </c>
      <c r="B195" s="988"/>
      <c r="C195" s="717">
        <f t="shared" ref="C195:K195" si="71">C193-C194</f>
        <v>660400</v>
      </c>
      <c r="D195" s="717">
        <f t="shared" si="71"/>
        <v>676300</v>
      </c>
      <c r="E195" s="717">
        <f t="shared" si="71"/>
        <v>695300</v>
      </c>
      <c r="F195" s="717">
        <f t="shared" si="71"/>
        <v>695300</v>
      </c>
      <c r="G195" s="717">
        <f t="shared" si="71"/>
        <v>713300</v>
      </c>
      <c r="H195" s="717">
        <f t="shared" si="71"/>
        <v>86600</v>
      </c>
      <c r="I195" s="717">
        <f t="shared" si="71"/>
        <v>86600</v>
      </c>
      <c r="J195" s="717">
        <f t="shared" si="71"/>
        <v>86600</v>
      </c>
      <c r="K195" s="717">
        <f t="shared" si="71"/>
        <v>86542</v>
      </c>
      <c r="L195" s="683"/>
      <c r="M195" s="171">
        <f t="shared" si="64"/>
        <v>0</v>
      </c>
      <c r="N195" s="171"/>
    </row>
    <row r="196" spans="1:14" ht="16.5" thickBot="1" x14ac:dyDescent="0.3">
      <c r="A196" s="718" t="s">
        <v>176</v>
      </c>
      <c r="B196" s="719"/>
      <c r="C196" s="720">
        <f t="shared" ref="C196:K196" si="72">C189+C192+C195</f>
        <v>0</v>
      </c>
      <c r="D196" s="720">
        <f t="shared" si="72"/>
        <v>0</v>
      </c>
      <c r="E196" s="720">
        <f t="shared" si="72"/>
        <v>0</v>
      </c>
      <c r="F196" s="720">
        <f t="shared" si="72"/>
        <v>0</v>
      </c>
      <c r="G196" s="720">
        <f t="shared" si="72"/>
        <v>0</v>
      </c>
      <c r="H196" s="720">
        <f t="shared" si="72"/>
        <v>0</v>
      </c>
      <c r="I196" s="720">
        <f t="shared" si="72"/>
        <v>0</v>
      </c>
      <c r="J196" s="720">
        <f t="shared" si="72"/>
        <v>0</v>
      </c>
      <c r="K196" s="720">
        <f t="shared" si="72"/>
        <v>167920</v>
      </c>
      <c r="L196" s="683"/>
      <c r="M196" s="171">
        <f t="shared" si="64"/>
        <v>0</v>
      </c>
      <c r="N196" s="171"/>
    </row>
    <row r="197" spans="1:14" x14ac:dyDescent="0.25">
      <c r="A197" s="683"/>
      <c r="B197" s="683"/>
      <c r="C197" s="683"/>
      <c r="D197" s="683"/>
      <c r="E197" s="683"/>
      <c r="F197" s="683"/>
      <c r="G197" s="683"/>
      <c r="H197" s="683"/>
      <c r="I197" s="683"/>
      <c r="J197" s="683"/>
      <c r="K197" s="683"/>
      <c r="L197" s="683"/>
      <c r="M197" s="171"/>
    </row>
    <row r="198" spans="1:14" x14ac:dyDescent="0.25">
      <c r="A198" s="683"/>
      <c r="B198" s="721" t="s">
        <v>177</v>
      </c>
      <c r="C198" s="722">
        <f t="shared" ref="C198:K199" si="73">C187+C190+C193</f>
        <v>4144840</v>
      </c>
      <c r="D198" s="722">
        <f t="shared" si="73"/>
        <v>4169423</v>
      </c>
      <c r="E198" s="722">
        <f t="shared" si="73"/>
        <v>4288223</v>
      </c>
      <c r="F198" s="722">
        <f t="shared" si="73"/>
        <v>4317223</v>
      </c>
      <c r="G198" s="722">
        <f t="shared" si="73"/>
        <v>4397153</v>
      </c>
      <c r="H198" s="722">
        <f t="shared" si="73"/>
        <v>1971603</v>
      </c>
      <c r="I198" s="722">
        <f t="shared" si="73"/>
        <v>1973276</v>
      </c>
      <c r="J198" s="722">
        <f t="shared" si="73"/>
        <v>1986854</v>
      </c>
      <c r="K198" s="722">
        <f t="shared" si="73"/>
        <v>1904354</v>
      </c>
      <c r="L198" s="683"/>
      <c r="M198" s="171">
        <f t="shared" ref="M198:M202" si="74">J198-I198</f>
        <v>13578</v>
      </c>
      <c r="N198" s="171"/>
    </row>
    <row r="199" spans="1:14" x14ac:dyDescent="0.25">
      <c r="A199" s="683"/>
      <c r="B199" s="721" t="s">
        <v>178</v>
      </c>
      <c r="C199" s="722">
        <f t="shared" si="73"/>
        <v>4144840</v>
      </c>
      <c r="D199" s="722">
        <f t="shared" si="73"/>
        <v>4169423</v>
      </c>
      <c r="E199" s="722">
        <f t="shared" si="73"/>
        <v>4288223</v>
      </c>
      <c r="F199" s="722">
        <f t="shared" si="73"/>
        <v>4317223</v>
      </c>
      <c r="G199" s="722">
        <f t="shared" si="73"/>
        <v>4397153</v>
      </c>
      <c r="H199" s="722">
        <f t="shared" si="73"/>
        <v>1971603</v>
      </c>
      <c r="I199" s="722">
        <f t="shared" si="73"/>
        <v>1973276</v>
      </c>
      <c r="J199" s="722">
        <f t="shared" si="73"/>
        <v>1986854</v>
      </c>
      <c r="K199" s="722">
        <f t="shared" si="73"/>
        <v>1736434</v>
      </c>
      <c r="L199" s="683"/>
      <c r="M199" s="171">
        <f t="shared" si="74"/>
        <v>13578</v>
      </c>
      <c r="N199" s="171"/>
    </row>
    <row r="200" spans="1:14" x14ac:dyDescent="0.25">
      <c r="A200" s="683"/>
      <c r="B200" s="721"/>
      <c r="C200" s="722"/>
      <c r="D200" s="722"/>
      <c r="E200" s="722"/>
      <c r="F200" s="722"/>
      <c r="G200" s="722"/>
      <c r="H200" s="722"/>
      <c r="I200" s="722"/>
      <c r="J200" s="722"/>
      <c r="K200" s="722"/>
      <c r="L200" s="683"/>
      <c r="M200" s="171">
        <f t="shared" si="74"/>
        <v>0</v>
      </c>
      <c r="N200" s="171"/>
    </row>
    <row r="201" spans="1:14" x14ac:dyDescent="0.25">
      <c r="A201" s="683"/>
      <c r="B201" s="721" t="s">
        <v>179</v>
      </c>
      <c r="C201" s="722">
        <f t="shared" ref="C201:K201" si="75">C198-C65</f>
        <v>4141840</v>
      </c>
      <c r="D201" s="722">
        <f t="shared" si="75"/>
        <v>4166073</v>
      </c>
      <c r="E201" s="722">
        <f t="shared" si="75"/>
        <v>4284873</v>
      </c>
      <c r="F201" s="722">
        <f t="shared" si="75"/>
        <v>4313873</v>
      </c>
      <c r="G201" s="722">
        <f t="shared" si="75"/>
        <v>4391033</v>
      </c>
      <c r="H201" s="722">
        <f t="shared" si="75"/>
        <v>1960578</v>
      </c>
      <c r="I201" s="722">
        <f t="shared" si="75"/>
        <v>1962251</v>
      </c>
      <c r="J201" s="722">
        <f t="shared" si="75"/>
        <v>1975176</v>
      </c>
      <c r="K201" s="722">
        <f t="shared" si="75"/>
        <v>1892678</v>
      </c>
      <c r="L201" s="723"/>
      <c r="M201" s="171">
        <f t="shared" si="74"/>
        <v>12925</v>
      </c>
      <c r="N201" s="171"/>
    </row>
    <row r="202" spans="1:14" x14ac:dyDescent="0.25">
      <c r="A202" s="683"/>
      <c r="B202" s="721" t="s">
        <v>180</v>
      </c>
      <c r="C202" s="722">
        <f t="shared" ref="C202:K202" si="76">C199-C125</f>
        <v>3716400</v>
      </c>
      <c r="D202" s="722">
        <f t="shared" si="76"/>
        <v>3718596</v>
      </c>
      <c r="E202" s="722">
        <f t="shared" si="76"/>
        <v>3837396</v>
      </c>
      <c r="F202" s="722">
        <f t="shared" si="76"/>
        <v>3866396</v>
      </c>
      <c r="G202" s="722">
        <f t="shared" si="76"/>
        <v>3943496</v>
      </c>
      <c r="H202" s="722">
        <f t="shared" si="76"/>
        <v>1442546</v>
      </c>
      <c r="I202" s="722">
        <f t="shared" si="76"/>
        <v>1444396</v>
      </c>
      <c r="J202" s="722">
        <f t="shared" si="76"/>
        <v>1453962</v>
      </c>
      <c r="K202" s="722">
        <f t="shared" si="76"/>
        <v>1203544</v>
      </c>
      <c r="L202" s="683"/>
      <c r="M202" s="171">
        <f t="shared" si="74"/>
        <v>9566</v>
      </c>
      <c r="N202" s="171"/>
    </row>
    <row r="203" spans="1:14" x14ac:dyDescent="0.25">
      <c r="A203" s="683"/>
      <c r="B203" s="721"/>
      <c r="C203" s="722"/>
      <c r="D203" s="722"/>
      <c r="E203" s="722"/>
      <c r="F203" s="722"/>
      <c r="G203" s="722"/>
      <c r="H203" s="722"/>
      <c r="I203" s="722"/>
      <c r="J203" s="722"/>
      <c r="K203" s="722"/>
      <c r="L203" s="683"/>
      <c r="M203" s="171"/>
      <c r="N203" s="171"/>
    </row>
    <row r="205" spans="1:14" x14ac:dyDescent="0.25">
      <c r="B205" t="s">
        <v>181</v>
      </c>
    </row>
    <row r="207" spans="1:14" x14ac:dyDescent="0.25">
      <c r="B207" s="172" t="s">
        <v>315</v>
      </c>
      <c r="C207" s="172"/>
      <c r="D207" s="172"/>
      <c r="E207" s="172"/>
      <c r="F207" s="172"/>
      <c r="G207" s="172"/>
      <c r="H207" s="172"/>
      <c r="I207" s="172"/>
      <c r="J207" s="172"/>
      <c r="K207" s="172"/>
    </row>
    <row r="208" spans="1:14" x14ac:dyDescent="0.25">
      <c r="B208" s="172" t="s">
        <v>316</v>
      </c>
    </row>
    <row r="209" spans="2:2" x14ac:dyDescent="0.25">
      <c r="B209" s="172" t="s">
        <v>317</v>
      </c>
    </row>
    <row r="210" spans="2:2" x14ac:dyDescent="0.25">
      <c r="B210" s="172" t="s">
        <v>324</v>
      </c>
    </row>
    <row r="211" spans="2:2" x14ac:dyDescent="0.25">
      <c r="B211" s="172" t="s">
        <v>381</v>
      </c>
    </row>
    <row r="212" spans="2:2" x14ac:dyDescent="0.25">
      <c r="B212" s="172" t="s">
        <v>435</v>
      </c>
    </row>
    <row r="213" spans="2:2" x14ac:dyDescent="0.25">
      <c r="B213" s="172" t="s">
        <v>479</v>
      </c>
    </row>
    <row r="214" spans="2:2" x14ac:dyDescent="0.25">
      <c r="B214" s="172" t="s">
        <v>503</v>
      </c>
    </row>
    <row r="215" spans="2:2" x14ac:dyDescent="0.25">
      <c r="B215" s="261"/>
    </row>
    <row r="216" spans="2:2" x14ac:dyDescent="0.25">
      <c r="B216" s="261" t="s">
        <v>504</v>
      </c>
    </row>
  </sheetData>
  <mergeCells count="63">
    <mergeCell ref="A189:B189"/>
    <mergeCell ref="A192:B192"/>
    <mergeCell ref="A195:B195"/>
    <mergeCell ref="A184:K184"/>
    <mergeCell ref="A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A170:L170"/>
    <mergeCell ref="A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H130:H131"/>
    <mergeCell ref="I130:I131"/>
    <mergeCell ref="J130:J131"/>
    <mergeCell ref="K130:K131"/>
    <mergeCell ref="A132:B132"/>
    <mergeCell ref="F130:F131"/>
    <mergeCell ref="G130:G131"/>
    <mergeCell ref="A142:B142"/>
    <mergeCell ref="A130:B131"/>
    <mergeCell ref="C130:C131"/>
    <mergeCell ref="D130:D131"/>
    <mergeCell ref="E130:E131"/>
    <mergeCell ref="A129:L129"/>
    <mergeCell ref="K2:K3"/>
    <mergeCell ref="A4:B4"/>
    <mergeCell ref="A12:B12"/>
    <mergeCell ref="A68:L68"/>
    <mergeCell ref="A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A87:B87"/>
    <mergeCell ref="A1:L1"/>
    <mergeCell ref="A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&amp;C&amp;"-,Tučné"&amp;12Rozpočet obce Heľpa na rok 2017
7. zmena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12"/>
  <sheetViews>
    <sheetView zoomScale="89" zoomScaleNormal="89" workbookViewId="0">
      <selection sqref="A1:K1"/>
    </sheetView>
  </sheetViews>
  <sheetFormatPr defaultRowHeight="15" x14ac:dyDescent="0.25"/>
  <cols>
    <col min="2" max="2" width="60.5703125" customWidth="1"/>
    <col min="3" max="3" width="12.85546875" customWidth="1"/>
    <col min="4" max="9" width="12.7109375" customWidth="1"/>
    <col min="10" max="10" width="12" customWidth="1"/>
    <col min="11" max="11" width="9.7109375" customWidth="1"/>
    <col min="12" max="12" width="10.28515625" bestFit="1" customWidth="1"/>
    <col min="13" max="13" width="12.7109375" customWidth="1"/>
    <col min="15" max="15" width="12.140625" bestFit="1" customWidth="1"/>
  </cols>
  <sheetData>
    <row r="1" spans="1:12" ht="23.25" customHeight="1" thickBot="1" x14ac:dyDescent="0.3">
      <c r="A1" s="956" t="s">
        <v>0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</row>
    <row r="2" spans="1:12" ht="15" customHeight="1" x14ac:dyDescent="0.25">
      <c r="A2" s="992" t="s">
        <v>1</v>
      </c>
      <c r="B2" s="993"/>
      <c r="C2" s="996">
        <v>2017</v>
      </c>
      <c r="D2" s="996" t="s">
        <v>235</v>
      </c>
      <c r="E2" s="996" t="s">
        <v>279</v>
      </c>
      <c r="F2" s="996" t="s">
        <v>310</v>
      </c>
      <c r="G2" s="996" t="s">
        <v>348</v>
      </c>
      <c r="H2" s="996" t="s">
        <v>386</v>
      </c>
      <c r="I2" s="996" t="s">
        <v>471</v>
      </c>
      <c r="J2" s="998" t="s">
        <v>436</v>
      </c>
      <c r="K2" s="418" t="s">
        <v>280</v>
      </c>
    </row>
    <row r="3" spans="1:12" ht="15.75" thickBot="1" x14ac:dyDescent="0.3">
      <c r="A3" s="994"/>
      <c r="B3" s="995"/>
      <c r="C3" s="997"/>
      <c r="D3" s="997"/>
      <c r="E3" s="997"/>
      <c r="F3" s="997"/>
      <c r="G3" s="997"/>
      <c r="H3" s="997"/>
      <c r="I3" s="997"/>
      <c r="J3" s="999"/>
      <c r="K3" s="419" t="s">
        <v>281</v>
      </c>
    </row>
    <row r="4" spans="1:12" ht="15.75" thickBot="1" x14ac:dyDescent="0.3">
      <c r="A4" s="1000" t="s">
        <v>2</v>
      </c>
      <c r="B4" s="1001"/>
      <c r="C4" s="1">
        <f t="shared" ref="C4:J4" si="0">SUM(C5:C11)</f>
        <v>1009400</v>
      </c>
      <c r="D4" s="1">
        <f t="shared" si="0"/>
        <v>1009400</v>
      </c>
      <c r="E4" s="1">
        <f t="shared" si="0"/>
        <v>1009400</v>
      </c>
      <c r="F4" s="1">
        <f t="shared" si="0"/>
        <v>1014400</v>
      </c>
      <c r="G4" s="1">
        <f t="shared" ref="G4:H4" si="1">SUM(G5:G11)</f>
        <v>1021400</v>
      </c>
      <c r="H4" s="1">
        <f t="shared" si="1"/>
        <v>1021400</v>
      </c>
      <c r="I4" s="1">
        <f t="shared" ref="I4" si="2">SUM(I5:I11)</f>
        <v>1021400</v>
      </c>
      <c r="J4" s="420">
        <f t="shared" si="0"/>
        <v>772160</v>
      </c>
      <c r="K4" s="485">
        <f t="shared" ref="K4:K18" si="3">J4/I4</f>
        <v>0.75598198551008422</v>
      </c>
    </row>
    <row r="5" spans="1:12" ht="15.75" thickBot="1" x14ac:dyDescent="0.3">
      <c r="A5" s="2">
        <v>111</v>
      </c>
      <c r="B5" s="3" t="s">
        <v>3</v>
      </c>
      <c r="C5" s="4">
        <v>950000</v>
      </c>
      <c r="D5" s="4">
        <v>950000</v>
      </c>
      <c r="E5" s="4">
        <v>950000</v>
      </c>
      <c r="F5" s="376">
        <f>950000+5000</f>
        <v>955000</v>
      </c>
      <c r="G5" s="376">
        <f>950000+5000+7000</f>
        <v>962000</v>
      </c>
      <c r="H5" s="496">
        <f>950000+5000+7000</f>
        <v>962000</v>
      </c>
      <c r="I5" s="496">
        <f>950000+5000+7000</f>
        <v>962000</v>
      </c>
      <c r="J5" s="421">
        <v>726474</v>
      </c>
      <c r="K5" s="485">
        <f t="shared" si="3"/>
        <v>0.75517047817047822</v>
      </c>
    </row>
    <row r="6" spans="1:12" ht="15.75" thickBot="1" x14ac:dyDescent="0.3">
      <c r="A6" s="5">
        <v>121</v>
      </c>
      <c r="B6" s="6" t="s">
        <v>4</v>
      </c>
      <c r="C6" s="173">
        <v>32000</v>
      </c>
      <c r="D6" s="173">
        <v>32000</v>
      </c>
      <c r="E6" s="173">
        <v>32000</v>
      </c>
      <c r="F6" s="173">
        <v>32000</v>
      </c>
      <c r="G6" s="173">
        <v>32000</v>
      </c>
      <c r="H6" s="506">
        <f>32000</f>
        <v>32000</v>
      </c>
      <c r="I6" s="506">
        <f>32000</f>
        <v>32000</v>
      </c>
      <c r="J6" s="422">
        <v>25574</v>
      </c>
      <c r="K6" s="485">
        <f t="shared" si="3"/>
        <v>0.79918750000000005</v>
      </c>
    </row>
    <row r="7" spans="1:12" x14ac:dyDescent="0.25">
      <c r="A7" s="7">
        <v>133</v>
      </c>
      <c r="B7" s="8" t="s">
        <v>5</v>
      </c>
      <c r="C7" s="18">
        <v>1000</v>
      </c>
      <c r="D7" s="18">
        <v>1000</v>
      </c>
      <c r="E7" s="18">
        <v>1000</v>
      </c>
      <c r="F7" s="18">
        <v>1000</v>
      </c>
      <c r="G7" s="18">
        <v>1000</v>
      </c>
      <c r="H7" s="18">
        <v>1000</v>
      </c>
      <c r="I7" s="18">
        <v>1000</v>
      </c>
      <c r="J7" s="423">
        <v>885</v>
      </c>
      <c r="K7" s="485">
        <f t="shared" si="3"/>
        <v>0.88500000000000001</v>
      </c>
    </row>
    <row r="8" spans="1:12" x14ac:dyDescent="0.25">
      <c r="A8" s="9">
        <v>133</v>
      </c>
      <c r="B8" s="10" t="s">
        <v>6</v>
      </c>
      <c r="C8" s="19">
        <v>400</v>
      </c>
      <c r="D8" s="19">
        <v>400</v>
      </c>
      <c r="E8" s="19">
        <v>400</v>
      </c>
      <c r="F8" s="19">
        <v>400</v>
      </c>
      <c r="G8" s="19">
        <v>400</v>
      </c>
      <c r="H8" s="19">
        <v>400</v>
      </c>
      <c r="I8" s="19">
        <v>400</v>
      </c>
      <c r="J8" s="424">
        <v>130</v>
      </c>
      <c r="K8" s="485">
        <f t="shared" si="3"/>
        <v>0.32500000000000001</v>
      </c>
    </row>
    <row r="9" spans="1:12" x14ac:dyDescent="0.25">
      <c r="A9" s="9">
        <v>133</v>
      </c>
      <c r="B9" s="10" t="s">
        <v>7</v>
      </c>
      <c r="C9" s="19">
        <v>2000</v>
      </c>
      <c r="D9" s="19">
        <v>2000</v>
      </c>
      <c r="E9" s="19">
        <v>2000</v>
      </c>
      <c r="F9" s="19">
        <v>2000</v>
      </c>
      <c r="G9" s="19">
        <v>2000</v>
      </c>
      <c r="H9" s="19">
        <v>2000</v>
      </c>
      <c r="I9" s="19">
        <v>2000</v>
      </c>
      <c r="J9" s="424">
        <v>1040</v>
      </c>
      <c r="K9" s="485">
        <f t="shared" si="3"/>
        <v>0.52</v>
      </c>
      <c r="L9" t="s">
        <v>384</v>
      </c>
    </row>
    <row r="10" spans="1:12" x14ac:dyDescent="0.25">
      <c r="A10" s="9">
        <v>133</v>
      </c>
      <c r="B10" s="10" t="s">
        <v>8</v>
      </c>
      <c r="C10" s="19">
        <v>5000</v>
      </c>
      <c r="D10" s="19">
        <v>5000</v>
      </c>
      <c r="E10" s="19">
        <v>5000</v>
      </c>
      <c r="F10" s="19">
        <v>5000</v>
      </c>
      <c r="G10" s="19">
        <v>5000</v>
      </c>
      <c r="H10" s="19">
        <v>5000</v>
      </c>
      <c r="I10" s="19">
        <v>5000</v>
      </c>
      <c r="J10" s="424">
        <v>3041</v>
      </c>
      <c r="K10" s="485">
        <f t="shared" si="3"/>
        <v>0.60819999999999996</v>
      </c>
    </row>
    <row r="11" spans="1:12" ht="15.75" thickBot="1" x14ac:dyDescent="0.3">
      <c r="A11" s="12">
        <v>133</v>
      </c>
      <c r="B11" s="13" t="s">
        <v>9</v>
      </c>
      <c r="C11" s="14">
        <v>19000</v>
      </c>
      <c r="D11" s="14">
        <v>19000</v>
      </c>
      <c r="E11" s="14">
        <v>19000</v>
      </c>
      <c r="F11" s="14">
        <v>19000</v>
      </c>
      <c r="G11" s="14">
        <v>19000</v>
      </c>
      <c r="H11" s="14">
        <v>19000</v>
      </c>
      <c r="I11" s="14">
        <v>19000</v>
      </c>
      <c r="J11" s="425">
        <v>15016</v>
      </c>
      <c r="K11" s="485">
        <f t="shared" si="3"/>
        <v>0.79031578947368419</v>
      </c>
    </row>
    <row r="12" spans="1:12" ht="15.75" thickBot="1" x14ac:dyDescent="0.3">
      <c r="A12" s="1000" t="s">
        <v>10</v>
      </c>
      <c r="B12" s="1001"/>
      <c r="C12" s="1">
        <f t="shared" ref="C12:J12" si="4">SUM(C13:C31)</f>
        <v>159850</v>
      </c>
      <c r="D12" s="1">
        <f t="shared" si="4"/>
        <v>159882</v>
      </c>
      <c r="E12" s="1">
        <f t="shared" si="4"/>
        <v>159882</v>
      </c>
      <c r="F12" s="1">
        <f t="shared" si="4"/>
        <v>159882</v>
      </c>
      <c r="G12" s="1">
        <f t="shared" si="4"/>
        <v>172932</v>
      </c>
      <c r="H12" s="1">
        <f t="shared" ref="H12:I12" si="5">SUM(H13:H31)</f>
        <v>174727</v>
      </c>
      <c r="I12" s="1">
        <f t="shared" si="5"/>
        <v>175727</v>
      </c>
      <c r="J12" s="420">
        <f t="shared" si="4"/>
        <v>135367</v>
      </c>
      <c r="K12" s="485">
        <f t="shared" si="3"/>
        <v>0.77032556180894229</v>
      </c>
    </row>
    <row r="13" spans="1:12" x14ac:dyDescent="0.25">
      <c r="A13" s="15">
        <v>212</v>
      </c>
      <c r="B13" s="16" t="s">
        <v>11</v>
      </c>
      <c r="C13" s="17">
        <v>2282</v>
      </c>
      <c r="D13" s="17">
        <v>2282</v>
      </c>
      <c r="E13" s="17">
        <v>2282</v>
      </c>
      <c r="F13" s="17">
        <v>2282</v>
      </c>
      <c r="G13" s="17">
        <v>2282</v>
      </c>
      <c r="H13" s="17">
        <v>2282</v>
      </c>
      <c r="I13" s="17">
        <v>2282</v>
      </c>
      <c r="J13" s="426">
        <v>1583</v>
      </c>
      <c r="K13" s="485">
        <f t="shared" si="3"/>
        <v>0.69368974583698506</v>
      </c>
    </row>
    <row r="14" spans="1:12" x14ac:dyDescent="0.25">
      <c r="A14" s="7">
        <v>212</v>
      </c>
      <c r="B14" s="8" t="s">
        <v>12</v>
      </c>
      <c r="C14" s="18">
        <v>500</v>
      </c>
      <c r="D14" s="18">
        <v>500</v>
      </c>
      <c r="E14" s="18">
        <v>500</v>
      </c>
      <c r="F14" s="18">
        <v>500</v>
      </c>
      <c r="G14" s="18">
        <v>500</v>
      </c>
      <c r="H14" s="18">
        <v>500</v>
      </c>
      <c r="I14" s="18">
        <v>500</v>
      </c>
      <c r="J14" s="423">
        <v>149</v>
      </c>
      <c r="K14" s="485">
        <f t="shared" si="3"/>
        <v>0.29799999999999999</v>
      </c>
    </row>
    <row r="15" spans="1:12" x14ac:dyDescent="0.25">
      <c r="A15" s="9">
        <v>212</v>
      </c>
      <c r="B15" s="10" t="s">
        <v>13</v>
      </c>
      <c r="C15" s="19">
        <v>3943</v>
      </c>
      <c r="D15" s="377">
        <f t="shared" ref="D15:I15" si="6">3943+32</f>
        <v>3975</v>
      </c>
      <c r="E15" s="19">
        <f t="shared" si="6"/>
        <v>3975</v>
      </c>
      <c r="F15" s="19">
        <f t="shared" si="6"/>
        <v>3975</v>
      </c>
      <c r="G15" s="19">
        <f t="shared" si="6"/>
        <v>3975</v>
      </c>
      <c r="H15" s="19">
        <f t="shared" si="6"/>
        <v>3975</v>
      </c>
      <c r="I15" s="19">
        <f t="shared" si="6"/>
        <v>3975</v>
      </c>
      <c r="J15" s="424">
        <v>3159</v>
      </c>
      <c r="K15" s="485">
        <f t="shared" si="3"/>
        <v>0.79471698113207545</v>
      </c>
    </row>
    <row r="16" spans="1:12" x14ac:dyDescent="0.25">
      <c r="A16" s="9">
        <v>212</v>
      </c>
      <c r="B16" s="10" t="s">
        <v>14</v>
      </c>
      <c r="C16" s="20">
        <v>15075</v>
      </c>
      <c r="D16" s="20">
        <f>15075</f>
        <v>15075</v>
      </c>
      <c r="E16" s="20">
        <f>15075</f>
        <v>15075</v>
      </c>
      <c r="F16" s="20">
        <f>15075</f>
        <v>15075</v>
      </c>
      <c r="G16" s="381">
        <f>15075+1300</f>
        <v>16375</v>
      </c>
      <c r="H16" s="381">
        <f>15075+1300+1600</f>
        <v>17975</v>
      </c>
      <c r="I16" s="507">
        <f>15075+1300+1600</f>
        <v>17975</v>
      </c>
      <c r="J16" s="427">
        <v>14184</v>
      </c>
      <c r="K16" s="485">
        <f t="shared" si="3"/>
        <v>0.78909596662030601</v>
      </c>
    </row>
    <row r="17" spans="1:14" ht="15.75" thickBot="1" x14ac:dyDescent="0.3">
      <c r="A17" s="21">
        <v>212</v>
      </c>
      <c r="B17" s="22" t="s">
        <v>15</v>
      </c>
      <c r="C17" s="23">
        <v>200</v>
      </c>
      <c r="D17" s="23">
        <v>200</v>
      </c>
      <c r="E17" s="23">
        <v>200</v>
      </c>
      <c r="F17" s="23">
        <v>200</v>
      </c>
      <c r="G17" s="23">
        <v>200</v>
      </c>
      <c r="H17" s="23">
        <v>200</v>
      </c>
      <c r="I17" s="23">
        <v>200</v>
      </c>
      <c r="J17" s="428">
        <v>0</v>
      </c>
      <c r="K17" s="485">
        <f t="shared" si="3"/>
        <v>0</v>
      </c>
      <c r="L17" s="171">
        <f>SUM(J13:J17)</f>
        <v>19075</v>
      </c>
      <c r="M17" s="171">
        <f>SUM(H13:H17)</f>
        <v>24932</v>
      </c>
      <c r="N17" s="171"/>
    </row>
    <row r="18" spans="1:14" ht="15.75" thickBot="1" x14ac:dyDescent="0.3">
      <c r="A18" s="5">
        <v>221</v>
      </c>
      <c r="B18" s="6" t="s">
        <v>16</v>
      </c>
      <c r="C18" s="24">
        <v>11000</v>
      </c>
      <c r="D18" s="24">
        <v>11000</v>
      </c>
      <c r="E18" s="24">
        <v>11000</v>
      </c>
      <c r="F18" s="24">
        <v>11000</v>
      </c>
      <c r="G18" s="24">
        <v>11000</v>
      </c>
      <c r="H18" s="24">
        <v>11000</v>
      </c>
      <c r="I18" s="24">
        <v>11000</v>
      </c>
      <c r="J18" s="429">
        <v>2990</v>
      </c>
      <c r="K18" s="485">
        <f t="shared" si="3"/>
        <v>0.27181818181818179</v>
      </c>
    </row>
    <row r="19" spans="1:14" ht="15.75" thickBot="1" x14ac:dyDescent="0.3">
      <c r="A19" s="21">
        <v>222</v>
      </c>
      <c r="B19" s="22" t="s">
        <v>17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428">
        <v>0</v>
      </c>
      <c r="K19" s="485">
        <v>0</v>
      </c>
    </row>
    <row r="20" spans="1:14" x14ac:dyDescent="0.25">
      <c r="A20" s="7">
        <v>223</v>
      </c>
      <c r="B20" s="8" t="s">
        <v>18</v>
      </c>
      <c r="C20" s="18">
        <v>900</v>
      </c>
      <c r="D20" s="18">
        <v>900</v>
      </c>
      <c r="E20" s="18">
        <v>900</v>
      </c>
      <c r="F20" s="18">
        <v>900</v>
      </c>
      <c r="G20" s="18">
        <v>900</v>
      </c>
      <c r="H20" s="18">
        <v>900</v>
      </c>
      <c r="I20" s="18">
        <v>900</v>
      </c>
      <c r="J20" s="423">
        <v>597</v>
      </c>
      <c r="K20" s="485">
        <f t="shared" ref="K20:K65" si="7">J20/I20</f>
        <v>0.66333333333333333</v>
      </c>
    </row>
    <row r="21" spans="1:14" x14ac:dyDescent="0.25">
      <c r="A21" s="9">
        <v>223</v>
      </c>
      <c r="B21" s="10" t="s">
        <v>19</v>
      </c>
      <c r="C21" s="19">
        <v>18000</v>
      </c>
      <c r="D21" s="19">
        <v>18000</v>
      </c>
      <c r="E21" s="19">
        <v>18000</v>
      </c>
      <c r="F21" s="19">
        <v>18000</v>
      </c>
      <c r="G21" s="19">
        <v>18000</v>
      </c>
      <c r="H21" s="19">
        <v>18000</v>
      </c>
      <c r="I21" s="19">
        <v>18000</v>
      </c>
      <c r="J21" s="424">
        <v>12004</v>
      </c>
      <c r="K21" s="485">
        <f t="shared" si="7"/>
        <v>0.66688888888888886</v>
      </c>
    </row>
    <row r="22" spans="1:14" x14ac:dyDescent="0.25">
      <c r="A22" s="9">
        <v>223</v>
      </c>
      <c r="B22" s="10" t="s">
        <v>380</v>
      </c>
      <c r="C22" s="19">
        <v>30000</v>
      </c>
      <c r="D22" s="19">
        <v>30000</v>
      </c>
      <c r="E22" s="19">
        <v>30000</v>
      </c>
      <c r="F22" s="19">
        <v>30000</v>
      </c>
      <c r="G22" s="377">
        <f>30000+1000+5750</f>
        <v>36750</v>
      </c>
      <c r="H22" s="377">
        <f>30000+1000+5750+500+500-2000</f>
        <v>35750</v>
      </c>
      <c r="I22" s="495">
        <f>30000+1000+5750+500+500-2000</f>
        <v>35750</v>
      </c>
      <c r="J22" s="424">
        <v>33947</v>
      </c>
      <c r="K22" s="485">
        <f t="shared" si="7"/>
        <v>0.94956643356643355</v>
      </c>
    </row>
    <row r="23" spans="1:14" x14ac:dyDescent="0.25">
      <c r="A23" s="9">
        <v>223</v>
      </c>
      <c r="B23" s="10" t="s">
        <v>21</v>
      </c>
      <c r="C23" s="19">
        <v>1000</v>
      </c>
      <c r="D23" s="19">
        <v>1000</v>
      </c>
      <c r="E23" s="19">
        <v>1000</v>
      </c>
      <c r="F23" s="19">
        <v>1000</v>
      </c>
      <c r="G23" s="19">
        <v>1000</v>
      </c>
      <c r="H23" s="19">
        <v>1000</v>
      </c>
      <c r="I23" s="19">
        <v>1000</v>
      </c>
      <c r="J23" s="424">
        <v>248</v>
      </c>
      <c r="K23" s="485">
        <f t="shared" si="7"/>
        <v>0.248</v>
      </c>
    </row>
    <row r="24" spans="1:14" x14ac:dyDescent="0.25">
      <c r="A24" s="9">
        <v>223</v>
      </c>
      <c r="B24" s="10" t="s">
        <v>365</v>
      </c>
      <c r="C24" s="19">
        <v>0</v>
      </c>
      <c r="D24" s="19">
        <v>0</v>
      </c>
      <c r="E24" s="19">
        <v>0</v>
      </c>
      <c r="F24" s="19">
        <v>0</v>
      </c>
      <c r="G24" s="377">
        <v>5000</v>
      </c>
      <c r="H24" s="495">
        <v>5000</v>
      </c>
      <c r="I24" s="495">
        <v>5000</v>
      </c>
      <c r="J24" s="424">
        <v>5000</v>
      </c>
      <c r="K24" s="485">
        <f t="shared" si="7"/>
        <v>1</v>
      </c>
    </row>
    <row r="25" spans="1:14" x14ac:dyDescent="0.25">
      <c r="A25" s="9">
        <v>223</v>
      </c>
      <c r="B25" s="10" t="s">
        <v>22</v>
      </c>
      <c r="C25" s="19">
        <v>700</v>
      </c>
      <c r="D25" s="19">
        <v>700</v>
      </c>
      <c r="E25" s="19">
        <v>700</v>
      </c>
      <c r="F25" s="19">
        <v>700</v>
      </c>
      <c r="G25" s="19">
        <v>700</v>
      </c>
      <c r="H25" s="19">
        <v>700</v>
      </c>
      <c r="I25" s="19">
        <v>700</v>
      </c>
      <c r="J25" s="424">
        <v>411</v>
      </c>
      <c r="K25" s="485">
        <f t="shared" si="7"/>
        <v>0.58714285714285719</v>
      </c>
    </row>
    <row r="26" spans="1:14" x14ac:dyDescent="0.25">
      <c r="A26" s="9">
        <v>223</v>
      </c>
      <c r="B26" s="10" t="s">
        <v>23</v>
      </c>
      <c r="C26" s="19">
        <v>24000</v>
      </c>
      <c r="D26" s="19">
        <v>24000</v>
      </c>
      <c r="E26" s="19">
        <v>24000</v>
      </c>
      <c r="F26" s="19">
        <v>24000</v>
      </c>
      <c r="G26" s="19">
        <v>24000</v>
      </c>
      <c r="H26" s="377">
        <f>24000+6000</f>
        <v>30000</v>
      </c>
      <c r="I26" s="377">
        <f>24000+6000+1000</f>
        <v>31000</v>
      </c>
      <c r="J26" s="424">
        <v>28786</v>
      </c>
      <c r="K26" s="485">
        <f t="shared" si="7"/>
        <v>0.92858064516129035</v>
      </c>
    </row>
    <row r="27" spans="1:14" x14ac:dyDescent="0.25">
      <c r="A27" s="9">
        <v>223</v>
      </c>
      <c r="B27" s="10" t="s">
        <v>24</v>
      </c>
      <c r="C27" s="19">
        <v>21650</v>
      </c>
      <c r="D27" s="19">
        <v>21650</v>
      </c>
      <c r="E27" s="19">
        <v>21650</v>
      </c>
      <c r="F27" s="19">
        <v>21650</v>
      </c>
      <c r="G27" s="19">
        <v>21650</v>
      </c>
      <c r="H27" s="19">
        <v>21650</v>
      </c>
      <c r="I27" s="19">
        <v>21650</v>
      </c>
      <c r="J27" s="424">
        <v>14149</v>
      </c>
      <c r="K27" s="485">
        <f t="shared" si="7"/>
        <v>0.65353348729792149</v>
      </c>
    </row>
    <row r="28" spans="1:14" x14ac:dyDescent="0.25">
      <c r="A28" s="9">
        <v>223</v>
      </c>
      <c r="B28" s="10" t="s">
        <v>25</v>
      </c>
      <c r="C28" s="19">
        <v>18000</v>
      </c>
      <c r="D28" s="19">
        <v>18000</v>
      </c>
      <c r="E28" s="19">
        <v>18000</v>
      </c>
      <c r="F28" s="19">
        <v>18000</v>
      </c>
      <c r="G28" s="19">
        <v>18000</v>
      </c>
      <c r="H28" s="19">
        <v>18000</v>
      </c>
      <c r="I28" s="19">
        <v>18000</v>
      </c>
      <c r="J28" s="424">
        <v>11821</v>
      </c>
      <c r="K28" s="485">
        <f t="shared" si="7"/>
        <v>0.65672222222222221</v>
      </c>
    </row>
    <row r="29" spans="1:14" x14ac:dyDescent="0.25">
      <c r="A29" s="9">
        <v>223</v>
      </c>
      <c r="B29" s="10" t="s">
        <v>26</v>
      </c>
      <c r="C29" s="25">
        <v>10000</v>
      </c>
      <c r="D29" s="25">
        <v>10000</v>
      </c>
      <c r="E29" s="25">
        <v>10000</v>
      </c>
      <c r="F29" s="25">
        <v>10000</v>
      </c>
      <c r="G29" s="25">
        <v>10000</v>
      </c>
      <c r="H29" s="497">
        <f>10000-4805</f>
        <v>5195</v>
      </c>
      <c r="I29" s="25">
        <f>10000-4805</f>
        <v>5195</v>
      </c>
      <c r="J29" s="430">
        <v>5175</v>
      </c>
      <c r="K29" s="485">
        <f t="shared" si="7"/>
        <v>0.99615014436958615</v>
      </c>
    </row>
    <row r="30" spans="1:14" x14ac:dyDescent="0.25">
      <c r="A30" s="9">
        <v>223</v>
      </c>
      <c r="B30" s="10" t="s">
        <v>27</v>
      </c>
      <c r="C30" s="19">
        <v>2500</v>
      </c>
      <c r="D30" s="19">
        <v>2500</v>
      </c>
      <c r="E30" s="19">
        <v>2500</v>
      </c>
      <c r="F30" s="19">
        <v>2500</v>
      </c>
      <c r="G30" s="19">
        <v>2500</v>
      </c>
      <c r="H30" s="19">
        <v>2500</v>
      </c>
      <c r="I30" s="19">
        <v>2500</v>
      </c>
      <c r="J30" s="424">
        <v>1158</v>
      </c>
      <c r="K30" s="485">
        <f t="shared" si="7"/>
        <v>0.4632</v>
      </c>
    </row>
    <row r="31" spans="1:14" ht="15.75" thickBot="1" x14ac:dyDescent="0.3">
      <c r="A31" s="12">
        <v>223</v>
      </c>
      <c r="B31" s="13" t="s">
        <v>28</v>
      </c>
      <c r="C31" s="26">
        <v>100</v>
      </c>
      <c r="D31" s="26">
        <v>100</v>
      </c>
      <c r="E31" s="26">
        <v>100</v>
      </c>
      <c r="F31" s="26">
        <v>100</v>
      </c>
      <c r="G31" s="26">
        <v>100</v>
      </c>
      <c r="H31" s="26">
        <v>100</v>
      </c>
      <c r="I31" s="26">
        <v>100</v>
      </c>
      <c r="J31" s="431">
        <v>6</v>
      </c>
      <c r="K31" s="485">
        <f t="shared" si="7"/>
        <v>0.06</v>
      </c>
      <c r="L31" s="171">
        <f>SUM(J18:J31)</f>
        <v>116292</v>
      </c>
      <c r="M31" s="171">
        <f>SUM(H18:H31)</f>
        <v>149795</v>
      </c>
      <c r="N31" s="171"/>
    </row>
    <row r="32" spans="1:14" ht="15.75" thickBot="1" x14ac:dyDescent="0.3">
      <c r="A32" s="588" t="s">
        <v>29</v>
      </c>
      <c r="B32" s="589"/>
      <c r="C32" s="1">
        <f t="shared" ref="C32:J32" si="8">SUM(C33)</f>
        <v>600</v>
      </c>
      <c r="D32" s="1">
        <f t="shared" si="8"/>
        <v>600</v>
      </c>
      <c r="E32" s="1">
        <f t="shared" si="8"/>
        <v>600</v>
      </c>
      <c r="F32" s="1">
        <f t="shared" si="8"/>
        <v>600</v>
      </c>
      <c r="G32" s="1">
        <f t="shared" si="8"/>
        <v>600</v>
      </c>
      <c r="H32" s="1">
        <f t="shared" si="8"/>
        <v>600</v>
      </c>
      <c r="I32" s="1">
        <f t="shared" si="8"/>
        <v>600</v>
      </c>
      <c r="J32" s="420">
        <f t="shared" si="8"/>
        <v>269</v>
      </c>
      <c r="K32" s="485">
        <f t="shared" si="7"/>
        <v>0.44833333333333331</v>
      </c>
    </row>
    <row r="33" spans="1:11" ht="15.75" thickBot="1" x14ac:dyDescent="0.3">
      <c r="A33" s="27">
        <v>240</v>
      </c>
      <c r="B33" s="28" t="s">
        <v>30</v>
      </c>
      <c r="C33" s="23">
        <v>600</v>
      </c>
      <c r="D33" s="23">
        <v>600</v>
      </c>
      <c r="E33" s="23">
        <v>600</v>
      </c>
      <c r="F33" s="23">
        <v>600</v>
      </c>
      <c r="G33" s="23">
        <v>600</v>
      </c>
      <c r="H33" s="23">
        <v>600</v>
      </c>
      <c r="I33" s="23">
        <v>600</v>
      </c>
      <c r="J33" s="428">
        <v>269</v>
      </c>
      <c r="K33" s="485">
        <f t="shared" si="7"/>
        <v>0.44833333333333331</v>
      </c>
    </row>
    <row r="34" spans="1:11" ht="15.75" thickBot="1" x14ac:dyDescent="0.3">
      <c r="A34" s="588" t="s">
        <v>31</v>
      </c>
      <c r="B34" s="589"/>
      <c r="C34" s="1">
        <f t="shared" ref="C34:J34" si="9">SUM(C35:C41)</f>
        <v>39730</v>
      </c>
      <c r="D34" s="1">
        <f t="shared" si="9"/>
        <v>41710</v>
      </c>
      <c r="E34" s="1">
        <f t="shared" si="9"/>
        <v>41710</v>
      </c>
      <c r="F34" s="1">
        <f t="shared" si="9"/>
        <v>42960</v>
      </c>
      <c r="G34" s="1">
        <f t="shared" si="9"/>
        <v>42960</v>
      </c>
      <c r="H34" s="1">
        <f t="shared" si="9"/>
        <v>43960</v>
      </c>
      <c r="I34" s="1">
        <f t="shared" ref="I34" si="10">SUM(I35:I41)</f>
        <v>44660</v>
      </c>
      <c r="J34" s="420">
        <f t="shared" si="9"/>
        <v>16228</v>
      </c>
      <c r="K34" s="485">
        <f t="shared" si="7"/>
        <v>0.36336766681594268</v>
      </c>
    </row>
    <row r="35" spans="1:11" x14ac:dyDescent="0.25">
      <c r="A35" s="29">
        <v>292</v>
      </c>
      <c r="B35" s="30" t="s">
        <v>32</v>
      </c>
      <c r="C35" s="31">
        <v>200</v>
      </c>
      <c r="D35" s="31">
        <v>200</v>
      </c>
      <c r="E35" s="31">
        <v>200</v>
      </c>
      <c r="F35" s="31">
        <v>200</v>
      </c>
      <c r="G35" s="31">
        <v>200</v>
      </c>
      <c r="H35" s="31">
        <v>200</v>
      </c>
      <c r="I35" s="31">
        <v>200</v>
      </c>
      <c r="J35" s="432">
        <v>0</v>
      </c>
      <c r="K35" s="485">
        <f t="shared" si="7"/>
        <v>0</v>
      </c>
    </row>
    <row r="36" spans="1:11" x14ac:dyDescent="0.25">
      <c r="A36" s="29">
        <v>292</v>
      </c>
      <c r="B36" s="30" t="s">
        <v>33</v>
      </c>
      <c r="C36" s="31">
        <v>300</v>
      </c>
      <c r="D36" s="31">
        <v>300</v>
      </c>
      <c r="E36" s="31">
        <v>300</v>
      </c>
      <c r="F36" s="383">
        <f>300+250</f>
        <v>550</v>
      </c>
      <c r="G36" s="31">
        <v>550</v>
      </c>
      <c r="H36" s="31">
        <v>550</v>
      </c>
      <c r="I36" s="31">
        <v>550</v>
      </c>
      <c r="J36" s="432">
        <v>284</v>
      </c>
      <c r="K36" s="485">
        <f t="shared" si="7"/>
        <v>0.51636363636363636</v>
      </c>
    </row>
    <row r="37" spans="1:11" x14ac:dyDescent="0.25">
      <c r="A37" s="32">
        <v>292</v>
      </c>
      <c r="B37" s="33" t="s">
        <v>276</v>
      </c>
      <c r="C37" s="34">
        <v>0</v>
      </c>
      <c r="D37" s="374">
        <v>2000</v>
      </c>
      <c r="E37" s="34">
        <v>2000</v>
      </c>
      <c r="F37" s="34">
        <v>2000</v>
      </c>
      <c r="G37" s="34">
        <v>2000</v>
      </c>
      <c r="H37" s="34">
        <v>2000</v>
      </c>
      <c r="I37" s="34">
        <v>2000</v>
      </c>
      <c r="J37" s="433">
        <v>1998</v>
      </c>
      <c r="K37" s="485">
        <f t="shared" si="7"/>
        <v>0.999</v>
      </c>
    </row>
    <row r="38" spans="1:11" x14ac:dyDescent="0.25">
      <c r="A38" s="32">
        <v>292</v>
      </c>
      <c r="B38" s="33" t="s">
        <v>277</v>
      </c>
      <c r="C38" s="34">
        <v>15000</v>
      </c>
      <c r="D38" s="34">
        <v>15000</v>
      </c>
      <c r="E38" s="34">
        <v>15000</v>
      </c>
      <c r="F38" s="34">
        <v>15000</v>
      </c>
      <c r="G38" s="34">
        <v>15000</v>
      </c>
      <c r="H38" s="34">
        <v>15000</v>
      </c>
      <c r="I38" s="34">
        <v>15000</v>
      </c>
      <c r="J38" s="433">
        <v>1805</v>
      </c>
      <c r="K38" s="485">
        <f t="shared" si="7"/>
        <v>0.12033333333333333</v>
      </c>
    </row>
    <row r="39" spans="1:11" x14ac:dyDescent="0.25">
      <c r="A39" s="32">
        <v>292</v>
      </c>
      <c r="B39" s="10" t="s">
        <v>35</v>
      </c>
      <c r="C39" s="35">
        <v>230</v>
      </c>
      <c r="D39" s="378">
        <f t="shared" ref="D39:I39" si="11">230-20</f>
        <v>210</v>
      </c>
      <c r="E39" s="35">
        <f t="shared" si="11"/>
        <v>210</v>
      </c>
      <c r="F39" s="35">
        <f t="shared" si="11"/>
        <v>210</v>
      </c>
      <c r="G39" s="35">
        <f t="shared" si="11"/>
        <v>210</v>
      </c>
      <c r="H39" s="35">
        <f t="shared" si="11"/>
        <v>210</v>
      </c>
      <c r="I39" s="35">
        <f t="shared" si="11"/>
        <v>210</v>
      </c>
      <c r="J39" s="434">
        <v>105</v>
      </c>
      <c r="K39" s="485">
        <f t="shared" si="7"/>
        <v>0.5</v>
      </c>
    </row>
    <row r="40" spans="1:11" x14ac:dyDescent="0.25">
      <c r="A40" s="32">
        <v>292</v>
      </c>
      <c r="B40" s="33" t="s">
        <v>36</v>
      </c>
      <c r="C40" s="34">
        <v>21000</v>
      </c>
      <c r="D40" s="34">
        <v>21000</v>
      </c>
      <c r="E40" s="34">
        <v>21000</v>
      </c>
      <c r="F40" s="374">
        <f>21000+1000</f>
        <v>22000</v>
      </c>
      <c r="G40" s="413">
        <v>22000</v>
      </c>
      <c r="H40" s="374">
        <f>22000+1000</f>
        <v>23000</v>
      </c>
      <c r="I40" s="374">
        <f>22000+1000+700</f>
        <v>23700</v>
      </c>
      <c r="J40" s="433">
        <f>11596-105</f>
        <v>11491</v>
      </c>
      <c r="K40" s="485">
        <f t="shared" si="7"/>
        <v>0.48485232067510547</v>
      </c>
    </row>
    <row r="41" spans="1:11" ht="15.75" thickBot="1" x14ac:dyDescent="0.3">
      <c r="A41" s="32">
        <v>292</v>
      </c>
      <c r="B41" s="33" t="s">
        <v>37</v>
      </c>
      <c r="C41" s="34">
        <v>3000</v>
      </c>
      <c r="D41" s="34">
        <v>3000</v>
      </c>
      <c r="E41" s="34">
        <v>3000</v>
      </c>
      <c r="F41" s="34">
        <v>3000</v>
      </c>
      <c r="G41" s="34">
        <v>3000</v>
      </c>
      <c r="H41" s="34">
        <v>3000</v>
      </c>
      <c r="I41" s="34">
        <v>3000</v>
      </c>
      <c r="J41" s="433">
        <v>545</v>
      </c>
      <c r="K41" s="485">
        <f t="shared" si="7"/>
        <v>0.18166666666666667</v>
      </c>
    </row>
    <row r="42" spans="1:11" ht="15.75" thickBot="1" x14ac:dyDescent="0.3">
      <c r="A42" s="36" t="s">
        <v>38</v>
      </c>
      <c r="B42" s="37"/>
      <c r="C42" s="1">
        <f t="shared" ref="C42:J42" si="12">SUM(C43:C60)</f>
        <v>548960</v>
      </c>
      <c r="D42" s="1">
        <f t="shared" si="12"/>
        <v>571181</v>
      </c>
      <c r="E42" s="1">
        <f t="shared" si="12"/>
        <v>576181</v>
      </c>
      <c r="F42" s="1">
        <f t="shared" si="12"/>
        <v>598931</v>
      </c>
      <c r="G42" s="1">
        <f t="shared" si="12"/>
        <v>608041</v>
      </c>
      <c r="H42" s="1">
        <f t="shared" si="12"/>
        <v>613691</v>
      </c>
      <c r="I42" s="1">
        <f t="shared" ref="I42" si="13">SUM(I43:I60)</f>
        <v>613664</v>
      </c>
      <c r="J42" s="420">
        <f t="shared" si="12"/>
        <v>411565</v>
      </c>
      <c r="K42" s="485">
        <f t="shared" si="7"/>
        <v>0.67066831360483914</v>
      </c>
    </row>
    <row r="43" spans="1:11" x14ac:dyDescent="0.25">
      <c r="A43" s="38">
        <v>311</v>
      </c>
      <c r="B43" s="39" t="s">
        <v>330</v>
      </c>
      <c r="C43" s="40">
        <v>0</v>
      </c>
      <c r="D43" s="40">
        <v>0</v>
      </c>
      <c r="E43" s="40">
        <v>0</v>
      </c>
      <c r="F43" s="400">
        <v>5950</v>
      </c>
      <c r="G43" s="400">
        <f>5950-3950</f>
        <v>2000</v>
      </c>
      <c r="H43" s="500">
        <f>5950-3950</f>
        <v>2000</v>
      </c>
      <c r="I43" s="500">
        <f>5950-3950</f>
        <v>2000</v>
      </c>
      <c r="J43" s="435">
        <v>2000</v>
      </c>
      <c r="K43" s="485">
        <f t="shared" si="7"/>
        <v>1</v>
      </c>
    </row>
    <row r="44" spans="1:11" x14ac:dyDescent="0.25">
      <c r="A44" s="38">
        <v>312</v>
      </c>
      <c r="B44" s="39" t="s">
        <v>39</v>
      </c>
      <c r="C44" s="40">
        <v>3500</v>
      </c>
      <c r="D44" s="40">
        <v>3500</v>
      </c>
      <c r="E44" s="40">
        <v>3500</v>
      </c>
      <c r="F44" s="40">
        <v>3500</v>
      </c>
      <c r="G44" s="40">
        <v>3500</v>
      </c>
      <c r="H44" s="400">
        <f>3500-1450</f>
        <v>2050</v>
      </c>
      <c r="I44" s="400">
        <f>3500-1450+150</f>
        <v>2200</v>
      </c>
      <c r="J44" s="435">
        <v>840</v>
      </c>
      <c r="K44" s="485">
        <f t="shared" si="7"/>
        <v>0.38181818181818183</v>
      </c>
    </row>
    <row r="45" spans="1:11" x14ac:dyDescent="0.25">
      <c r="A45" s="41">
        <v>312</v>
      </c>
      <c r="B45" s="10" t="s">
        <v>40</v>
      </c>
      <c r="C45" s="18">
        <v>7200</v>
      </c>
      <c r="D45" s="18">
        <v>7200</v>
      </c>
      <c r="E45" s="18">
        <v>7200</v>
      </c>
      <c r="F45" s="18">
        <v>7200</v>
      </c>
      <c r="G45" s="18">
        <v>7200</v>
      </c>
      <c r="H45" s="18">
        <v>7200</v>
      </c>
      <c r="I45" s="18">
        <v>7200</v>
      </c>
      <c r="J45" s="423">
        <v>5321</v>
      </c>
      <c r="K45" s="485">
        <f t="shared" si="7"/>
        <v>0.73902777777777773</v>
      </c>
    </row>
    <row r="46" spans="1:11" x14ac:dyDescent="0.25">
      <c r="A46" s="41">
        <v>312</v>
      </c>
      <c r="B46" s="10" t="s">
        <v>41</v>
      </c>
      <c r="C46" s="18">
        <v>3000</v>
      </c>
      <c r="D46" s="18">
        <v>3000</v>
      </c>
      <c r="E46" s="18">
        <v>3000</v>
      </c>
      <c r="F46" s="18">
        <v>3000</v>
      </c>
      <c r="G46" s="18">
        <v>3000</v>
      </c>
      <c r="H46" s="18">
        <v>3000</v>
      </c>
      <c r="I46" s="18">
        <v>3000</v>
      </c>
      <c r="J46" s="423">
        <v>381</v>
      </c>
      <c r="K46" s="485">
        <f t="shared" si="7"/>
        <v>0.127</v>
      </c>
    </row>
    <row r="47" spans="1:11" x14ac:dyDescent="0.25">
      <c r="A47" s="41">
        <v>312</v>
      </c>
      <c r="B47" s="42" t="s">
        <v>200</v>
      </c>
      <c r="C47" s="43">
        <v>61000</v>
      </c>
      <c r="D47" s="43">
        <v>61000</v>
      </c>
      <c r="E47" s="43">
        <v>61000</v>
      </c>
      <c r="F47" s="43">
        <v>61000</v>
      </c>
      <c r="G47" s="43">
        <v>61000</v>
      </c>
      <c r="H47" s="43">
        <v>61000</v>
      </c>
      <c r="I47" s="43">
        <v>61000</v>
      </c>
      <c r="J47" s="436">
        <v>4136</v>
      </c>
      <c r="K47" s="485">
        <f t="shared" si="7"/>
        <v>6.7803278688524593E-2</v>
      </c>
    </row>
    <row r="48" spans="1:11" x14ac:dyDescent="0.25">
      <c r="A48" s="41">
        <v>312</v>
      </c>
      <c r="B48" s="42" t="s">
        <v>42</v>
      </c>
      <c r="C48" s="18">
        <v>12800</v>
      </c>
      <c r="D48" s="18">
        <v>12800</v>
      </c>
      <c r="E48" s="18">
        <v>12800</v>
      </c>
      <c r="F48" s="18">
        <v>12800</v>
      </c>
      <c r="G48" s="18">
        <v>12800</v>
      </c>
      <c r="H48" s="18">
        <v>12800</v>
      </c>
      <c r="I48" s="18">
        <v>12800</v>
      </c>
      <c r="J48" s="423">
        <v>9362</v>
      </c>
      <c r="K48" s="485">
        <f t="shared" si="7"/>
        <v>0.73140625000000004</v>
      </c>
    </row>
    <row r="49" spans="1:14" x14ac:dyDescent="0.25">
      <c r="A49" s="41">
        <v>312</v>
      </c>
      <c r="B49" s="42" t="s">
        <v>43</v>
      </c>
      <c r="C49" s="18">
        <v>21800</v>
      </c>
      <c r="D49" s="18">
        <v>21800</v>
      </c>
      <c r="E49" s="18">
        <v>21800</v>
      </c>
      <c r="F49" s="18">
        <v>21800</v>
      </c>
      <c r="G49" s="18">
        <v>21800</v>
      </c>
      <c r="H49" s="379">
        <f>21800+700</f>
        <v>22500</v>
      </c>
      <c r="I49" s="414">
        <f>21800+700</f>
        <v>22500</v>
      </c>
      <c r="J49" s="423">
        <v>16350</v>
      </c>
      <c r="K49" s="485">
        <f t="shared" si="7"/>
        <v>0.72666666666666668</v>
      </c>
    </row>
    <row r="50" spans="1:14" x14ac:dyDescent="0.25">
      <c r="A50" s="41">
        <v>312</v>
      </c>
      <c r="B50" s="42" t="s">
        <v>44</v>
      </c>
      <c r="C50" s="18">
        <v>7700</v>
      </c>
      <c r="D50" s="18">
        <v>7700</v>
      </c>
      <c r="E50" s="18">
        <v>7700</v>
      </c>
      <c r="F50" s="18">
        <v>7700</v>
      </c>
      <c r="G50" s="416">
        <f>7700-120</f>
        <v>7580</v>
      </c>
      <c r="H50" s="501">
        <f>7700-120</f>
        <v>7580</v>
      </c>
      <c r="I50" s="501">
        <f>7700-120</f>
        <v>7580</v>
      </c>
      <c r="J50" s="423">
        <v>5664</v>
      </c>
      <c r="K50" s="485">
        <f t="shared" si="7"/>
        <v>0.7472295514511873</v>
      </c>
    </row>
    <row r="51" spans="1:14" x14ac:dyDescent="0.25">
      <c r="A51" s="41">
        <v>312</v>
      </c>
      <c r="B51" s="42" t="s">
        <v>329</v>
      </c>
      <c r="C51" s="18">
        <v>0</v>
      </c>
      <c r="D51" s="18">
        <v>0</v>
      </c>
      <c r="E51" s="18">
        <v>0</v>
      </c>
      <c r="F51" s="379">
        <v>2100</v>
      </c>
      <c r="G51" s="414">
        <v>2100</v>
      </c>
      <c r="H51" s="414">
        <v>2100</v>
      </c>
      <c r="I51" s="414">
        <v>2100</v>
      </c>
      <c r="J51" s="423">
        <v>2100</v>
      </c>
      <c r="K51" s="485">
        <f t="shared" si="7"/>
        <v>1</v>
      </c>
    </row>
    <row r="52" spans="1:14" x14ac:dyDescent="0.25">
      <c r="A52" s="41">
        <v>312</v>
      </c>
      <c r="B52" s="42" t="s">
        <v>350</v>
      </c>
      <c r="C52" s="18">
        <v>0</v>
      </c>
      <c r="D52" s="18">
        <v>0</v>
      </c>
      <c r="E52" s="18">
        <v>0</v>
      </c>
      <c r="F52" s="18">
        <v>0</v>
      </c>
      <c r="G52" s="379">
        <v>10000</v>
      </c>
      <c r="H52" s="414">
        <v>10000</v>
      </c>
      <c r="I52" s="414">
        <v>10000</v>
      </c>
      <c r="J52" s="423">
        <v>0</v>
      </c>
      <c r="K52" s="485">
        <f t="shared" si="7"/>
        <v>0</v>
      </c>
    </row>
    <row r="53" spans="1:14" x14ac:dyDescent="0.25">
      <c r="A53" s="41">
        <v>312</v>
      </c>
      <c r="B53" s="42" t="s">
        <v>47</v>
      </c>
      <c r="C53" s="18">
        <v>700</v>
      </c>
      <c r="D53" s="18">
        <v>700</v>
      </c>
      <c r="E53" s="18">
        <v>700</v>
      </c>
      <c r="F53" s="379">
        <v>1400</v>
      </c>
      <c r="G53" s="414">
        <v>1400</v>
      </c>
      <c r="H53" s="414">
        <v>1400</v>
      </c>
      <c r="I53" s="414">
        <v>1400</v>
      </c>
      <c r="J53" s="423">
        <v>1400</v>
      </c>
      <c r="K53" s="485">
        <f t="shared" si="7"/>
        <v>1</v>
      </c>
    </row>
    <row r="54" spans="1:14" x14ac:dyDescent="0.25">
      <c r="A54" s="44">
        <v>312</v>
      </c>
      <c r="B54" s="39" t="s">
        <v>292</v>
      </c>
      <c r="C54" s="45">
        <v>0</v>
      </c>
      <c r="D54" s="45">
        <v>0</v>
      </c>
      <c r="E54" s="380">
        <v>5000</v>
      </c>
      <c r="F54" s="45">
        <v>5000</v>
      </c>
      <c r="G54" s="380">
        <f>5000+3000</f>
        <v>8000</v>
      </c>
      <c r="H54" s="502">
        <f>5000+3000</f>
        <v>8000</v>
      </c>
      <c r="I54" s="502">
        <f>5000+3000</f>
        <v>8000</v>
      </c>
      <c r="J54" s="437">
        <v>8000</v>
      </c>
      <c r="K54" s="485">
        <f t="shared" si="7"/>
        <v>1</v>
      </c>
    </row>
    <row r="55" spans="1:14" ht="15" customHeight="1" x14ac:dyDescent="0.25">
      <c r="A55" s="41">
        <v>312</v>
      </c>
      <c r="B55" s="42" t="s">
        <v>46</v>
      </c>
      <c r="C55" s="18">
        <v>15500</v>
      </c>
      <c r="D55" s="18">
        <v>15500</v>
      </c>
      <c r="E55" s="18">
        <v>15500</v>
      </c>
      <c r="F55" s="18">
        <v>15500</v>
      </c>
      <c r="G55" s="18">
        <v>15500</v>
      </c>
      <c r="H55" s="18">
        <v>15500</v>
      </c>
      <c r="I55" s="18">
        <v>15500</v>
      </c>
      <c r="J55" s="423">
        <v>15485</v>
      </c>
      <c r="K55" s="485">
        <f t="shared" si="7"/>
        <v>0.99903225806451612</v>
      </c>
    </row>
    <row r="56" spans="1:14" x14ac:dyDescent="0.25">
      <c r="A56" s="46">
        <v>312</v>
      </c>
      <c r="B56" s="10" t="s">
        <v>49</v>
      </c>
      <c r="C56" s="19">
        <f t="shared" ref="C56" si="14">3900+220</f>
        <v>4120</v>
      </c>
      <c r="D56" s="377">
        <f>3900+220-220</f>
        <v>3900</v>
      </c>
      <c r="E56" s="19">
        <f>3900+220-220</f>
        <v>3900</v>
      </c>
      <c r="F56" s="19">
        <f>3900+220-220</f>
        <v>3900</v>
      </c>
      <c r="G56" s="377">
        <f>3900+220-220+100</f>
        <v>4000</v>
      </c>
      <c r="H56" s="495">
        <f>3900+220-220+100</f>
        <v>4000</v>
      </c>
      <c r="I56" s="495">
        <f>3900+220-220+100</f>
        <v>4000</v>
      </c>
      <c r="J56" s="424">
        <v>3966</v>
      </c>
      <c r="K56" s="485">
        <f t="shared" si="7"/>
        <v>0.99150000000000005</v>
      </c>
    </row>
    <row r="57" spans="1:14" ht="16.5" customHeight="1" x14ac:dyDescent="0.25">
      <c r="A57" s="46">
        <v>312</v>
      </c>
      <c r="B57" s="47" t="s">
        <v>50</v>
      </c>
      <c r="C57" s="20">
        <v>3000</v>
      </c>
      <c r="D57" s="20">
        <v>3000</v>
      </c>
      <c r="E57" s="20">
        <v>3000</v>
      </c>
      <c r="F57" s="20">
        <v>3000</v>
      </c>
      <c r="G57" s="381">
        <f>3000+20</f>
        <v>3020</v>
      </c>
      <c r="H57" s="507">
        <f>3000+20</f>
        <v>3020</v>
      </c>
      <c r="I57" s="507">
        <f>3000+20</f>
        <v>3020</v>
      </c>
      <c r="J57" s="427">
        <v>3018</v>
      </c>
      <c r="K57" s="485">
        <f t="shared" si="7"/>
        <v>0.99933774834437084</v>
      </c>
    </row>
    <row r="58" spans="1:14" x14ac:dyDescent="0.25">
      <c r="A58" s="46">
        <v>312</v>
      </c>
      <c r="B58" s="48" t="s">
        <v>51</v>
      </c>
      <c r="C58" s="20">
        <v>2200</v>
      </c>
      <c r="D58" s="381">
        <f t="shared" ref="D58:I58" si="15">2200+404</f>
        <v>2604</v>
      </c>
      <c r="E58" s="20">
        <f t="shared" si="15"/>
        <v>2604</v>
      </c>
      <c r="F58" s="20">
        <f t="shared" si="15"/>
        <v>2604</v>
      </c>
      <c r="G58" s="20">
        <f t="shared" si="15"/>
        <v>2604</v>
      </c>
      <c r="H58" s="20">
        <f t="shared" si="15"/>
        <v>2604</v>
      </c>
      <c r="I58" s="20">
        <f t="shared" si="15"/>
        <v>2604</v>
      </c>
      <c r="J58" s="427">
        <v>1736</v>
      </c>
      <c r="K58" s="485">
        <f t="shared" si="7"/>
        <v>0.66666666666666663</v>
      </c>
    </row>
    <row r="59" spans="1:14" x14ac:dyDescent="0.25">
      <c r="A59" s="41">
        <v>312</v>
      </c>
      <c r="B59" s="42" t="s">
        <v>320</v>
      </c>
      <c r="C59" s="18">
        <v>0</v>
      </c>
      <c r="D59" s="18">
        <v>0</v>
      </c>
      <c r="E59" s="18">
        <v>0</v>
      </c>
      <c r="F59" s="379">
        <v>14000</v>
      </c>
      <c r="G59" s="414">
        <v>14000</v>
      </c>
      <c r="H59" s="414">
        <v>14000</v>
      </c>
      <c r="I59" s="414">
        <v>14000</v>
      </c>
      <c r="J59" s="423">
        <v>6081</v>
      </c>
      <c r="K59" s="485">
        <f t="shared" si="7"/>
        <v>0.43435714285714283</v>
      </c>
    </row>
    <row r="60" spans="1:14" ht="17.25" customHeight="1" thickBot="1" x14ac:dyDescent="0.3">
      <c r="A60" s="522">
        <v>312</v>
      </c>
      <c r="B60" s="523" t="s">
        <v>52</v>
      </c>
      <c r="C60" s="524">
        <v>406440</v>
      </c>
      <c r="D60" s="521">
        <f>406440+22037</f>
        <v>428477</v>
      </c>
      <c r="E60" s="524">
        <f>406440+22037</f>
        <v>428477</v>
      </c>
      <c r="F60" s="524">
        <f>406440+22037</f>
        <v>428477</v>
      </c>
      <c r="G60" s="521">
        <f>406440+22037+60</f>
        <v>428537</v>
      </c>
      <c r="H60" s="521">
        <f>406440+22037+60+6024+376</f>
        <v>434937</v>
      </c>
      <c r="I60" s="521">
        <f>406440+22037+60+6024+376+4806-4983</f>
        <v>434760</v>
      </c>
      <c r="J60" s="525">
        <v>325725</v>
      </c>
      <c r="K60" s="485">
        <f t="shared" si="7"/>
        <v>0.74920645873585423</v>
      </c>
    </row>
    <row r="61" spans="1:14" ht="20.25" customHeight="1" thickBot="1" x14ac:dyDescent="0.3">
      <c r="A61" s="52" t="s">
        <v>53</v>
      </c>
      <c r="B61" s="53"/>
      <c r="C61" s="54">
        <f t="shared" ref="C61:J61" si="16">SUM(C4+C12+C32+C34+C42)</f>
        <v>1758540</v>
      </c>
      <c r="D61" s="54">
        <f t="shared" si="16"/>
        <v>1782773</v>
      </c>
      <c r="E61" s="54">
        <f t="shared" si="16"/>
        <v>1787773</v>
      </c>
      <c r="F61" s="54">
        <f t="shared" si="16"/>
        <v>1816773</v>
      </c>
      <c r="G61" s="54">
        <f t="shared" si="16"/>
        <v>1845933</v>
      </c>
      <c r="H61" s="54">
        <f t="shared" ref="H61:I61" si="17">SUM(H4+H12+H32+H34+H42)</f>
        <v>1854378</v>
      </c>
      <c r="I61" s="54">
        <f t="shared" si="17"/>
        <v>1856051</v>
      </c>
      <c r="J61" s="439">
        <f t="shared" si="16"/>
        <v>1335589</v>
      </c>
      <c r="K61" s="485">
        <f t="shared" si="7"/>
        <v>0.71958636912455531</v>
      </c>
      <c r="L61" s="171">
        <f>I61-H61</f>
        <v>1673</v>
      </c>
      <c r="M61" s="171"/>
    </row>
    <row r="62" spans="1:14" ht="17.25" customHeight="1" x14ac:dyDescent="0.25">
      <c r="A62" s="528" t="s">
        <v>54</v>
      </c>
      <c r="B62" s="529" t="s">
        <v>397</v>
      </c>
      <c r="C62" s="530">
        <v>3000</v>
      </c>
      <c r="D62" s="530">
        <f>3000+350</f>
        <v>3350</v>
      </c>
      <c r="E62" s="530">
        <f>3000+350</f>
        <v>3350</v>
      </c>
      <c r="F62" s="530">
        <f>3000+350</f>
        <v>3350</v>
      </c>
      <c r="G62" s="526">
        <f>3000+350+2770</f>
        <v>6120</v>
      </c>
      <c r="H62" s="530">
        <f>3000+350+2770</f>
        <v>6120</v>
      </c>
      <c r="I62" s="530">
        <f>3000+350+2770</f>
        <v>6120</v>
      </c>
      <c r="J62" s="547">
        <v>3946</v>
      </c>
      <c r="K62" s="485">
        <f t="shared" si="7"/>
        <v>0.6447712418300654</v>
      </c>
      <c r="L62" s="171"/>
      <c r="M62" s="171"/>
    </row>
    <row r="63" spans="1:14" ht="16.5" thickBot="1" x14ac:dyDescent="0.3">
      <c r="A63" s="531" t="s">
        <v>54</v>
      </c>
      <c r="B63" s="517" t="s">
        <v>387</v>
      </c>
      <c r="C63" s="532">
        <v>0</v>
      </c>
      <c r="D63" s="532">
        <v>0</v>
      </c>
      <c r="E63" s="532">
        <v>0</v>
      </c>
      <c r="F63" s="532">
        <v>0</v>
      </c>
      <c r="G63" s="532">
        <v>0</v>
      </c>
      <c r="H63" s="527">
        <v>4905</v>
      </c>
      <c r="I63" s="532">
        <v>4905</v>
      </c>
      <c r="J63" s="533">
        <v>0</v>
      </c>
      <c r="K63" s="485">
        <f t="shared" si="7"/>
        <v>0</v>
      </c>
      <c r="N63" s="60"/>
    </row>
    <row r="64" spans="1:14" ht="16.5" thickBot="1" x14ac:dyDescent="0.3">
      <c r="A64" s="508" t="s">
        <v>54</v>
      </c>
      <c r="B64" s="509" t="s">
        <v>396</v>
      </c>
      <c r="C64" s="146">
        <f>SUM(C62:C63)</f>
        <v>3000</v>
      </c>
      <c r="D64" s="146">
        <f t="shared" ref="D64:J64" si="18">SUM(D62:D63)</f>
        <v>3350</v>
      </c>
      <c r="E64" s="146">
        <f t="shared" si="18"/>
        <v>3350</v>
      </c>
      <c r="F64" s="146">
        <f t="shared" si="18"/>
        <v>3350</v>
      </c>
      <c r="G64" s="146">
        <f t="shared" si="18"/>
        <v>6120</v>
      </c>
      <c r="H64" s="146">
        <f t="shared" si="18"/>
        <v>11025</v>
      </c>
      <c r="I64" s="146">
        <f t="shared" ref="I64" si="19">SUM(I62:I63)</f>
        <v>11025</v>
      </c>
      <c r="J64" s="146">
        <f t="shared" si="18"/>
        <v>3946</v>
      </c>
      <c r="K64" s="485">
        <f t="shared" si="7"/>
        <v>0.35791383219954648</v>
      </c>
      <c r="N64" s="60"/>
    </row>
    <row r="65" spans="1:14" ht="21" customHeight="1" thickBot="1" x14ac:dyDescent="0.3">
      <c r="A65" s="52" t="s">
        <v>56</v>
      </c>
      <c r="B65" s="37"/>
      <c r="C65" s="54">
        <f>C61+C64</f>
        <v>1761540</v>
      </c>
      <c r="D65" s="54">
        <f t="shared" ref="D65:J65" si="20">D61+D64</f>
        <v>1786123</v>
      </c>
      <c r="E65" s="54">
        <f t="shared" si="20"/>
        <v>1791123</v>
      </c>
      <c r="F65" s="54">
        <f t="shared" si="20"/>
        <v>1820123</v>
      </c>
      <c r="G65" s="54">
        <f t="shared" si="20"/>
        <v>1852053</v>
      </c>
      <c r="H65" s="54">
        <f t="shared" si="20"/>
        <v>1865403</v>
      </c>
      <c r="I65" s="54">
        <f t="shared" ref="I65" si="21">I61+I64</f>
        <v>1867076</v>
      </c>
      <c r="J65" s="54">
        <f t="shared" si="20"/>
        <v>1339535</v>
      </c>
      <c r="K65" s="485">
        <f t="shared" si="7"/>
        <v>0.71745070902309283</v>
      </c>
      <c r="L65" s="171">
        <f>I65-H65</f>
        <v>1673</v>
      </c>
      <c r="N65" s="59"/>
    </row>
    <row r="66" spans="1:14" ht="30.75" customHeight="1" x14ac:dyDescent="0.25">
      <c r="A66" s="5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4" ht="18.75" thickBot="1" x14ac:dyDescent="0.3">
      <c r="A67" s="1002" t="s">
        <v>57</v>
      </c>
      <c r="B67" s="1003"/>
      <c r="C67" s="1003"/>
      <c r="D67" s="1003"/>
      <c r="E67" s="1003"/>
      <c r="F67" s="1003"/>
      <c r="G67" s="1003"/>
      <c r="H67" s="1003"/>
      <c r="I67" s="1003"/>
      <c r="J67" s="1003"/>
      <c r="K67" s="1003"/>
    </row>
    <row r="68" spans="1:14" ht="15" customHeight="1" x14ac:dyDescent="0.25">
      <c r="A68" s="992" t="s">
        <v>1</v>
      </c>
      <c r="B68" s="993"/>
      <c r="C68" s="996">
        <v>2017</v>
      </c>
      <c r="D68" s="996" t="s">
        <v>235</v>
      </c>
      <c r="E68" s="996" t="s">
        <v>279</v>
      </c>
      <c r="F68" s="996" t="s">
        <v>310</v>
      </c>
      <c r="G68" s="1004" t="s">
        <v>348</v>
      </c>
      <c r="H68" s="996" t="s">
        <v>386</v>
      </c>
      <c r="I68" s="996" t="s">
        <v>471</v>
      </c>
      <c r="J68" s="998" t="s">
        <v>436</v>
      </c>
      <c r="K68" s="418" t="s">
        <v>280</v>
      </c>
    </row>
    <row r="69" spans="1:14" ht="15.75" thickBot="1" x14ac:dyDescent="0.3">
      <c r="A69" s="994"/>
      <c r="B69" s="995"/>
      <c r="C69" s="997"/>
      <c r="D69" s="997"/>
      <c r="E69" s="997"/>
      <c r="F69" s="997"/>
      <c r="G69" s="1005"/>
      <c r="H69" s="997"/>
      <c r="I69" s="997"/>
      <c r="J69" s="999"/>
      <c r="K69" s="419" t="s">
        <v>281</v>
      </c>
    </row>
    <row r="70" spans="1:14" ht="15.75" thickBot="1" x14ac:dyDescent="0.3">
      <c r="A70" s="61" t="s">
        <v>58</v>
      </c>
      <c r="B70" s="62"/>
      <c r="C70" s="63">
        <f t="shared" ref="C70:J70" si="22">SUM(C71:C75)</f>
        <v>188500</v>
      </c>
      <c r="D70" s="63">
        <f t="shared" si="22"/>
        <v>188480</v>
      </c>
      <c r="E70" s="63">
        <f t="shared" si="22"/>
        <v>188480</v>
      </c>
      <c r="F70" s="63">
        <f t="shared" si="22"/>
        <v>191730</v>
      </c>
      <c r="G70" s="344">
        <f t="shared" si="22"/>
        <v>191830</v>
      </c>
      <c r="H70" s="344">
        <f t="shared" si="22"/>
        <v>192980</v>
      </c>
      <c r="I70" s="344">
        <f t="shared" ref="I70" si="23">SUM(I71:I75)</f>
        <v>193130</v>
      </c>
      <c r="J70" s="450">
        <f t="shared" si="22"/>
        <v>108369</v>
      </c>
      <c r="K70" s="484">
        <f t="shared" ref="K70:K101" si="24">J70/I70</f>
        <v>0.56111945321803969</v>
      </c>
    </row>
    <row r="71" spans="1:14" x14ac:dyDescent="0.25">
      <c r="A71" s="64" t="s">
        <v>59</v>
      </c>
      <c r="B71" s="65" t="s">
        <v>60</v>
      </c>
      <c r="C71" s="66">
        <f>80000+16500</f>
        <v>96500</v>
      </c>
      <c r="D71" s="373">
        <f>80000+16500+200</f>
        <v>96700</v>
      </c>
      <c r="E71" s="66">
        <f>80000+16500+200</f>
        <v>96700</v>
      </c>
      <c r="F71" s="373">
        <f>80000+16500+200+250</f>
        <v>96950</v>
      </c>
      <c r="G71" s="345">
        <f>80000+16500+200+250</f>
        <v>96950</v>
      </c>
      <c r="H71" s="449">
        <f>80000+16500+200+250+4100</f>
        <v>101050</v>
      </c>
      <c r="I71" s="447">
        <f>80000+16500+200+250+4100</f>
        <v>101050</v>
      </c>
      <c r="J71" s="451">
        <v>56477</v>
      </c>
      <c r="K71" s="484">
        <f t="shared" si="24"/>
        <v>0.55890153389411179</v>
      </c>
    </row>
    <row r="72" spans="1:14" x14ac:dyDescent="0.25">
      <c r="A72" s="67" t="s">
        <v>61</v>
      </c>
      <c r="B72" s="42" t="s">
        <v>209</v>
      </c>
      <c r="C72" s="68">
        <f>7100+10600+32300</f>
        <v>50000</v>
      </c>
      <c r="D72" s="68">
        <f t="shared" ref="D72:E72" si="25">7100+10600+32300</f>
        <v>50000</v>
      </c>
      <c r="E72" s="68">
        <f t="shared" si="25"/>
        <v>50000</v>
      </c>
      <c r="F72" s="409">
        <f>7100+10600+32300+3000</f>
        <v>53000</v>
      </c>
      <c r="G72" s="441">
        <f>7100+10600+32300+3000</f>
        <v>53000</v>
      </c>
      <c r="H72" s="444">
        <f>7100+10600+32300+3000-1500</f>
        <v>51500</v>
      </c>
      <c r="I72" s="441">
        <f>7100+10600+32300+3000-1500</f>
        <v>51500</v>
      </c>
      <c r="J72" s="452">
        <v>29444</v>
      </c>
      <c r="K72" s="484">
        <f t="shared" si="24"/>
        <v>0.57172815533980581</v>
      </c>
    </row>
    <row r="73" spans="1:14" x14ac:dyDescent="0.25">
      <c r="A73" s="67" t="s">
        <v>62</v>
      </c>
      <c r="B73" s="42" t="s">
        <v>208</v>
      </c>
      <c r="C73" s="68">
        <v>2000</v>
      </c>
      <c r="D73" s="68">
        <v>2000</v>
      </c>
      <c r="E73" s="68">
        <v>2000</v>
      </c>
      <c r="F73" s="68">
        <v>2000</v>
      </c>
      <c r="G73" s="346">
        <v>2000</v>
      </c>
      <c r="H73" s="346">
        <v>2000</v>
      </c>
      <c r="I73" s="346">
        <v>2000</v>
      </c>
      <c r="J73" s="452">
        <v>1655</v>
      </c>
      <c r="K73" s="484">
        <f t="shared" si="24"/>
        <v>0.82750000000000001</v>
      </c>
    </row>
    <row r="74" spans="1:14" x14ac:dyDescent="0.25">
      <c r="A74" s="69" t="s">
        <v>63</v>
      </c>
      <c r="B74" s="42" t="s">
        <v>64</v>
      </c>
      <c r="C74" s="34">
        <f>3000+900+220+32380</f>
        <v>36500</v>
      </c>
      <c r="D74" s="374">
        <f>3000+900+220+32380-220</f>
        <v>36280</v>
      </c>
      <c r="E74" s="34">
        <f>3000+900+220+32380-220</f>
        <v>36280</v>
      </c>
      <c r="F74" s="34">
        <f>3000+900+220+32380-220</f>
        <v>36280</v>
      </c>
      <c r="G74" s="442">
        <f>3000+900+220+32380-220+100</f>
        <v>36380</v>
      </c>
      <c r="H74" s="535">
        <f>3000+900+220+32380-220+100</f>
        <v>36380</v>
      </c>
      <c r="I74" s="347">
        <f>3000+900+220+32380-220+100</f>
        <v>36380</v>
      </c>
      <c r="J74" s="433">
        <v>20793</v>
      </c>
      <c r="K74" s="484">
        <f t="shared" si="24"/>
        <v>0.57155030236393622</v>
      </c>
    </row>
    <row r="75" spans="1:14" ht="15.75" thickBot="1" x14ac:dyDescent="0.3">
      <c r="A75" s="70" t="s">
        <v>65</v>
      </c>
      <c r="B75" s="3" t="s">
        <v>66</v>
      </c>
      <c r="C75" s="71">
        <v>3500</v>
      </c>
      <c r="D75" s="71">
        <v>3500</v>
      </c>
      <c r="E75" s="71">
        <v>3500</v>
      </c>
      <c r="F75" s="71">
        <v>3500</v>
      </c>
      <c r="G75" s="348">
        <v>3500</v>
      </c>
      <c r="H75" s="549">
        <f>3500-1450</f>
        <v>2050</v>
      </c>
      <c r="I75" s="601">
        <f>3500-1450+150</f>
        <v>2200</v>
      </c>
      <c r="J75" s="453">
        <v>0</v>
      </c>
      <c r="K75" s="484">
        <f t="shared" si="24"/>
        <v>0</v>
      </c>
    </row>
    <row r="76" spans="1:14" ht="15.75" thickBot="1" x14ac:dyDescent="0.3">
      <c r="A76" s="72" t="s">
        <v>67</v>
      </c>
      <c r="B76" s="73"/>
      <c r="C76" s="63">
        <f t="shared" ref="C76:J76" si="26">SUM(C77)</f>
        <v>1500</v>
      </c>
      <c r="D76" s="63">
        <f t="shared" si="26"/>
        <v>1480</v>
      </c>
      <c r="E76" s="63">
        <f t="shared" si="26"/>
        <v>1480</v>
      </c>
      <c r="F76" s="63">
        <f t="shared" si="26"/>
        <v>1480</v>
      </c>
      <c r="G76" s="344">
        <f t="shared" si="26"/>
        <v>1480</v>
      </c>
      <c r="H76" s="344">
        <f t="shared" si="26"/>
        <v>1480</v>
      </c>
      <c r="I76" s="344">
        <f t="shared" si="26"/>
        <v>1480</v>
      </c>
      <c r="J76" s="450">
        <f t="shared" si="26"/>
        <v>138</v>
      </c>
      <c r="K76" s="484">
        <f t="shared" si="24"/>
        <v>9.3243243243243248E-2</v>
      </c>
    </row>
    <row r="77" spans="1:14" ht="15.75" thickBot="1" x14ac:dyDescent="0.3">
      <c r="A77" s="74" t="s">
        <v>68</v>
      </c>
      <c r="B77" s="59" t="s">
        <v>69</v>
      </c>
      <c r="C77" s="75">
        <v>1500</v>
      </c>
      <c r="D77" s="375">
        <f t="shared" ref="D77:I77" si="27">1500-20</f>
        <v>1480</v>
      </c>
      <c r="E77" s="75">
        <f t="shared" si="27"/>
        <v>1480</v>
      </c>
      <c r="F77" s="75">
        <f t="shared" si="27"/>
        <v>1480</v>
      </c>
      <c r="G77" s="349">
        <f t="shared" si="27"/>
        <v>1480</v>
      </c>
      <c r="H77" s="349">
        <f t="shared" si="27"/>
        <v>1480</v>
      </c>
      <c r="I77" s="349">
        <f t="shared" si="27"/>
        <v>1480</v>
      </c>
      <c r="J77" s="454">
        <v>138</v>
      </c>
      <c r="K77" s="484">
        <f t="shared" si="24"/>
        <v>9.3243243243243248E-2</v>
      </c>
    </row>
    <row r="78" spans="1:14" ht="15.75" thickBot="1" x14ac:dyDescent="0.3">
      <c r="A78" s="72" t="s">
        <v>70</v>
      </c>
      <c r="B78" s="73"/>
      <c r="C78" s="63">
        <f t="shared" ref="C78:J78" si="28">SUM(C79:C80)</f>
        <v>10900</v>
      </c>
      <c r="D78" s="63">
        <f t="shared" si="28"/>
        <v>10900</v>
      </c>
      <c r="E78" s="63">
        <f t="shared" si="28"/>
        <v>10900</v>
      </c>
      <c r="F78" s="63">
        <f t="shared" si="28"/>
        <v>11600</v>
      </c>
      <c r="G78" s="344">
        <f t="shared" ref="G78:H78" si="29">SUM(G79:G80)</f>
        <v>11600</v>
      </c>
      <c r="H78" s="344">
        <f t="shared" si="29"/>
        <v>11600</v>
      </c>
      <c r="I78" s="344">
        <f t="shared" ref="I78" si="30">SUM(I79:I80)</f>
        <v>12100</v>
      </c>
      <c r="J78" s="450">
        <f t="shared" si="28"/>
        <v>6091</v>
      </c>
      <c r="K78" s="484">
        <f t="shared" si="24"/>
        <v>0.5033884297520661</v>
      </c>
    </row>
    <row r="79" spans="1:14" x14ac:dyDescent="0.25">
      <c r="A79" s="76" t="s">
        <v>71</v>
      </c>
      <c r="B79" s="77" t="s">
        <v>72</v>
      </c>
      <c r="C79" s="78">
        <v>10600</v>
      </c>
      <c r="D79" s="78">
        <v>10600</v>
      </c>
      <c r="E79" s="78">
        <v>10600</v>
      </c>
      <c r="F79" s="372">
        <f>10600+700</f>
        <v>11300</v>
      </c>
      <c r="G79" s="443">
        <f>10600+700</f>
        <v>11300</v>
      </c>
      <c r="H79" s="443">
        <f>10600+700</f>
        <v>11300</v>
      </c>
      <c r="I79" s="546">
        <f>10600+700-200</f>
        <v>11100</v>
      </c>
      <c r="J79" s="455">
        <v>6009</v>
      </c>
      <c r="K79" s="484">
        <f t="shared" si="24"/>
        <v>0.54135135135135137</v>
      </c>
    </row>
    <row r="80" spans="1:14" ht="15.75" thickBot="1" x14ac:dyDescent="0.3">
      <c r="A80" s="79" t="s">
        <v>73</v>
      </c>
      <c r="B80" s="80" t="s">
        <v>74</v>
      </c>
      <c r="C80" s="81">
        <v>300</v>
      </c>
      <c r="D80" s="81">
        <v>300</v>
      </c>
      <c r="E80" s="81">
        <v>300</v>
      </c>
      <c r="F80" s="81">
        <v>300</v>
      </c>
      <c r="G80" s="351">
        <v>300</v>
      </c>
      <c r="H80" s="351">
        <v>300</v>
      </c>
      <c r="I80" s="610">
        <f>300+700</f>
        <v>1000</v>
      </c>
      <c r="J80" s="456">
        <v>82</v>
      </c>
      <c r="K80" s="484">
        <f t="shared" si="24"/>
        <v>8.2000000000000003E-2</v>
      </c>
    </row>
    <row r="81" spans="1:11" ht="15.75" thickBot="1" x14ac:dyDescent="0.3">
      <c r="A81" s="61" t="s">
        <v>75</v>
      </c>
      <c r="B81" s="82"/>
      <c r="C81" s="63">
        <f t="shared" ref="C81:J81" si="31">SUM(C82:C85)</f>
        <v>57000</v>
      </c>
      <c r="D81" s="63">
        <f t="shared" si="31"/>
        <v>57000</v>
      </c>
      <c r="E81" s="63">
        <f t="shared" si="31"/>
        <v>57000</v>
      </c>
      <c r="F81" s="63">
        <f t="shared" si="31"/>
        <v>57000</v>
      </c>
      <c r="G81" s="344">
        <f t="shared" si="31"/>
        <v>66900</v>
      </c>
      <c r="H81" s="344">
        <f t="shared" si="31"/>
        <v>64200</v>
      </c>
      <c r="I81" s="344">
        <f t="shared" ref="I81" si="32">SUM(I82:I85)</f>
        <v>64200</v>
      </c>
      <c r="J81" s="450">
        <f t="shared" si="31"/>
        <v>31721</v>
      </c>
      <c r="K81" s="484">
        <f t="shared" si="24"/>
        <v>0.49409657320872274</v>
      </c>
    </row>
    <row r="82" spans="1:11" x14ac:dyDescent="0.25">
      <c r="A82" s="83" t="s">
        <v>76</v>
      </c>
      <c r="B82" s="30" t="s">
        <v>77</v>
      </c>
      <c r="C82" s="31">
        <f>15900+1500+6000</f>
        <v>23400</v>
      </c>
      <c r="D82" s="31">
        <f t="shared" ref="D82:G82" si="33">15900+1500+6000</f>
        <v>23400</v>
      </c>
      <c r="E82" s="31">
        <f t="shared" si="33"/>
        <v>23400</v>
      </c>
      <c r="F82" s="31">
        <f t="shared" si="33"/>
        <v>23400</v>
      </c>
      <c r="G82" s="352">
        <f t="shared" si="33"/>
        <v>23400</v>
      </c>
      <c r="H82" s="448">
        <f>15900+1500+6000+300</f>
        <v>23700</v>
      </c>
      <c r="I82" s="608">
        <f>15900+1500+6000+300</f>
        <v>23700</v>
      </c>
      <c r="J82" s="432">
        <v>12094</v>
      </c>
      <c r="K82" s="484">
        <f t="shared" si="24"/>
        <v>0.51029535864978903</v>
      </c>
    </row>
    <row r="83" spans="1:11" x14ac:dyDescent="0.25">
      <c r="A83" s="69" t="s">
        <v>78</v>
      </c>
      <c r="B83" s="42" t="s">
        <v>79</v>
      </c>
      <c r="C83" s="68">
        <v>18500</v>
      </c>
      <c r="D83" s="68">
        <v>18500</v>
      </c>
      <c r="E83" s="68">
        <v>18500</v>
      </c>
      <c r="F83" s="68">
        <v>18500</v>
      </c>
      <c r="G83" s="444">
        <f>18500-100</f>
        <v>18400</v>
      </c>
      <c r="H83" s="441">
        <f>18500-100</f>
        <v>18400</v>
      </c>
      <c r="I83" s="441">
        <f>18500-100</f>
        <v>18400</v>
      </c>
      <c r="J83" s="452">
        <v>13612</v>
      </c>
      <c r="K83" s="484">
        <f t="shared" si="24"/>
        <v>0.73978260869565216</v>
      </c>
    </row>
    <row r="84" spans="1:11" x14ac:dyDescent="0.25">
      <c r="A84" s="69" t="s">
        <v>80</v>
      </c>
      <c r="B84" s="42" t="s">
        <v>81</v>
      </c>
      <c r="C84" s="34">
        <v>15000</v>
      </c>
      <c r="D84" s="34">
        <v>15000</v>
      </c>
      <c r="E84" s="34">
        <v>15000</v>
      </c>
      <c r="F84" s="34">
        <v>15000</v>
      </c>
      <c r="G84" s="442">
        <f>15000+10000</f>
        <v>25000</v>
      </c>
      <c r="H84" s="442">
        <f>15000+10000-3000</f>
        <v>22000</v>
      </c>
      <c r="I84" s="535">
        <f>15000+10000-3000</f>
        <v>22000</v>
      </c>
      <c r="J84" s="433">
        <v>6015</v>
      </c>
      <c r="K84" s="484">
        <f t="shared" si="24"/>
        <v>0.27340909090909093</v>
      </c>
    </row>
    <row r="85" spans="1:11" ht="15.75" thickBot="1" x14ac:dyDescent="0.3">
      <c r="A85" s="69" t="s">
        <v>82</v>
      </c>
      <c r="B85" s="42" t="s">
        <v>83</v>
      </c>
      <c r="C85" s="34">
        <v>100</v>
      </c>
      <c r="D85" s="34">
        <v>100</v>
      </c>
      <c r="E85" s="34">
        <v>100</v>
      </c>
      <c r="F85" s="34">
        <v>100</v>
      </c>
      <c r="G85" s="347">
        <v>100</v>
      </c>
      <c r="H85" s="535">
        <v>100</v>
      </c>
      <c r="I85" s="347">
        <v>100</v>
      </c>
      <c r="J85" s="433">
        <v>0</v>
      </c>
      <c r="K85" s="484">
        <f t="shared" si="24"/>
        <v>0</v>
      </c>
    </row>
    <row r="86" spans="1:11" ht="15.75" thickBot="1" x14ac:dyDescent="0.3">
      <c r="A86" s="1006" t="s">
        <v>84</v>
      </c>
      <c r="B86" s="1007"/>
      <c r="C86" s="63">
        <f t="shared" ref="C86:J86" si="34">SUM(C87:C90)</f>
        <v>88750</v>
      </c>
      <c r="D86" s="63">
        <f t="shared" si="34"/>
        <v>88750</v>
      </c>
      <c r="E86" s="63">
        <f t="shared" si="34"/>
        <v>88750</v>
      </c>
      <c r="F86" s="63">
        <f t="shared" si="34"/>
        <v>90050</v>
      </c>
      <c r="G86" s="344">
        <f t="shared" si="34"/>
        <v>90950</v>
      </c>
      <c r="H86" s="536">
        <f t="shared" si="34"/>
        <v>91150</v>
      </c>
      <c r="I86" s="344">
        <f t="shared" ref="I86" si="35">SUM(I87:I90)</f>
        <v>92150</v>
      </c>
      <c r="J86" s="450">
        <f t="shared" si="34"/>
        <v>54568</v>
      </c>
      <c r="K86" s="484">
        <f t="shared" si="24"/>
        <v>0.59216494845360823</v>
      </c>
    </row>
    <row r="87" spans="1:11" x14ac:dyDescent="0.25">
      <c r="A87" s="84" t="s">
        <v>85</v>
      </c>
      <c r="B87" s="85" t="s">
        <v>86</v>
      </c>
      <c r="C87" s="86">
        <f>25000+20000</f>
        <v>45000</v>
      </c>
      <c r="D87" s="86">
        <f t="shared" ref="D87:F87" si="36">25000+20000</f>
        <v>45000</v>
      </c>
      <c r="E87" s="86">
        <f t="shared" si="36"/>
        <v>45000</v>
      </c>
      <c r="F87" s="86">
        <f t="shared" si="36"/>
        <v>45000</v>
      </c>
      <c r="G87" s="445">
        <f>25000+20000+900</f>
        <v>45900</v>
      </c>
      <c r="H87" s="445">
        <f>25000+20000+900+300+2000</f>
        <v>48200</v>
      </c>
      <c r="I87" s="539">
        <f>25000+20000+900+300+2000</f>
        <v>48200</v>
      </c>
      <c r="J87" s="457">
        <v>27763</v>
      </c>
      <c r="K87" s="484">
        <f t="shared" si="24"/>
        <v>0.57599585062240666</v>
      </c>
    </row>
    <row r="88" spans="1:11" x14ac:dyDescent="0.25">
      <c r="A88" s="69" t="s">
        <v>87</v>
      </c>
      <c r="B88" s="42" t="s">
        <v>88</v>
      </c>
      <c r="C88" s="68">
        <v>36000</v>
      </c>
      <c r="D88" s="68">
        <v>36000</v>
      </c>
      <c r="E88" s="68">
        <v>36000</v>
      </c>
      <c r="F88" s="68">
        <v>36000</v>
      </c>
      <c r="G88" s="346">
        <v>36000</v>
      </c>
      <c r="H88" s="444">
        <f>36000-2000</f>
        <v>34000</v>
      </c>
      <c r="I88" s="602">
        <f>36000-2000+1000</f>
        <v>35000</v>
      </c>
      <c r="J88" s="452">
        <v>23574</v>
      </c>
      <c r="K88" s="484">
        <f t="shared" si="24"/>
        <v>0.67354285714285711</v>
      </c>
    </row>
    <row r="89" spans="1:11" x14ac:dyDescent="0.25">
      <c r="A89" s="74" t="s">
        <v>89</v>
      </c>
      <c r="B89" s="87" t="s">
        <v>90</v>
      </c>
      <c r="C89" s="88">
        <v>950</v>
      </c>
      <c r="D89" s="88">
        <v>950</v>
      </c>
      <c r="E89" s="88">
        <v>950</v>
      </c>
      <c r="F89" s="88">
        <v>950</v>
      </c>
      <c r="G89" s="354">
        <v>950</v>
      </c>
      <c r="H89" s="548">
        <f>950-100</f>
        <v>850</v>
      </c>
      <c r="I89" s="609">
        <f>950-100</f>
        <v>850</v>
      </c>
      <c r="J89" s="458">
        <v>746</v>
      </c>
      <c r="K89" s="484">
        <f t="shared" si="24"/>
        <v>0.87764705882352945</v>
      </c>
    </row>
    <row r="90" spans="1:11" ht="15.75" thickBot="1" x14ac:dyDescent="0.3">
      <c r="A90" s="89" t="s">
        <v>91</v>
      </c>
      <c r="B90" s="90" t="s">
        <v>204</v>
      </c>
      <c r="C90" s="91">
        <f>5700+1000+100</f>
        <v>6800</v>
      </c>
      <c r="D90" s="91">
        <f t="shared" ref="D90:E90" si="37">5700+1000+100</f>
        <v>6800</v>
      </c>
      <c r="E90" s="91">
        <f t="shared" si="37"/>
        <v>6800</v>
      </c>
      <c r="F90" s="384">
        <f>5700+1000+100+300+1000</f>
        <v>8100</v>
      </c>
      <c r="G90" s="446">
        <f>5700+1000+100+300+1000</f>
        <v>8100</v>
      </c>
      <c r="H90" s="446">
        <f>5700+1000+100+300+1000</f>
        <v>8100</v>
      </c>
      <c r="I90" s="355">
        <f>5700+1000+100+300+1000</f>
        <v>8100</v>
      </c>
      <c r="J90" s="459">
        <v>2485</v>
      </c>
      <c r="K90" s="484">
        <f t="shared" si="24"/>
        <v>0.30679012345679013</v>
      </c>
    </row>
    <row r="91" spans="1:11" ht="15.75" thickBot="1" x14ac:dyDescent="0.3">
      <c r="A91" s="61" t="s">
        <v>92</v>
      </c>
      <c r="B91" s="82"/>
      <c r="C91" s="63">
        <f t="shared" ref="C91:J91" si="38">SUM(C92:C94)</f>
        <v>144000</v>
      </c>
      <c r="D91" s="63">
        <f t="shared" si="38"/>
        <v>145232</v>
      </c>
      <c r="E91" s="63">
        <f t="shared" si="38"/>
        <v>145232</v>
      </c>
      <c r="F91" s="63">
        <f t="shared" si="38"/>
        <v>149932</v>
      </c>
      <c r="G91" s="344">
        <f t="shared" ref="G91:H91" si="39">SUM(G92:G94)</f>
        <v>150732</v>
      </c>
      <c r="H91" s="536">
        <f t="shared" si="39"/>
        <v>154732</v>
      </c>
      <c r="I91" s="344">
        <f t="shared" ref="I91" si="40">SUM(I92:I94)</f>
        <v>154732</v>
      </c>
      <c r="J91" s="450">
        <f t="shared" si="38"/>
        <v>74985</v>
      </c>
      <c r="K91" s="484">
        <f t="shared" si="24"/>
        <v>0.48461210350800094</v>
      </c>
    </row>
    <row r="92" spans="1:11" x14ac:dyDescent="0.25">
      <c r="A92" s="83" t="s">
        <v>93</v>
      </c>
      <c r="B92" s="65" t="s">
        <v>94</v>
      </c>
      <c r="C92" s="92">
        <v>108000</v>
      </c>
      <c r="D92" s="371">
        <f>108000+1232</f>
        <v>109232</v>
      </c>
      <c r="E92" s="92">
        <f>108000+1232</f>
        <v>109232</v>
      </c>
      <c r="F92" s="371">
        <f>108000+1232+4700</f>
        <v>113932</v>
      </c>
      <c r="G92" s="447">
        <f>108000+1232+4700</f>
        <v>113932</v>
      </c>
      <c r="H92" s="449">
        <f>108000+1232+4700+4000</f>
        <v>117932</v>
      </c>
      <c r="I92" s="447">
        <f>108000+1232+4700+4000</f>
        <v>117932</v>
      </c>
      <c r="J92" s="451">
        <v>54445</v>
      </c>
      <c r="K92" s="484">
        <f t="shared" si="24"/>
        <v>0.46166434894685071</v>
      </c>
    </row>
    <row r="93" spans="1:11" x14ac:dyDescent="0.25">
      <c r="A93" s="93" t="s">
        <v>95</v>
      </c>
      <c r="B93" s="42" t="s">
        <v>96</v>
      </c>
      <c r="C93" s="94">
        <v>19000</v>
      </c>
      <c r="D93" s="94">
        <v>19000</v>
      </c>
      <c r="E93" s="94">
        <v>19000</v>
      </c>
      <c r="F93" s="94">
        <v>19000</v>
      </c>
      <c r="G93" s="444">
        <f>19000+800</f>
        <v>19800</v>
      </c>
      <c r="H93" s="441">
        <f>19000+800</f>
        <v>19800</v>
      </c>
      <c r="I93" s="346">
        <f>19000+800</f>
        <v>19800</v>
      </c>
      <c r="J93" s="452">
        <v>13766</v>
      </c>
      <c r="K93" s="484">
        <f t="shared" si="24"/>
        <v>0.69525252525252523</v>
      </c>
    </row>
    <row r="94" spans="1:11" ht="15.75" thickBot="1" x14ac:dyDescent="0.3">
      <c r="A94" s="95" t="s">
        <v>97</v>
      </c>
      <c r="B94" s="90" t="s">
        <v>98</v>
      </c>
      <c r="C94" s="209">
        <f>2000+14000+400+600</f>
        <v>17000</v>
      </c>
      <c r="D94" s="209">
        <f t="shared" ref="D94:I94" si="41">2000+14000+400+600</f>
        <v>17000</v>
      </c>
      <c r="E94" s="209">
        <f t="shared" si="41"/>
        <v>17000</v>
      </c>
      <c r="F94" s="209">
        <f t="shared" si="41"/>
        <v>17000</v>
      </c>
      <c r="G94" s="356">
        <f t="shared" si="41"/>
        <v>17000</v>
      </c>
      <c r="H94" s="537">
        <f t="shared" si="41"/>
        <v>17000</v>
      </c>
      <c r="I94" s="356">
        <f t="shared" si="41"/>
        <v>17000</v>
      </c>
      <c r="J94" s="460">
        <v>6774</v>
      </c>
      <c r="K94" s="484">
        <f t="shared" si="24"/>
        <v>0.39847058823529413</v>
      </c>
    </row>
    <row r="95" spans="1:11" ht="15.75" thickBot="1" x14ac:dyDescent="0.3">
      <c r="A95" s="97" t="s">
        <v>99</v>
      </c>
      <c r="B95" s="98"/>
      <c r="C95" s="99">
        <f t="shared" ref="C95:J95" si="42">SUM(C96:C98)</f>
        <v>450</v>
      </c>
      <c r="D95" s="99">
        <f t="shared" si="42"/>
        <v>530</v>
      </c>
      <c r="E95" s="99">
        <f t="shared" si="42"/>
        <v>530</v>
      </c>
      <c r="F95" s="99">
        <f t="shared" si="42"/>
        <v>530</v>
      </c>
      <c r="G95" s="357">
        <f t="shared" si="42"/>
        <v>620</v>
      </c>
      <c r="H95" s="538">
        <f t="shared" ref="H95:I95" si="43">SUM(H96:H98)</f>
        <v>820</v>
      </c>
      <c r="I95" s="357">
        <f t="shared" si="43"/>
        <v>820</v>
      </c>
      <c r="J95" s="461">
        <f t="shared" si="42"/>
        <v>420</v>
      </c>
      <c r="K95" s="484">
        <f t="shared" si="24"/>
        <v>0.51219512195121952</v>
      </c>
    </row>
    <row r="96" spans="1:11" x14ac:dyDescent="0.25">
      <c r="A96" s="76" t="s">
        <v>100</v>
      </c>
      <c r="B96" s="85" t="s">
        <v>101</v>
      </c>
      <c r="C96" s="100">
        <v>50</v>
      </c>
      <c r="D96" s="100">
        <v>50</v>
      </c>
      <c r="E96" s="100">
        <v>50</v>
      </c>
      <c r="F96" s="100">
        <v>50</v>
      </c>
      <c r="G96" s="353">
        <v>50</v>
      </c>
      <c r="H96" s="539">
        <v>50</v>
      </c>
      <c r="I96" s="353">
        <v>50</v>
      </c>
      <c r="J96" s="457">
        <v>50</v>
      </c>
      <c r="K96" s="484">
        <f t="shared" si="24"/>
        <v>1</v>
      </c>
    </row>
    <row r="97" spans="1:11" x14ac:dyDescent="0.25">
      <c r="A97" s="93" t="s">
        <v>102</v>
      </c>
      <c r="B97" s="42" t="s">
        <v>103</v>
      </c>
      <c r="C97" s="94">
        <v>50</v>
      </c>
      <c r="D97" s="382">
        <f t="shared" ref="D97:I97" si="44">50+80</f>
        <v>130</v>
      </c>
      <c r="E97" s="94">
        <f t="shared" si="44"/>
        <v>130</v>
      </c>
      <c r="F97" s="94">
        <f t="shared" si="44"/>
        <v>130</v>
      </c>
      <c r="G97" s="346">
        <f t="shared" si="44"/>
        <v>130</v>
      </c>
      <c r="H97" s="441">
        <f t="shared" si="44"/>
        <v>130</v>
      </c>
      <c r="I97" s="346">
        <f t="shared" si="44"/>
        <v>130</v>
      </c>
      <c r="J97" s="452">
        <v>81</v>
      </c>
      <c r="K97" s="484">
        <f t="shared" si="24"/>
        <v>0.62307692307692308</v>
      </c>
    </row>
    <row r="98" spans="1:11" ht="15.75" thickBot="1" x14ac:dyDescent="0.3">
      <c r="A98" s="95" t="s">
        <v>104</v>
      </c>
      <c r="B98" s="90" t="s">
        <v>105</v>
      </c>
      <c r="C98" s="96">
        <v>350</v>
      </c>
      <c r="D98" s="96">
        <v>350</v>
      </c>
      <c r="E98" s="96">
        <v>350</v>
      </c>
      <c r="F98" s="96">
        <v>350</v>
      </c>
      <c r="G98" s="476">
        <f>350+90</f>
        <v>440</v>
      </c>
      <c r="H98" s="476">
        <f>350+90+200</f>
        <v>640</v>
      </c>
      <c r="I98" s="446">
        <f>350+90+200</f>
        <v>640</v>
      </c>
      <c r="J98" s="459">
        <v>289</v>
      </c>
      <c r="K98" s="484">
        <f t="shared" si="24"/>
        <v>0.45156249999999998</v>
      </c>
    </row>
    <row r="99" spans="1:11" ht="15.75" thickBot="1" x14ac:dyDescent="0.3">
      <c r="A99" s="101" t="s">
        <v>106</v>
      </c>
      <c r="B99" s="102"/>
      <c r="C99" s="103">
        <f t="shared" ref="C99:J99" si="45">SUM(C100:C104)</f>
        <v>108100</v>
      </c>
      <c r="D99" s="103">
        <f t="shared" si="45"/>
        <v>108100</v>
      </c>
      <c r="E99" s="103">
        <f t="shared" si="45"/>
        <v>113100</v>
      </c>
      <c r="F99" s="103">
        <f t="shared" si="45"/>
        <v>121150</v>
      </c>
      <c r="G99" s="358">
        <f t="shared" si="45"/>
        <v>126750</v>
      </c>
      <c r="H99" s="540">
        <f t="shared" si="45"/>
        <v>122750</v>
      </c>
      <c r="I99" s="358">
        <f t="shared" ref="I99" si="46">SUM(I100:I104)</f>
        <v>122750</v>
      </c>
      <c r="J99" s="462">
        <f t="shared" si="45"/>
        <v>91242</v>
      </c>
      <c r="K99" s="484">
        <f t="shared" si="24"/>
        <v>0.74331568228105904</v>
      </c>
    </row>
    <row r="100" spans="1:11" x14ac:dyDescent="0.25">
      <c r="A100" s="84" t="s">
        <v>107</v>
      </c>
      <c r="B100" s="85" t="s">
        <v>108</v>
      </c>
      <c r="C100" s="86">
        <f>9300+7300</f>
        <v>16600</v>
      </c>
      <c r="D100" s="86">
        <f t="shared" ref="D100:I100" si="47">9300+7300</f>
        <v>16600</v>
      </c>
      <c r="E100" s="86">
        <f t="shared" si="47"/>
        <v>16600</v>
      </c>
      <c r="F100" s="86">
        <f t="shared" si="47"/>
        <v>16600</v>
      </c>
      <c r="G100" s="353">
        <f t="shared" si="47"/>
        <v>16600</v>
      </c>
      <c r="H100" s="539">
        <f t="shared" si="47"/>
        <v>16600</v>
      </c>
      <c r="I100" s="353">
        <f t="shared" si="47"/>
        <v>16600</v>
      </c>
      <c r="J100" s="457">
        <v>10982</v>
      </c>
      <c r="K100" s="484">
        <f t="shared" si="24"/>
        <v>0.66156626506024097</v>
      </c>
    </row>
    <row r="101" spans="1:11" x14ac:dyDescent="0.25">
      <c r="A101" s="104" t="s">
        <v>109</v>
      </c>
      <c r="B101" s="105" t="s">
        <v>351</v>
      </c>
      <c r="C101" s="31">
        <f>12600+1800+2000+48600</f>
        <v>65000</v>
      </c>
      <c r="D101" s="31">
        <f t="shared" ref="D101" si="48">12600+1800+2000+48600</f>
        <v>65000</v>
      </c>
      <c r="E101" s="383">
        <f>12600+1800+2000+48600+5820</f>
        <v>70820</v>
      </c>
      <c r="F101" s="383">
        <f>12600+1800+2000+48600+5820+2100+5950</f>
        <v>78870</v>
      </c>
      <c r="G101" s="448">
        <f>12600+1800+2000+48600+5820+2100+5950+5750-3950+600+3200</f>
        <v>84470</v>
      </c>
      <c r="H101" s="448">
        <f>12600+1800+2000+48600+5820+2100+5950+5750-3950+600+3200-2000</f>
        <v>82470</v>
      </c>
      <c r="I101" s="608">
        <f>12600+1800+2000+48600+5820+2100+5950+5750-3950+600+3200-2000</f>
        <v>82470</v>
      </c>
      <c r="J101" s="432">
        <v>67955</v>
      </c>
      <c r="K101" s="484">
        <f t="shared" si="24"/>
        <v>0.82399660482599735</v>
      </c>
    </row>
    <row r="102" spans="1:11" x14ac:dyDescent="0.25">
      <c r="A102" s="104" t="s">
        <v>111</v>
      </c>
      <c r="B102" s="65" t="s">
        <v>112</v>
      </c>
      <c r="C102" s="66">
        <f>2800+700</f>
        <v>3500</v>
      </c>
      <c r="D102" s="66">
        <f t="shared" ref="D102:I102" si="49">2800+700</f>
        <v>3500</v>
      </c>
      <c r="E102" s="66">
        <f t="shared" si="49"/>
        <v>3500</v>
      </c>
      <c r="F102" s="66">
        <f t="shared" si="49"/>
        <v>3500</v>
      </c>
      <c r="G102" s="345">
        <f t="shared" si="49"/>
        <v>3500</v>
      </c>
      <c r="H102" s="447">
        <f t="shared" si="49"/>
        <v>3500</v>
      </c>
      <c r="I102" s="345">
        <f t="shared" si="49"/>
        <v>3500</v>
      </c>
      <c r="J102" s="451">
        <v>2860</v>
      </c>
      <c r="K102" s="484">
        <f t="shared" ref="K102:K125" si="50">J102/I102</f>
        <v>0.81714285714285717</v>
      </c>
    </row>
    <row r="103" spans="1:11" x14ac:dyDescent="0.25">
      <c r="A103" s="104" t="s">
        <v>113</v>
      </c>
      <c r="B103" s="65" t="s">
        <v>114</v>
      </c>
      <c r="C103" s="66">
        <f>7400+3000+2600</f>
        <v>13000</v>
      </c>
      <c r="D103" s="66">
        <f t="shared" ref="D103:G103" si="51">7400+3000+2600</f>
        <v>13000</v>
      </c>
      <c r="E103" s="66">
        <f t="shared" si="51"/>
        <v>13000</v>
      </c>
      <c r="F103" s="66">
        <f t="shared" si="51"/>
        <v>13000</v>
      </c>
      <c r="G103" s="345">
        <f t="shared" si="51"/>
        <v>13000</v>
      </c>
      <c r="H103" s="449">
        <f>7400+3000+2600-2000</f>
        <v>11000</v>
      </c>
      <c r="I103" s="447">
        <f>7400+3000+2600-2000</f>
        <v>11000</v>
      </c>
      <c r="J103" s="451">
        <v>4788</v>
      </c>
      <c r="K103" s="484">
        <f t="shared" si="50"/>
        <v>0.43527272727272726</v>
      </c>
    </row>
    <row r="104" spans="1:11" ht="15.75" thickBot="1" x14ac:dyDescent="0.3">
      <c r="A104" s="89" t="s">
        <v>115</v>
      </c>
      <c r="B104" s="90" t="s">
        <v>203</v>
      </c>
      <c r="C104" s="91">
        <v>10000</v>
      </c>
      <c r="D104" s="91">
        <v>10000</v>
      </c>
      <c r="E104" s="384">
        <f>10000-820</f>
        <v>9180</v>
      </c>
      <c r="F104" s="91">
        <f>10000-820</f>
        <v>9180</v>
      </c>
      <c r="G104" s="446">
        <f>10000-820</f>
        <v>9180</v>
      </c>
      <c r="H104" s="446">
        <f>10000-820</f>
        <v>9180</v>
      </c>
      <c r="I104" s="355">
        <f>10000-820</f>
        <v>9180</v>
      </c>
      <c r="J104" s="459">
        <v>4657</v>
      </c>
      <c r="K104" s="484">
        <f t="shared" si="50"/>
        <v>0.50729847494553382</v>
      </c>
    </row>
    <row r="105" spans="1:11" ht="15.75" thickBot="1" x14ac:dyDescent="0.3">
      <c r="A105" s="72" t="s">
        <v>116</v>
      </c>
      <c r="B105" s="73"/>
      <c r="C105" s="63">
        <f t="shared" ref="C105:D105" si="52">SUM(C106:C112)</f>
        <v>384700</v>
      </c>
      <c r="D105" s="63">
        <f t="shared" si="52"/>
        <v>385624</v>
      </c>
      <c r="E105" s="63">
        <f t="shared" ref="E105:J105" si="53">SUM(E106:E112)</f>
        <v>385624</v>
      </c>
      <c r="F105" s="63">
        <f t="shared" si="53"/>
        <v>385624</v>
      </c>
      <c r="G105" s="344">
        <f t="shared" si="53"/>
        <v>386124</v>
      </c>
      <c r="H105" s="536">
        <f t="shared" si="53"/>
        <v>328024</v>
      </c>
      <c r="I105" s="344">
        <f t="shared" ref="I105" si="54">SUM(I106:I112)</f>
        <v>328224</v>
      </c>
      <c r="J105" s="450">
        <f t="shared" si="53"/>
        <v>248549</v>
      </c>
      <c r="K105" s="484">
        <f t="shared" si="50"/>
        <v>0.75725419225894508</v>
      </c>
    </row>
    <row r="106" spans="1:11" x14ac:dyDescent="0.25">
      <c r="A106" s="106" t="s">
        <v>117</v>
      </c>
      <c r="B106" s="107" t="s">
        <v>118</v>
      </c>
      <c r="C106" s="78">
        <v>118000</v>
      </c>
      <c r="D106" s="372">
        <f>118000+404</f>
        <v>118404</v>
      </c>
      <c r="E106" s="78">
        <f>118000+404</f>
        <v>118404</v>
      </c>
      <c r="F106" s="78">
        <f>118000+404</f>
        <v>118404</v>
      </c>
      <c r="G106" s="350">
        <f>118000+404</f>
        <v>118404</v>
      </c>
      <c r="H106" s="546">
        <f>118000+404-3600</f>
        <v>114804</v>
      </c>
      <c r="I106" s="443">
        <f>118000+404-3600</f>
        <v>114804</v>
      </c>
      <c r="J106" s="455">
        <v>69587</v>
      </c>
      <c r="K106" s="484">
        <f t="shared" si="50"/>
        <v>0.60613741681474509</v>
      </c>
    </row>
    <row r="107" spans="1:11" x14ac:dyDescent="0.25">
      <c r="A107" s="108" t="s">
        <v>119</v>
      </c>
      <c r="B107" s="33" t="s">
        <v>187</v>
      </c>
      <c r="C107" s="34">
        <f>177000+2600</f>
        <v>179600</v>
      </c>
      <c r="D107" s="374">
        <f>177000+2600+520</f>
        <v>180120</v>
      </c>
      <c r="E107" s="34">
        <f>177000+2600+520</f>
        <v>180120</v>
      </c>
      <c r="F107" s="34">
        <f>177000+2600+520</f>
        <v>180120</v>
      </c>
      <c r="G107" s="442">
        <f>177000+2600+520+500</f>
        <v>180620</v>
      </c>
      <c r="H107" s="442">
        <f>177000+2600+520+500-59000+400</f>
        <v>122020</v>
      </c>
      <c r="I107" s="600">
        <f>177000+2600+520+500-59000+400+200</f>
        <v>122220</v>
      </c>
      <c r="J107" s="433">
        <v>118396</v>
      </c>
      <c r="K107" s="484">
        <f t="shared" si="50"/>
        <v>0.96871215840288005</v>
      </c>
    </row>
    <row r="108" spans="1:11" x14ac:dyDescent="0.25">
      <c r="A108" s="108" t="s">
        <v>120</v>
      </c>
      <c r="B108" s="33" t="s">
        <v>121</v>
      </c>
      <c r="C108" s="34">
        <v>11800</v>
      </c>
      <c r="D108" s="34">
        <v>11800</v>
      </c>
      <c r="E108" s="34">
        <v>11800</v>
      </c>
      <c r="F108" s="34">
        <v>11800</v>
      </c>
      <c r="G108" s="347">
        <v>11800</v>
      </c>
      <c r="H108" s="442">
        <f>11800+100+900</f>
        <v>12800</v>
      </c>
      <c r="I108" s="535">
        <f>11800+100+900</f>
        <v>12800</v>
      </c>
      <c r="J108" s="433">
        <v>7631</v>
      </c>
      <c r="K108" s="484">
        <f t="shared" si="50"/>
        <v>0.59617187500000002</v>
      </c>
    </row>
    <row r="109" spans="1:11" x14ac:dyDescent="0.25">
      <c r="A109" s="108" t="s">
        <v>122</v>
      </c>
      <c r="B109" s="33" t="s">
        <v>123</v>
      </c>
      <c r="C109" s="34">
        <v>17200</v>
      </c>
      <c r="D109" s="34">
        <v>17200</v>
      </c>
      <c r="E109" s="34">
        <v>17200</v>
      </c>
      <c r="F109" s="34">
        <v>17200</v>
      </c>
      <c r="G109" s="347">
        <v>17200</v>
      </c>
      <c r="H109" s="442">
        <f>17200+200+1200</f>
        <v>18600</v>
      </c>
      <c r="I109" s="535">
        <f>17200+200+1200</f>
        <v>18600</v>
      </c>
      <c r="J109" s="433">
        <v>11451</v>
      </c>
      <c r="K109" s="484">
        <f t="shared" si="50"/>
        <v>0.61564516129032254</v>
      </c>
    </row>
    <row r="110" spans="1:11" x14ac:dyDescent="0.25">
      <c r="A110" s="108" t="s">
        <v>124</v>
      </c>
      <c r="B110" s="33" t="s">
        <v>125</v>
      </c>
      <c r="C110" s="34">
        <v>17200</v>
      </c>
      <c r="D110" s="34">
        <v>17200</v>
      </c>
      <c r="E110" s="34">
        <v>17200</v>
      </c>
      <c r="F110" s="34">
        <v>17200</v>
      </c>
      <c r="G110" s="347">
        <v>17200</v>
      </c>
      <c r="H110" s="442">
        <f>17200+200+1200</f>
        <v>18600</v>
      </c>
      <c r="I110" s="535">
        <f>17200+200+1200</f>
        <v>18600</v>
      </c>
      <c r="J110" s="433">
        <v>11451</v>
      </c>
      <c r="K110" s="484">
        <f t="shared" si="50"/>
        <v>0.61564516129032254</v>
      </c>
    </row>
    <row r="111" spans="1:11" x14ac:dyDescent="0.25">
      <c r="A111" s="109" t="s">
        <v>126</v>
      </c>
      <c r="B111" s="33" t="s">
        <v>127</v>
      </c>
      <c r="C111" s="110">
        <f>11800+4400+21800+300</f>
        <v>38300</v>
      </c>
      <c r="D111" s="110">
        <f t="shared" ref="D111:G111" si="55">11800+4400+21800+300</f>
        <v>38300</v>
      </c>
      <c r="E111" s="110">
        <f t="shared" si="55"/>
        <v>38300</v>
      </c>
      <c r="F111" s="110">
        <f t="shared" si="55"/>
        <v>38300</v>
      </c>
      <c r="G111" s="359">
        <f t="shared" si="55"/>
        <v>38300</v>
      </c>
      <c r="H111" s="541">
        <f>11800+4400+21800+300+100-500+700</f>
        <v>38600</v>
      </c>
      <c r="I111" s="607">
        <f>11800+4400+21800+300+100-500+700</f>
        <v>38600</v>
      </c>
      <c r="J111" s="463">
        <v>27439</v>
      </c>
      <c r="K111" s="484">
        <f t="shared" si="50"/>
        <v>0.71085492227979274</v>
      </c>
    </row>
    <row r="112" spans="1:11" ht="15.75" thickBot="1" x14ac:dyDescent="0.3">
      <c r="A112" s="108" t="s">
        <v>128</v>
      </c>
      <c r="B112" s="33" t="s">
        <v>129</v>
      </c>
      <c r="C112" s="110">
        <v>2600</v>
      </c>
      <c r="D112" s="110">
        <v>2600</v>
      </c>
      <c r="E112" s="110">
        <v>2600</v>
      </c>
      <c r="F112" s="110">
        <v>2600</v>
      </c>
      <c r="G112" s="359">
        <v>2600</v>
      </c>
      <c r="H112" s="359">
        <v>2600</v>
      </c>
      <c r="I112" s="607">
        <v>2600</v>
      </c>
      <c r="J112" s="463">
        <v>2594</v>
      </c>
      <c r="K112" s="484">
        <f t="shared" si="50"/>
        <v>0.99769230769230766</v>
      </c>
    </row>
    <row r="113" spans="1:12" ht="15.75" thickBot="1" x14ac:dyDescent="0.3">
      <c r="A113" s="61" t="s">
        <v>130</v>
      </c>
      <c r="B113" s="62"/>
      <c r="C113" s="63">
        <f t="shared" ref="C113" si="56">SUM(C114:C118)</f>
        <v>196800</v>
      </c>
      <c r="D113" s="63">
        <f t="shared" ref="D113:J113" si="57">SUM(D114:D118)</f>
        <v>196800</v>
      </c>
      <c r="E113" s="63">
        <f t="shared" si="57"/>
        <v>196800</v>
      </c>
      <c r="F113" s="63">
        <f t="shared" si="57"/>
        <v>196800</v>
      </c>
      <c r="G113" s="344">
        <f t="shared" si="57"/>
        <v>197110</v>
      </c>
      <c r="H113" s="344">
        <f t="shared" si="57"/>
        <v>216110</v>
      </c>
      <c r="I113" s="344">
        <f t="shared" ref="I113" si="58">SUM(I114:I118)</f>
        <v>216110</v>
      </c>
      <c r="J113" s="450">
        <f t="shared" si="57"/>
        <v>96238</v>
      </c>
      <c r="K113" s="484">
        <f t="shared" si="50"/>
        <v>0.44531951321086483</v>
      </c>
    </row>
    <row r="114" spans="1:12" x14ac:dyDescent="0.25">
      <c r="A114" s="104" t="s">
        <v>131</v>
      </c>
      <c r="B114" s="65" t="s">
        <v>132</v>
      </c>
      <c r="C114" s="66">
        <f>100000+15600</f>
        <v>115600</v>
      </c>
      <c r="D114" s="66">
        <f t="shared" ref="D114:F114" si="59">100000+15600</f>
        <v>115600</v>
      </c>
      <c r="E114" s="66">
        <f t="shared" si="59"/>
        <v>115600</v>
      </c>
      <c r="F114" s="66">
        <f t="shared" si="59"/>
        <v>115600</v>
      </c>
      <c r="G114" s="449">
        <f>100000+15600+350-90</f>
        <v>115860</v>
      </c>
      <c r="H114" s="449">
        <f>100000+15600+350-90+7000</f>
        <v>122860</v>
      </c>
      <c r="I114" s="447">
        <f>100000+15600+350-90+7000</f>
        <v>122860</v>
      </c>
      <c r="J114" s="451">
        <v>79129</v>
      </c>
      <c r="K114" s="484">
        <f t="shared" si="50"/>
        <v>0.64405827771447177</v>
      </c>
    </row>
    <row r="115" spans="1:12" x14ac:dyDescent="0.25">
      <c r="A115" s="104" t="s">
        <v>133</v>
      </c>
      <c r="B115" s="65" t="s">
        <v>201</v>
      </c>
      <c r="C115" s="66">
        <f>7200+3000</f>
        <v>10200</v>
      </c>
      <c r="D115" s="66">
        <f t="shared" ref="D115:I115" si="60">7200+3000</f>
        <v>10200</v>
      </c>
      <c r="E115" s="66">
        <f t="shared" si="60"/>
        <v>10200</v>
      </c>
      <c r="F115" s="66">
        <f t="shared" si="60"/>
        <v>10200</v>
      </c>
      <c r="G115" s="345">
        <f t="shared" si="60"/>
        <v>10200</v>
      </c>
      <c r="H115" s="345">
        <f t="shared" si="60"/>
        <v>10200</v>
      </c>
      <c r="I115" s="447">
        <f t="shared" si="60"/>
        <v>10200</v>
      </c>
      <c r="J115" s="451">
        <v>4136</v>
      </c>
      <c r="K115" s="484">
        <f t="shared" si="50"/>
        <v>0.4054901960784314</v>
      </c>
    </row>
    <row r="116" spans="1:12" x14ac:dyDescent="0.25">
      <c r="A116" s="69" t="s">
        <v>134</v>
      </c>
      <c r="B116" s="42" t="s">
        <v>202</v>
      </c>
      <c r="C116" s="68">
        <f>12000+49000+9000</f>
        <v>70000</v>
      </c>
      <c r="D116" s="68">
        <f t="shared" ref="D116:F116" si="61">12000+49000+9000</f>
        <v>70000</v>
      </c>
      <c r="E116" s="68">
        <f t="shared" si="61"/>
        <v>70000</v>
      </c>
      <c r="F116" s="68">
        <f t="shared" si="61"/>
        <v>70000</v>
      </c>
      <c r="G116" s="444">
        <f>12000+49000+9000+50</f>
        <v>70050</v>
      </c>
      <c r="H116" s="444">
        <f>12000+49000+9000+50+12000</f>
        <v>82050</v>
      </c>
      <c r="I116" s="441">
        <f>12000+49000+9000+50+12000</f>
        <v>82050</v>
      </c>
      <c r="J116" s="452">
        <v>12973</v>
      </c>
      <c r="K116" s="484">
        <f t="shared" si="50"/>
        <v>0.15811090798293723</v>
      </c>
    </row>
    <row r="117" spans="1:12" x14ac:dyDescent="0.25">
      <c r="A117" s="69" t="s">
        <v>135</v>
      </c>
      <c r="B117" s="42" t="s">
        <v>136</v>
      </c>
      <c r="C117" s="68">
        <v>500</v>
      </c>
      <c r="D117" s="68">
        <v>500</v>
      </c>
      <c r="E117" s="68">
        <v>500</v>
      </c>
      <c r="F117" s="68">
        <v>500</v>
      </c>
      <c r="G117" s="346">
        <v>500</v>
      </c>
      <c r="H117" s="346">
        <v>500</v>
      </c>
      <c r="I117" s="346">
        <v>500</v>
      </c>
      <c r="J117" s="452">
        <v>0</v>
      </c>
      <c r="K117" s="484">
        <f t="shared" si="50"/>
        <v>0</v>
      </c>
    </row>
    <row r="118" spans="1:12" ht="15.75" thickBot="1" x14ac:dyDescent="0.3">
      <c r="A118" s="89" t="s">
        <v>137</v>
      </c>
      <c r="B118" s="90" t="s">
        <v>138</v>
      </c>
      <c r="C118" s="91">
        <v>500</v>
      </c>
      <c r="D118" s="91">
        <v>500</v>
      </c>
      <c r="E118" s="91">
        <v>500</v>
      </c>
      <c r="F118" s="91">
        <v>500</v>
      </c>
      <c r="G118" s="355">
        <v>500</v>
      </c>
      <c r="H118" s="355">
        <v>500</v>
      </c>
      <c r="I118" s="355">
        <v>500</v>
      </c>
      <c r="J118" s="459">
        <v>0</v>
      </c>
      <c r="K118" s="484">
        <f t="shared" si="50"/>
        <v>0</v>
      </c>
    </row>
    <row r="119" spans="1:12" ht="16.5" thickBot="1" x14ac:dyDescent="0.3">
      <c r="A119" s="111" t="s">
        <v>139</v>
      </c>
      <c r="B119" s="98"/>
      <c r="C119" s="112">
        <f t="shared" ref="C119:J119" si="62">SUM(C70+C76+C78+C81+C86+C91+C95+C99+C105+C113)</f>
        <v>1180700</v>
      </c>
      <c r="D119" s="112">
        <f t="shared" si="62"/>
        <v>1182896</v>
      </c>
      <c r="E119" s="112">
        <f t="shared" si="62"/>
        <v>1187896</v>
      </c>
      <c r="F119" s="112">
        <f t="shared" si="62"/>
        <v>1205896</v>
      </c>
      <c r="G119" s="360">
        <f t="shared" si="62"/>
        <v>1224096</v>
      </c>
      <c r="H119" s="360">
        <f t="shared" ref="H119:I119" si="63">SUM(H70+H76+H78+H81+H86+H91+H95+H99+H105+H113)</f>
        <v>1183846</v>
      </c>
      <c r="I119" s="360">
        <f t="shared" si="63"/>
        <v>1185696</v>
      </c>
      <c r="J119" s="464">
        <f t="shared" si="62"/>
        <v>712321</v>
      </c>
      <c r="K119" s="484">
        <f t="shared" si="50"/>
        <v>0.60076191536447787</v>
      </c>
      <c r="L119" s="171">
        <f>I119-H119</f>
        <v>1850</v>
      </c>
    </row>
    <row r="120" spans="1:12" ht="16.5" customHeight="1" x14ac:dyDescent="0.25">
      <c r="A120" s="513" t="s">
        <v>140</v>
      </c>
      <c r="B120" s="514" t="s">
        <v>141</v>
      </c>
      <c r="C120" s="515">
        <f>C60+C62</f>
        <v>409440</v>
      </c>
      <c r="D120" s="515">
        <f t="shared" ref="D120:J120" si="64">D60+D62</f>
        <v>431827</v>
      </c>
      <c r="E120" s="515">
        <f t="shared" si="64"/>
        <v>431827</v>
      </c>
      <c r="F120" s="515">
        <f t="shared" si="64"/>
        <v>431827</v>
      </c>
      <c r="G120" s="515">
        <f t="shared" si="64"/>
        <v>434657</v>
      </c>
      <c r="H120" s="543">
        <f t="shared" si="64"/>
        <v>441057</v>
      </c>
      <c r="I120" s="604">
        <f t="shared" ref="I120" si="65">I60+I62</f>
        <v>440880</v>
      </c>
      <c r="J120" s="515">
        <f t="shared" si="64"/>
        <v>329671</v>
      </c>
      <c r="K120" s="484">
        <f t="shared" si="50"/>
        <v>0.74775675920885498</v>
      </c>
    </row>
    <row r="121" spans="1:12" ht="18.75" customHeight="1" thickBot="1" x14ac:dyDescent="0.3">
      <c r="A121" s="516" t="s">
        <v>142</v>
      </c>
      <c r="B121" s="517" t="s">
        <v>143</v>
      </c>
      <c r="C121" s="518">
        <v>19000</v>
      </c>
      <c r="D121" s="518">
        <v>19000</v>
      </c>
      <c r="E121" s="518">
        <v>19000</v>
      </c>
      <c r="F121" s="518">
        <v>19000</v>
      </c>
      <c r="G121" s="519">
        <v>19000</v>
      </c>
      <c r="H121" s="519">
        <v>19000</v>
      </c>
      <c r="I121" s="599">
        <v>19000</v>
      </c>
      <c r="J121" s="520">
        <f>4750*3</f>
        <v>14250</v>
      </c>
      <c r="K121" s="484">
        <f t="shared" si="50"/>
        <v>0.75</v>
      </c>
    </row>
    <row r="122" spans="1:12" ht="18.75" customHeight="1" thickBot="1" x14ac:dyDescent="0.3">
      <c r="A122" s="510"/>
      <c r="B122" s="511" t="s">
        <v>394</v>
      </c>
      <c r="C122" s="512">
        <f>SUM(C120:C121)</f>
        <v>428440</v>
      </c>
      <c r="D122" s="512">
        <f t="shared" ref="D122:J122" si="66">SUM(D120:D121)</f>
        <v>450827</v>
      </c>
      <c r="E122" s="512">
        <f t="shared" si="66"/>
        <v>450827</v>
      </c>
      <c r="F122" s="512">
        <f t="shared" si="66"/>
        <v>450827</v>
      </c>
      <c r="G122" s="512">
        <f t="shared" si="66"/>
        <v>453657</v>
      </c>
      <c r="H122" s="512">
        <f t="shared" si="66"/>
        <v>460057</v>
      </c>
      <c r="I122" s="512">
        <f t="shared" ref="I122" si="67">SUM(I120:I121)</f>
        <v>459880</v>
      </c>
      <c r="J122" s="512">
        <f t="shared" si="66"/>
        <v>343921</v>
      </c>
      <c r="K122" s="484">
        <f t="shared" si="50"/>
        <v>0.74784943898408285</v>
      </c>
    </row>
    <row r="123" spans="1:12" ht="18.75" customHeight="1" x14ac:dyDescent="0.25">
      <c r="A123" s="181" t="s">
        <v>119</v>
      </c>
      <c r="B123" s="514" t="s">
        <v>392</v>
      </c>
      <c r="C123" s="515">
        <f>C63+0</f>
        <v>0</v>
      </c>
      <c r="D123" s="515">
        <f t="shared" ref="D123:G123" si="68">D63+0</f>
        <v>0</v>
      </c>
      <c r="E123" s="515">
        <f t="shared" si="68"/>
        <v>0</v>
      </c>
      <c r="F123" s="515">
        <f t="shared" si="68"/>
        <v>0</v>
      </c>
      <c r="G123" s="515">
        <f t="shared" si="68"/>
        <v>0</v>
      </c>
      <c r="H123" s="543">
        <v>69000</v>
      </c>
      <c r="I123" s="515">
        <v>69000</v>
      </c>
      <c r="J123" s="515">
        <v>17500</v>
      </c>
      <c r="K123" s="484">
        <f t="shared" si="50"/>
        <v>0.25362318840579712</v>
      </c>
    </row>
    <row r="124" spans="1:12" ht="19.5" customHeight="1" thickBot="1" x14ac:dyDescent="0.3">
      <c r="A124" s="116" t="s">
        <v>393</v>
      </c>
      <c r="B124" s="117"/>
      <c r="C124" s="118">
        <f>C122+C123</f>
        <v>428440</v>
      </c>
      <c r="D124" s="118">
        <f t="shared" ref="D124:J124" si="69">D122+D123</f>
        <v>450827</v>
      </c>
      <c r="E124" s="118">
        <f t="shared" si="69"/>
        <v>450827</v>
      </c>
      <c r="F124" s="118">
        <f t="shared" si="69"/>
        <v>450827</v>
      </c>
      <c r="G124" s="118">
        <f t="shared" si="69"/>
        <v>453657</v>
      </c>
      <c r="H124" s="118">
        <f t="shared" si="69"/>
        <v>529057</v>
      </c>
      <c r="I124" s="118">
        <f t="shared" ref="I124" si="70">I122+I123</f>
        <v>528880</v>
      </c>
      <c r="J124" s="118">
        <f t="shared" si="69"/>
        <v>361421</v>
      </c>
      <c r="K124" s="484">
        <f t="shared" si="50"/>
        <v>0.68337051883224931</v>
      </c>
      <c r="L124" s="171">
        <f>I124-H124</f>
        <v>-177</v>
      </c>
    </row>
    <row r="125" spans="1:12" ht="26.25" customHeight="1" thickBot="1" x14ac:dyDescent="0.3">
      <c r="A125" s="119" t="s">
        <v>395</v>
      </c>
      <c r="B125" s="82"/>
      <c r="C125" s="120">
        <f>C119+C124</f>
        <v>1609140</v>
      </c>
      <c r="D125" s="120">
        <f t="shared" ref="D125:J125" si="71">D119+D124</f>
        <v>1633723</v>
      </c>
      <c r="E125" s="120">
        <f t="shared" si="71"/>
        <v>1638723</v>
      </c>
      <c r="F125" s="120">
        <f t="shared" si="71"/>
        <v>1656723</v>
      </c>
      <c r="G125" s="120">
        <f t="shared" si="71"/>
        <v>1677753</v>
      </c>
      <c r="H125" s="120">
        <f t="shared" si="71"/>
        <v>1712903</v>
      </c>
      <c r="I125" s="120">
        <f t="shared" ref="I125" si="72">I119+I124</f>
        <v>1714576</v>
      </c>
      <c r="J125" s="120">
        <f t="shared" si="71"/>
        <v>1073742</v>
      </c>
      <c r="K125" s="484">
        <f t="shared" si="50"/>
        <v>0.62624345610809906</v>
      </c>
      <c r="L125" s="171">
        <f>I125-H125</f>
        <v>1673</v>
      </c>
    </row>
    <row r="126" spans="1:12" ht="20.25" customHeight="1" x14ac:dyDescent="0.25"/>
    <row r="127" spans="1:12" ht="16.5" customHeight="1" x14ac:dyDescent="0.25"/>
    <row r="128" spans="1:12" ht="18.75" thickBot="1" x14ac:dyDescent="0.3">
      <c r="A128" s="1008" t="s">
        <v>146</v>
      </c>
      <c r="B128" s="1009"/>
      <c r="C128" s="1009"/>
      <c r="D128" s="1009"/>
      <c r="E128" s="1009"/>
      <c r="F128" s="1009"/>
      <c r="G128" s="1009"/>
      <c r="H128" s="1009"/>
      <c r="I128" s="1009"/>
      <c r="J128" s="1009"/>
      <c r="K128" s="1009"/>
    </row>
    <row r="129" spans="1:15" ht="15" customHeight="1" x14ac:dyDescent="0.25">
      <c r="A129" s="992" t="s">
        <v>1</v>
      </c>
      <c r="B129" s="993"/>
      <c r="C129" s="996">
        <v>2017</v>
      </c>
      <c r="D129" s="996" t="s">
        <v>235</v>
      </c>
      <c r="E129" s="996" t="s">
        <v>279</v>
      </c>
      <c r="F129" s="996" t="s">
        <v>310</v>
      </c>
      <c r="G129" s="996" t="s">
        <v>348</v>
      </c>
      <c r="H129" s="996" t="s">
        <v>386</v>
      </c>
      <c r="I129" s="996" t="s">
        <v>471</v>
      </c>
      <c r="J129" s="998" t="s">
        <v>436</v>
      </c>
      <c r="K129" s="418" t="s">
        <v>280</v>
      </c>
    </row>
    <row r="130" spans="1:15" ht="15.75" thickBot="1" x14ac:dyDescent="0.3">
      <c r="A130" s="994"/>
      <c r="B130" s="995"/>
      <c r="C130" s="997"/>
      <c r="D130" s="997"/>
      <c r="E130" s="997"/>
      <c r="F130" s="997"/>
      <c r="G130" s="997"/>
      <c r="H130" s="997"/>
      <c r="I130" s="997"/>
      <c r="J130" s="999"/>
      <c r="K130" s="419" t="s">
        <v>281</v>
      </c>
    </row>
    <row r="131" spans="1:15" ht="16.5" thickBot="1" x14ac:dyDescent="0.3">
      <c r="A131" s="1010" t="s">
        <v>147</v>
      </c>
      <c r="B131" s="1011"/>
      <c r="C131" s="121">
        <f t="shared" ref="C131:J131" si="73">SUM(C132:C140)</f>
        <v>1669100</v>
      </c>
      <c r="D131" s="121">
        <f t="shared" si="73"/>
        <v>1653200</v>
      </c>
      <c r="E131" s="121">
        <f t="shared" si="73"/>
        <v>1748000</v>
      </c>
      <c r="F131" s="121">
        <f t="shared" si="73"/>
        <v>1748000</v>
      </c>
      <c r="G131" s="121">
        <f t="shared" si="73"/>
        <v>1778000</v>
      </c>
      <c r="H131" s="121">
        <f t="shared" si="73"/>
        <v>18800</v>
      </c>
      <c r="I131" s="121">
        <f t="shared" ref="I131" si="74">SUM(I132:I140)</f>
        <v>18800</v>
      </c>
      <c r="J131" s="478">
        <f t="shared" si="73"/>
        <v>12503</v>
      </c>
      <c r="K131" s="477">
        <f>J131/I131</f>
        <v>0.66505319148936171</v>
      </c>
      <c r="L131" s="171"/>
      <c r="M131" s="171">
        <f>I131-H131</f>
        <v>0</v>
      </c>
    </row>
    <row r="132" spans="1:15" x14ac:dyDescent="0.25">
      <c r="A132" s="122">
        <v>231</v>
      </c>
      <c r="B132" s="85" t="s">
        <v>148</v>
      </c>
      <c r="C132" s="123">
        <v>0</v>
      </c>
      <c r="D132" s="123">
        <v>0</v>
      </c>
      <c r="E132" s="123">
        <v>0</v>
      </c>
      <c r="F132" s="123">
        <v>0</v>
      </c>
      <c r="G132" s="410">
        <v>0</v>
      </c>
      <c r="H132" s="542">
        <v>0</v>
      </c>
      <c r="I132" s="542">
        <v>0</v>
      </c>
      <c r="J132" s="479">
        <v>0</v>
      </c>
      <c r="K132" s="477">
        <v>0</v>
      </c>
    </row>
    <row r="133" spans="1:15" x14ac:dyDescent="0.25">
      <c r="A133" s="46">
        <v>233</v>
      </c>
      <c r="B133" s="42" t="s">
        <v>149</v>
      </c>
      <c r="C133" s="124">
        <v>1000</v>
      </c>
      <c r="D133" s="124">
        <v>1000</v>
      </c>
      <c r="E133" s="124">
        <v>1000</v>
      </c>
      <c r="F133" s="124">
        <v>1000</v>
      </c>
      <c r="G133" s="124">
        <v>1000</v>
      </c>
      <c r="H133" s="498">
        <f>1000+5300</f>
        <v>6300</v>
      </c>
      <c r="I133" s="606">
        <f>1000+5300</f>
        <v>6300</v>
      </c>
      <c r="J133" s="480">
        <v>3</v>
      </c>
      <c r="K133" s="477">
        <f>J133/I133</f>
        <v>4.7619047619047619E-4</v>
      </c>
      <c r="O133" s="178"/>
    </row>
    <row r="134" spans="1:15" x14ac:dyDescent="0.25">
      <c r="A134" s="174">
        <v>322</v>
      </c>
      <c r="B134" s="42" t="s">
        <v>192</v>
      </c>
      <c r="C134" s="176">
        <v>134200</v>
      </c>
      <c r="D134" s="176">
        <v>134200</v>
      </c>
      <c r="E134" s="385">
        <f>134200+65800</f>
        <v>200000</v>
      </c>
      <c r="F134" s="176">
        <f>134200+65800</f>
        <v>200000</v>
      </c>
      <c r="G134" s="176">
        <f>134200+65800</f>
        <v>200000</v>
      </c>
      <c r="H134" s="385">
        <v>0</v>
      </c>
      <c r="I134" s="592">
        <v>0</v>
      </c>
      <c r="J134" s="480">
        <v>0</v>
      </c>
      <c r="K134" s="477">
        <v>0</v>
      </c>
    </row>
    <row r="135" spans="1:15" x14ac:dyDescent="0.25">
      <c r="A135" s="174">
        <v>322</v>
      </c>
      <c r="B135" s="42" t="s">
        <v>193</v>
      </c>
      <c r="C135" s="176">
        <v>155400</v>
      </c>
      <c r="D135" s="176">
        <v>155400</v>
      </c>
      <c r="E135" s="176">
        <v>155400</v>
      </c>
      <c r="F135" s="176">
        <v>155400</v>
      </c>
      <c r="G135" s="176">
        <v>155400</v>
      </c>
      <c r="H135" s="385">
        <v>0</v>
      </c>
      <c r="I135" s="592">
        <v>0</v>
      </c>
      <c r="J135" s="480">
        <v>0</v>
      </c>
      <c r="K135" s="477">
        <v>0</v>
      </c>
    </row>
    <row r="136" spans="1:15" x14ac:dyDescent="0.25">
      <c r="A136" s="174">
        <v>322</v>
      </c>
      <c r="B136" s="42" t="s">
        <v>194</v>
      </c>
      <c r="C136" s="176">
        <v>39900</v>
      </c>
      <c r="D136" s="385">
        <f>39900-15900</f>
        <v>24000</v>
      </c>
      <c r="E136" s="176">
        <f>39900-15900</f>
        <v>24000</v>
      </c>
      <c r="F136" s="176">
        <f>39900-15900</f>
        <v>24000</v>
      </c>
      <c r="G136" s="176">
        <f>39900-15900</f>
        <v>24000</v>
      </c>
      <c r="H136" s="385">
        <v>0</v>
      </c>
      <c r="I136" s="592">
        <v>0</v>
      </c>
      <c r="J136" s="480">
        <v>0</v>
      </c>
      <c r="K136" s="477">
        <v>0</v>
      </c>
    </row>
    <row r="137" spans="1:15" x14ac:dyDescent="0.25">
      <c r="A137" s="174">
        <v>322</v>
      </c>
      <c r="B137" s="42" t="s">
        <v>195</v>
      </c>
      <c r="C137" s="176">
        <v>1222600</v>
      </c>
      <c r="D137" s="176">
        <v>1222600</v>
      </c>
      <c r="E137" s="176">
        <v>1222600</v>
      </c>
      <c r="F137" s="176">
        <v>1222600</v>
      </c>
      <c r="G137" s="176">
        <v>1222600</v>
      </c>
      <c r="H137" s="385">
        <v>0</v>
      </c>
      <c r="I137" s="592">
        <v>0</v>
      </c>
      <c r="J137" s="480">
        <v>0</v>
      </c>
      <c r="K137" s="477">
        <v>0</v>
      </c>
    </row>
    <row r="138" spans="1:15" x14ac:dyDescent="0.25">
      <c r="A138" s="174">
        <v>322</v>
      </c>
      <c r="B138" s="42" t="s">
        <v>196</v>
      </c>
      <c r="C138" s="176">
        <v>103500</v>
      </c>
      <c r="D138" s="176">
        <v>103500</v>
      </c>
      <c r="E138" s="385">
        <f>103500+29000</f>
        <v>132500</v>
      </c>
      <c r="F138" s="176">
        <f>103500+29000</f>
        <v>132500</v>
      </c>
      <c r="G138" s="176">
        <f>103500+29000</f>
        <v>132500</v>
      </c>
      <c r="H138" s="385">
        <v>0</v>
      </c>
      <c r="I138" s="592">
        <v>0</v>
      </c>
      <c r="J138" s="480">
        <v>0</v>
      </c>
      <c r="K138" s="477">
        <v>0</v>
      </c>
    </row>
    <row r="139" spans="1:15" x14ac:dyDescent="0.25">
      <c r="A139" s="174">
        <v>322</v>
      </c>
      <c r="B139" s="42" t="s">
        <v>352</v>
      </c>
      <c r="C139" s="176">
        <v>0</v>
      </c>
      <c r="D139" s="176">
        <v>0</v>
      </c>
      <c r="E139" s="411">
        <v>0</v>
      </c>
      <c r="F139" s="176">
        <v>0</v>
      </c>
      <c r="G139" s="385">
        <v>30000</v>
      </c>
      <c r="H139" s="385">
        <v>0</v>
      </c>
      <c r="I139" s="592">
        <v>0</v>
      </c>
      <c r="J139" s="480">
        <v>0</v>
      </c>
      <c r="K139" s="477">
        <v>0</v>
      </c>
    </row>
    <row r="140" spans="1:15" ht="15.75" thickBot="1" x14ac:dyDescent="0.3">
      <c r="A140" s="125">
        <v>322</v>
      </c>
      <c r="B140" s="155" t="s">
        <v>150</v>
      </c>
      <c r="C140" s="127">
        <v>12500</v>
      </c>
      <c r="D140" s="127">
        <v>12500</v>
      </c>
      <c r="E140" s="127">
        <v>12500</v>
      </c>
      <c r="F140" s="127">
        <v>12500</v>
      </c>
      <c r="G140" s="127">
        <v>12500</v>
      </c>
      <c r="H140" s="127">
        <v>12500</v>
      </c>
      <c r="I140" s="127">
        <v>12500</v>
      </c>
      <c r="J140" s="481">
        <v>12500</v>
      </c>
      <c r="K140" s="477">
        <f>J140/I140</f>
        <v>1</v>
      </c>
    </row>
    <row r="141" spans="1:15" ht="16.5" thickBot="1" x14ac:dyDescent="0.3">
      <c r="A141" s="1010" t="s">
        <v>151</v>
      </c>
      <c r="B141" s="1011"/>
      <c r="C141" s="121">
        <f t="shared" ref="C141:J141" si="75">SUM(C142:C166)</f>
        <v>2481900</v>
      </c>
      <c r="D141" s="121">
        <f t="shared" si="75"/>
        <v>2481900</v>
      </c>
      <c r="E141" s="121">
        <f t="shared" si="75"/>
        <v>2595700</v>
      </c>
      <c r="F141" s="121">
        <f t="shared" si="75"/>
        <v>2606700</v>
      </c>
      <c r="G141" s="121">
        <f t="shared" si="75"/>
        <v>2665600</v>
      </c>
      <c r="H141" s="121">
        <f t="shared" ref="H141:I141" si="76">SUM(H142:H166)</f>
        <v>257900</v>
      </c>
      <c r="I141" s="121">
        <f t="shared" si="76"/>
        <v>257900</v>
      </c>
      <c r="J141" s="478">
        <f t="shared" si="75"/>
        <v>119440</v>
      </c>
      <c r="K141" s="477">
        <f>J141/I141</f>
        <v>0.46312524234199304</v>
      </c>
      <c r="L141" s="171"/>
      <c r="M141" s="171">
        <f>I141-H141</f>
        <v>0</v>
      </c>
    </row>
    <row r="142" spans="1:15" x14ac:dyDescent="0.25">
      <c r="A142" s="128" t="s">
        <v>59</v>
      </c>
      <c r="B142" s="129" t="s">
        <v>185</v>
      </c>
      <c r="C142" s="135">
        <v>3000</v>
      </c>
      <c r="D142" s="135">
        <v>3000</v>
      </c>
      <c r="E142" s="135">
        <v>3000</v>
      </c>
      <c r="F142" s="135">
        <v>3000</v>
      </c>
      <c r="G142" s="135">
        <v>3000</v>
      </c>
      <c r="H142" s="544">
        <v>0</v>
      </c>
      <c r="I142" s="593">
        <v>0</v>
      </c>
      <c r="J142" s="401">
        <v>0</v>
      </c>
      <c r="K142" s="477">
        <v>0</v>
      </c>
    </row>
    <row r="143" spans="1:15" ht="15.75" thickBot="1" x14ac:dyDescent="0.3">
      <c r="A143" s="200" t="s">
        <v>59</v>
      </c>
      <c r="B143" s="201" t="s">
        <v>184</v>
      </c>
      <c r="C143" s="210">
        <v>108200</v>
      </c>
      <c r="D143" s="210">
        <v>108200</v>
      </c>
      <c r="E143" s="386">
        <f>108200+31800</f>
        <v>140000</v>
      </c>
      <c r="F143" s="210">
        <f>108200+31800</f>
        <v>140000</v>
      </c>
      <c r="G143" s="210">
        <f>108200+31800</f>
        <v>140000</v>
      </c>
      <c r="H143" s="545">
        <v>0</v>
      </c>
      <c r="I143" s="594">
        <v>0</v>
      </c>
      <c r="J143" s="403">
        <v>0</v>
      </c>
      <c r="K143" s="477">
        <v>0</v>
      </c>
      <c r="M143" s="171"/>
    </row>
    <row r="144" spans="1:15" x14ac:dyDescent="0.25">
      <c r="A144" s="469" t="s">
        <v>71</v>
      </c>
      <c r="B144" s="131" t="s">
        <v>353</v>
      </c>
      <c r="C144" s="133">
        <v>0</v>
      </c>
      <c r="D144" s="133">
        <v>0</v>
      </c>
      <c r="E144" s="133">
        <v>0</v>
      </c>
      <c r="F144" s="133">
        <v>0</v>
      </c>
      <c r="G144" s="387">
        <v>32000</v>
      </c>
      <c r="H144" s="387">
        <v>0</v>
      </c>
      <c r="I144" s="595">
        <v>0</v>
      </c>
      <c r="J144" s="474">
        <v>0</v>
      </c>
      <c r="K144" s="477">
        <v>0</v>
      </c>
      <c r="M144" s="171"/>
      <c r="O144" s="142"/>
    </row>
    <row r="145" spans="1:15" ht="15.75" thickBot="1" x14ac:dyDescent="0.3">
      <c r="A145" s="204" t="s">
        <v>73</v>
      </c>
      <c r="B145" s="412" t="s">
        <v>152</v>
      </c>
      <c r="C145" s="182">
        <v>14800</v>
      </c>
      <c r="D145" s="182">
        <v>14800</v>
      </c>
      <c r="E145" s="182">
        <v>14800</v>
      </c>
      <c r="F145" s="182">
        <v>14800</v>
      </c>
      <c r="G145" s="182">
        <v>14800</v>
      </c>
      <c r="H145" s="182">
        <v>14800</v>
      </c>
      <c r="I145" s="182">
        <v>14800</v>
      </c>
      <c r="J145" s="482">
        <v>11867</v>
      </c>
      <c r="K145" s="477">
        <f>J145/I145</f>
        <v>0.80182432432432438</v>
      </c>
      <c r="M145" s="171"/>
      <c r="O145" s="142"/>
    </row>
    <row r="146" spans="1:15" x14ac:dyDescent="0.25">
      <c r="A146" s="190" t="s">
        <v>78</v>
      </c>
      <c r="B146" s="185" t="s">
        <v>301</v>
      </c>
      <c r="C146" s="133">
        <v>0</v>
      </c>
      <c r="D146" s="133">
        <v>0</v>
      </c>
      <c r="E146" s="387">
        <v>5000</v>
      </c>
      <c r="F146" s="387">
        <f>5000+2000</f>
        <v>7000</v>
      </c>
      <c r="G146" s="133">
        <f>5000+2000</f>
        <v>7000</v>
      </c>
      <c r="H146" s="387">
        <v>0</v>
      </c>
      <c r="I146" s="595">
        <v>0</v>
      </c>
      <c r="J146" s="474">
        <v>0</v>
      </c>
      <c r="K146" s="477">
        <v>0</v>
      </c>
      <c r="N146" s="140"/>
    </row>
    <row r="147" spans="1:15" x14ac:dyDescent="0.25">
      <c r="A147" s="190" t="s">
        <v>80</v>
      </c>
      <c r="B147" s="185" t="s">
        <v>153</v>
      </c>
      <c r="C147" s="133">
        <v>10000</v>
      </c>
      <c r="D147" s="133">
        <v>10000</v>
      </c>
      <c r="E147" s="133">
        <v>10000</v>
      </c>
      <c r="F147" s="133">
        <v>10000</v>
      </c>
      <c r="G147" s="387">
        <v>0</v>
      </c>
      <c r="H147" s="133">
        <v>0</v>
      </c>
      <c r="I147" s="133">
        <v>0</v>
      </c>
      <c r="J147" s="474">
        <v>0</v>
      </c>
      <c r="K147" s="477">
        <v>0</v>
      </c>
      <c r="N147" s="140"/>
    </row>
    <row r="148" spans="1:15" ht="15.75" thickBot="1" x14ac:dyDescent="0.3">
      <c r="A148" s="391" t="s">
        <v>80</v>
      </c>
      <c r="B148" s="392" t="s">
        <v>197</v>
      </c>
      <c r="C148" s="210">
        <v>40000</v>
      </c>
      <c r="D148" s="210">
        <v>40000</v>
      </c>
      <c r="E148" s="210">
        <v>40000</v>
      </c>
      <c r="F148" s="386">
        <v>0</v>
      </c>
      <c r="G148" s="210">
        <v>0</v>
      </c>
      <c r="H148" s="210">
        <v>0</v>
      </c>
      <c r="I148" s="210">
        <v>0</v>
      </c>
      <c r="J148" s="474">
        <v>0</v>
      </c>
      <c r="K148" s="477">
        <v>0</v>
      </c>
    </row>
    <row r="149" spans="1:15" x14ac:dyDescent="0.25">
      <c r="A149" s="470" t="s">
        <v>87</v>
      </c>
      <c r="B149" s="471" t="s">
        <v>318</v>
      </c>
      <c r="C149" s="398">
        <v>0</v>
      </c>
      <c r="D149" s="398">
        <v>0</v>
      </c>
      <c r="E149" s="398">
        <v>0</v>
      </c>
      <c r="F149" s="399">
        <v>2000</v>
      </c>
      <c r="G149" s="398">
        <v>2000</v>
      </c>
      <c r="H149" s="398">
        <v>2000</v>
      </c>
      <c r="I149" s="398">
        <v>2000</v>
      </c>
      <c r="J149" s="472">
        <v>1498</v>
      </c>
      <c r="K149" s="477">
        <f>J149/I149</f>
        <v>0.749</v>
      </c>
    </row>
    <row r="150" spans="1:15" ht="15.75" thickBot="1" x14ac:dyDescent="0.3">
      <c r="A150" s="473" t="s">
        <v>87</v>
      </c>
      <c r="B150" s="392" t="s">
        <v>198</v>
      </c>
      <c r="C150" s="210">
        <v>1287000</v>
      </c>
      <c r="D150" s="210">
        <v>1287000</v>
      </c>
      <c r="E150" s="210">
        <v>1287000</v>
      </c>
      <c r="F150" s="210">
        <v>1287000</v>
      </c>
      <c r="G150" s="210">
        <v>1287000</v>
      </c>
      <c r="H150" s="386">
        <v>0</v>
      </c>
      <c r="I150" s="596">
        <v>0</v>
      </c>
      <c r="J150" s="403">
        <v>0</v>
      </c>
      <c r="K150" s="477">
        <v>0</v>
      </c>
    </row>
    <row r="151" spans="1:15" ht="16.5" customHeight="1" x14ac:dyDescent="0.25">
      <c r="A151" s="396" t="s">
        <v>154</v>
      </c>
      <c r="B151" s="397" t="s">
        <v>190</v>
      </c>
      <c r="C151" s="398">
        <v>0</v>
      </c>
      <c r="D151" s="398">
        <v>0</v>
      </c>
      <c r="E151" s="398">
        <v>0</v>
      </c>
      <c r="F151" s="399">
        <v>7000</v>
      </c>
      <c r="G151" s="398">
        <f>10000-3000</f>
        <v>7000</v>
      </c>
      <c r="H151" s="398">
        <f>10000-3000</f>
        <v>7000</v>
      </c>
      <c r="I151" s="398">
        <f>10000-3000</f>
        <v>7000</v>
      </c>
      <c r="J151" s="483">
        <v>1891</v>
      </c>
      <c r="K151" s="477">
        <f>J151/I151</f>
        <v>0.27014285714285713</v>
      </c>
      <c r="N151" s="141"/>
    </row>
    <row r="152" spans="1:15" x14ac:dyDescent="0.25">
      <c r="A152" s="193" t="s">
        <v>154</v>
      </c>
      <c r="B152" s="189" t="s">
        <v>295</v>
      </c>
      <c r="C152" s="177">
        <v>50000</v>
      </c>
      <c r="D152" s="177">
        <v>50000</v>
      </c>
      <c r="E152" s="408">
        <f>50000+4000</f>
        <v>54000</v>
      </c>
      <c r="F152" s="177">
        <f>50000+4000</f>
        <v>54000</v>
      </c>
      <c r="G152" s="408">
        <f>50000+4000+10500</f>
        <v>64500</v>
      </c>
      <c r="H152" s="177">
        <f>50000+4000+10500</f>
        <v>64500</v>
      </c>
      <c r="I152" s="177">
        <f>50000+4000+10500</f>
        <v>64500</v>
      </c>
      <c r="J152" s="475">
        <f>612+33598</f>
        <v>34210</v>
      </c>
      <c r="K152" s="477">
        <f>J152/I152</f>
        <v>0.53038759689922477</v>
      </c>
    </row>
    <row r="153" spans="1:15" ht="15.75" thickBot="1" x14ac:dyDescent="0.3">
      <c r="A153" s="202" t="s">
        <v>154</v>
      </c>
      <c r="B153" s="203" t="s">
        <v>323</v>
      </c>
      <c r="C153" s="210">
        <v>0</v>
      </c>
      <c r="D153" s="210">
        <v>0</v>
      </c>
      <c r="E153" s="210">
        <v>0</v>
      </c>
      <c r="F153" s="386">
        <v>40000</v>
      </c>
      <c r="G153" s="210">
        <v>40000</v>
      </c>
      <c r="H153" s="386">
        <f>40000-4000</f>
        <v>36000</v>
      </c>
      <c r="I153" s="210">
        <f>40000-4000</f>
        <v>36000</v>
      </c>
      <c r="J153" s="403">
        <v>323</v>
      </c>
      <c r="K153" s="477">
        <f>J153/I153</f>
        <v>8.9722222222222217E-3</v>
      </c>
      <c r="O153" s="157"/>
    </row>
    <row r="154" spans="1:15" x14ac:dyDescent="0.25">
      <c r="A154" s="326" t="s">
        <v>93</v>
      </c>
      <c r="B154" s="327" t="s">
        <v>293</v>
      </c>
      <c r="C154" s="136">
        <v>0</v>
      </c>
      <c r="D154" s="136">
        <v>0</v>
      </c>
      <c r="E154" s="389">
        <v>1000</v>
      </c>
      <c r="F154" s="136">
        <v>1000</v>
      </c>
      <c r="G154" s="136">
        <v>1000</v>
      </c>
      <c r="H154" s="136">
        <v>1000</v>
      </c>
      <c r="I154" s="136">
        <v>1000</v>
      </c>
      <c r="J154" s="402">
        <v>869</v>
      </c>
      <c r="K154" s="477">
        <f>J154/I154</f>
        <v>0.86899999999999999</v>
      </c>
      <c r="O154" s="138"/>
    </row>
    <row r="155" spans="1:15" ht="16.5" customHeight="1" x14ac:dyDescent="0.25">
      <c r="A155" s="198" t="s">
        <v>93</v>
      </c>
      <c r="B155" s="199" t="s">
        <v>343</v>
      </c>
      <c r="C155" s="133">
        <v>0</v>
      </c>
      <c r="D155" s="133">
        <v>0</v>
      </c>
      <c r="E155" s="133">
        <v>0</v>
      </c>
      <c r="F155" s="133">
        <v>0</v>
      </c>
      <c r="G155" s="387">
        <v>4500</v>
      </c>
      <c r="H155" s="133">
        <v>4500</v>
      </c>
      <c r="I155" s="133">
        <v>4500</v>
      </c>
      <c r="J155" s="474">
        <v>0</v>
      </c>
      <c r="K155" s="477">
        <f>J155/I155</f>
        <v>0</v>
      </c>
    </row>
    <row r="156" spans="1:15" ht="15.75" customHeight="1" thickBot="1" x14ac:dyDescent="0.3">
      <c r="A156" s="323" t="s">
        <v>97</v>
      </c>
      <c r="B156" s="324" t="s">
        <v>334</v>
      </c>
      <c r="C156" s="182">
        <v>163600</v>
      </c>
      <c r="D156" s="182">
        <v>163600</v>
      </c>
      <c r="E156" s="182">
        <v>163600</v>
      </c>
      <c r="F156" s="182">
        <v>163600</v>
      </c>
      <c r="G156" s="182">
        <v>163600</v>
      </c>
      <c r="H156" s="534">
        <v>0</v>
      </c>
      <c r="I156" s="597">
        <v>0</v>
      </c>
      <c r="J156" s="403">
        <v>0</v>
      </c>
      <c r="K156" s="477">
        <v>0</v>
      </c>
      <c r="L156" s="140"/>
    </row>
    <row r="157" spans="1:15" ht="15" customHeight="1" x14ac:dyDescent="0.25">
      <c r="A157" s="198" t="s">
        <v>107</v>
      </c>
      <c r="B157" s="199" t="s">
        <v>207</v>
      </c>
      <c r="C157" s="133">
        <v>42000</v>
      </c>
      <c r="D157" s="133">
        <v>42000</v>
      </c>
      <c r="E157" s="133">
        <v>42000</v>
      </c>
      <c r="F157" s="133">
        <v>42000</v>
      </c>
      <c r="G157" s="387">
        <f>42000-4500</f>
        <v>37500</v>
      </c>
      <c r="H157" s="387">
        <v>0</v>
      </c>
      <c r="I157" s="595">
        <v>0</v>
      </c>
      <c r="J157" s="483">
        <v>0</v>
      </c>
      <c r="K157" s="477">
        <v>0</v>
      </c>
      <c r="L157" s="140"/>
    </row>
    <row r="158" spans="1:15" x14ac:dyDescent="0.25">
      <c r="A158" s="193" t="s">
        <v>107</v>
      </c>
      <c r="B158" s="189" t="s">
        <v>205</v>
      </c>
      <c r="C158" s="177">
        <v>56400</v>
      </c>
      <c r="D158" s="177">
        <v>56400</v>
      </c>
      <c r="E158" s="177">
        <v>56400</v>
      </c>
      <c r="F158" s="177">
        <v>56400</v>
      </c>
      <c r="G158" s="408">
        <f>56400-4400</f>
        <v>52000</v>
      </c>
      <c r="H158" s="177">
        <f>56400-4400</f>
        <v>52000</v>
      </c>
      <c r="I158" s="177">
        <f>56400-4400</f>
        <v>52000</v>
      </c>
      <c r="J158" s="475">
        <v>51725</v>
      </c>
      <c r="K158" s="477">
        <f>J158/I158</f>
        <v>0.99471153846153848</v>
      </c>
      <c r="L158" s="140"/>
      <c r="M158" s="138"/>
      <c r="N158" s="157"/>
    </row>
    <row r="159" spans="1:15" x14ac:dyDescent="0.25">
      <c r="A159" s="193" t="s">
        <v>107</v>
      </c>
      <c r="B159" s="189" t="s">
        <v>188</v>
      </c>
      <c r="C159" s="177">
        <v>10000</v>
      </c>
      <c r="D159" s="177">
        <v>10000</v>
      </c>
      <c r="E159" s="177">
        <v>10000</v>
      </c>
      <c r="F159" s="177">
        <v>10000</v>
      </c>
      <c r="G159" s="177">
        <v>10000</v>
      </c>
      <c r="H159" s="408">
        <v>0</v>
      </c>
      <c r="I159" s="598">
        <v>0</v>
      </c>
      <c r="J159" s="475">
        <v>0</v>
      </c>
      <c r="K159" s="477">
        <v>0</v>
      </c>
      <c r="L159" s="140"/>
      <c r="M159" s="157"/>
      <c r="N159" s="157"/>
    </row>
    <row r="160" spans="1:15" x14ac:dyDescent="0.25">
      <c r="A160" s="193" t="s">
        <v>107</v>
      </c>
      <c r="B160" s="189" t="s">
        <v>189</v>
      </c>
      <c r="C160" s="177">
        <v>10000</v>
      </c>
      <c r="D160" s="177">
        <v>10000</v>
      </c>
      <c r="E160" s="177">
        <v>10000</v>
      </c>
      <c r="F160" s="177">
        <v>10000</v>
      </c>
      <c r="G160" s="177">
        <v>10000</v>
      </c>
      <c r="H160" s="177">
        <v>10000</v>
      </c>
      <c r="I160" s="177">
        <v>10000</v>
      </c>
      <c r="J160" s="475">
        <v>0</v>
      </c>
      <c r="K160" s="477">
        <f>J160/I160</f>
        <v>0</v>
      </c>
      <c r="L160" s="140"/>
      <c r="N160" s="157"/>
    </row>
    <row r="161" spans="1:15" x14ac:dyDescent="0.25">
      <c r="A161" s="193" t="s">
        <v>107</v>
      </c>
      <c r="B161" s="189" t="s">
        <v>183</v>
      </c>
      <c r="C161" s="177">
        <v>30000</v>
      </c>
      <c r="D161" s="177">
        <v>30000</v>
      </c>
      <c r="E161" s="177">
        <v>30000</v>
      </c>
      <c r="F161" s="177">
        <v>30000</v>
      </c>
      <c r="G161" s="408">
        <f>30000+27000</f>
        <v>57000</v>
      </c>
      <c r="H161" s="408">
        <f>30000+27000-8000</f>
        <v>49000</v>
      </c>
      <c r="I161" s="177">
        <f>30000+27000-8000</f>
        <v>49000</v>
      </c>
      <c r="J161" s="475">
        <v>0</v>
      </c>
      <c r="K161" s="477">
        <f>J161/I161</f>
        <v>0</v>
      </c>
      <c r="L161" s="140"/>
      <c r="M161" s="138"/>
    </row>
    <row r="162" spans="1:15" x14ac:dyDescent="0.25">
      <c r="A162" s="193" t="s">
        <v>109</v>
      </c>
      <c r="B162" s="189" t="s">
        <v>182</v>
      </c>
      <c r="C162" s="177">
        <v>500000</v>
      </c>
      <c r="D162" s="177">
        <v>500000</v>
      </c>
      <c r="E162" s="177">
        <v>500000</v>
      </c>
      <c r="F162" s="177">
        <v>500000</v>
      </c>
      <c r="G162" s="177">
        <v>500000</v>
      </c>
      <c r="H162" s="408">
        <v>0</v>
      </c>
      <c r="I162" s="177">
        <v>0</v>
      </c>
      <c r="J162" s="475">
        <v>0</v>
      </c>
      <c r="K162" s="477">
        <v>0</v>
      </c>
      <c r="L162" s="143"/>
    </row>
    <row r="163" spans="1:15" ht="15.75" thickBot="1" x14ac:dyDescent="0.3">
      <c r="A163" s="329" t="s">
        <v>111</v>
      </c>
      <c r="B163" s="203" t="s">
        <v>156</v>
      </c>
      <c r="C163" s="210">
        <v>2700</v>
      </c>
      <c r="D163" s="210">
        <v>2700</v>
      </c>
      <c r="E163" s="210">
        <v>2700</v>
      </c>
      <c r="F163" s="210">
        <v>2700</v>
      </c>
      <c r="G163" s="210">
        <v>2700</v>
      </c>
      <c r="H163" s="210">
        <v>2700</v>
      </c>
      <c r="I163" s="210">
        <v>2700</v>
      </c>
      <c r="J163" s="403">
        <v>2698</v>
      </c>
      <c r="K163" s="477">
        <f>J163/I163</f>
        <v>0.99925925925925929</v>
      </c>
      <c r="L163" s="143"/>
    </row>
    <row r="164" spans="1:15" x14ac:dyDescent="0.25">
      <c r="A164" s="197" t="s">
        <v>117</v>
      </c>
      <c r="B164" s="185" t="s">
        <v>199</v>
      </c>
      <c r="C164" s="133">
        <v>141200</v>
      </c>
      <c r="D164" s="133">
        <v>141200</v>
      </c>
      <c r="E164" s="387">
        <f>141200+72000</f>
        <v>213200</v>
      </c>
      <c r="F164" s="133">
        <f>141200+72000</f>
        <v>213200</v>
      </c>
      <c r="G164" s="133">
        <f>141200+72000</f>
        <v>213200</v>
      </c>
      <c r="H164" s="387">
        <v>0</v>
      </c>
      <c r="I164" s="133">
        <v>0</v>
      </c>
      <c r="J164" s="474">
        <v>0</v>
      </c>
      <c r="K164" s="477">
        <v>0</v>
      </c>
      <c r="L164" s="143"/>
    </row>
    <row r="165" spans="1:15" x14ac:dyDescent="0.25">
      <c r="A165" s="194" t="s">
        <v>140</v>
      </c>
      <c r="B165" s="195" t="s">
        <v>349</v>
      </c>
      <c r="C165" s="136">
        <v>0</v>
      </c>
      <c r="D165" s="136">
        <v>0</v>
      </c>
      <c r="E165" s="136">
        <v>0</v>
      </c>
      <c r="F165" s="136">
        <v>0</v>
      </c>
      <c r="G165" s="389">
        <v>3800</v>
      </c>
      <c r="H165" s="136">
        <v>3800</v>
      </c>
      <c r="I165" s="136">
        <v>3800</v>
      </c>
      <c r="J165" s="402">
        <v>3759</v>
      </c>
      <c r="K165" s="477">
        <f>J165/I165</f>
        <v>0.98921052631578943</v>
      </c>
      <c r="L165" s="143"/>
    </row>
    <row r="166" spans="1:15" ht="15" customHeight="1" thickBot="1" x14ac:dyDescent="0.3">
      <c r="A166" s="306" t="s">
        <v>126</v>
      </c>
      <c r="B166" s="307" t="s">
        <v>314</v>
      </c>
      <c r="C166" s="182">
        <v>13000</v>
      </c>
      <c r="D166" s="182">
        <v>13000</v>
      </c>
      <c r="E166" s="182">
        <v>13000</v>
      </c>
      <c r="F166" s="182">
        <v>13000</v>
      </c>
      <c r="G166" s="182">
        <v>13000</v>
      </c>
      <c r="H166" s="534">
        <f>13000-2400</f>
        <v>10600</v>
      </c>
      <c r="I166" s="182">
        <f>13000-2400</f>
        <v>10600</v>
      </c>
      <c r="J166" s="482">
        <v>10600</v>
      </c>
      <c r="K166" s="477">
        <f>J166/I166</f>
        <v>1</v>
      </c>
      <c r="L166" s="141"/>
    </row>
    <row r="167" spans="1:15" ht="23.25" customHeight="1" x14ac:dyDescent="0.25">
      <c r="A167" s="137"/>
      <c r="B167" s="138"/>
      <c r="C167" s="140"/>
      <c r="D167" s="140"/>
      <c r="E167" s="140"/>
      <c r="F167" s="140"/>
      <c r="G167" s="140"/>
      <c r="H167" s="140"/>
      <c r="I167" s="140"/>
    </row>
    <row r="168" spans="1:15" ht="18.75" customHeight="1" x14ac:dyDescent="0.25">
      <c r="A168" s="141"/>
      <c r="B168" s="142"/>
      <c r="C168" s="143" t="s">
        <v>157</v>
      </c>
      <c r="D168" s="143"/>
      <c r="E168" s="143"/>
      <c r="F168" s="143"/>
      <c r="G168" s="143"/>
      <c r="H168" s="143"/>
      <c r="I168" s="143"/>
    </row>
    <row r="169" spans="1:15" ht="18.75" thickBot="1" x14ac:dyDescent="0.3">
      <c r="A169" s="1012" t="s">
        <v>158</v>
      </c>
      <c r="B169" s="1013"/>
      <c r="C169" s="1013"/>
      <c r="D169" s="1013"/>
      <c r="E169" s="1013"/>
      <c r="F169" s="1013"/>
      <c r="G169" s="1013"/>
      <c r="H169" s="1013"/>
      <c r="I169" s="1013"/>
      <c r="J169" s="1013"/>
      <c r="K169" s="1013"/>
    </row>
    <row r="170" spans="1:15" ht="15" customHeight="1" x14ac:dyDescent="0.25">
      <c r="A170" s="992" t="s">
        <v>1</v>
      </c>
      <c r="B170" s="993"/>
      <c r="C170" s="996">
        <v>2017</v>
      </c>
      <c r="D170" s="996" t="s">
        <v>235</v>
      </c>
      <c r="E170" s="996" t="s">
        <v>279</v>
      </c>
      <c r="F170" s="996" t="s">
        <v>310</v>
      </c>
      <c r="G170" s="996" t="s">
        <v>348</v>
      </c>
      <c r="H170" s="996" t="s">
        <v>386</v>
      </c>
      <c r="I170" s="996" t="s">
        <v>471</v>
      </c>
      <c r="J170" s="998" t="s">
        <v>436</v>
      </c>
      <c r="K170" s="338" t="s">
        <v>280</v>
      </c>
    </row>
    <row r="171" spans="1:15" ht="15.75" thickBot="1" x14ac:dyDescent="0.3">
      <c r="A171" s="994"/>
      <c r="B171" s="995"/>
      <c r="C171" s="997"/>
      <c r="D171" s="997"/>
      <c r="E171" s="997"/>
      <c r="F171" s="997"/>
      <c r="G171" s="997"/>
      <c r="H171" s="997"/>
      <c r="I171" s="997"/>
      <c r="J171" s="999"/>
      <c r="K171" s="417" t="s">
        <v>281</v>
      </c>
    </row>
    <row r="172" spans="1:15" ht="16.5" thickBot="1" x14ac:dyDescent="0.3">
      <c r="A172" s="144" t="s">
        <v>159</v>
      </c>
      <c r="B172" s="145"/>
      <c r="C172" s="146">
        <f t="shared" ref="C172:D172" si="77">SUM(C173:C175)</f>
        <v>714200</v>
      </c>
      <c r="D172" s="146">
        <f t="shared" si="77"/>
        <v>730100</v>
      </c>
      <c r="E172" s="146">
        <f t="shared" ref="E172:J172" si="78">SUM(E173:E175)</f>
        <v>749100</v>
      </c>
      <c r="F172" s="146">
        <f t="shared" si="78"/>
        <v>749100</v>
      </c>
      <c r="G172" s="146">
        <f t="shared" si="78"/>
        <v>767100</v>
      </c>
      <c r="H172" s="146">
        <f t="shared" si="78"/>
        <v>87400</v>
      </c>
      <c r="I172" s="146">
        <f t="shared" ref="I172" si="79">SUM(I173:I175)</f>
        <v>87400</v>
      </c>
      <c r="J172" s="486">
        <f t="shared" si="78"/>
        <v>51764</v>
      </c>
      <c r="K172" s="489">
        <f>J172/I172</f>
        <v>0.59226544622425625</v>
      </c>
      <c r="L172" s="171"/>
      <c r="M172" s="171">
        <f t="shared" ref="M172:M178" si="80">I172-H172</f>
        <v>0</v>
      </c>
    </row>
    <row r="173" spans="1:15" ht="15.75" thickBot="1" x14ac:dyDescent="0.3">
      <c r="A173" s="147">
        <v>454</v>
      </c>
      <c r="B173" s="47" t="s">
        <v>160</v>
      </c>
      <c r="C173" s="148">
        <f>312800</f>
        <v>312800</v>
      </c>
      <c r="D173" s="393">
        <f>312800+15900</f>
        <v>328700</v>
      </c>
      <c r="E173" s="393">
        <f>312800+15900-11000</f>
        <v>317700</v>
      </c>
      <c r="F173" s="148">
        <f>312800+15900-11000</f>
        <v>317700</v>
      </c>
      <c r="G173" s="148">
        <f>312800+15900-11000</f>
        <v>317700</v>
      </c>
      <c r="H173" s="393">
        <f>312800+15900-11000-246200+14400</f>
        <v>85900</v>
      </c>
      <c r="I173" s="605">
        <f>312800+15900-11000-246200+14400</f>
        <v>85900</v>
      </c>
      <c r="J173" s="487">
        <v>51725</v>
      </c>
      <c r="K173" s="489">
        <f>J173/I173</f>
        <v>0.60215366705471474</v>
      </c>
      <c r="M173" s="171">
        <f t="shared" si="80"/>
        <v>0</v>
      </c>
    </row>
    <row r="174" spans="1:15" ht="15.75" thickBot="1" x14ac:dyDescent="0.3">
      <c r="A174" s="149">
        <v>453</v>
      </c>
      <c r="B174" s="150" t="s">
        <v>161</v>
      </c>
      <c r="C174" s="151">
        <v>1500</v>
      </c>
      <c r="D174" s="151">
        <v>1500</v>
      </c>
      <c r="E174" s="151">
        <v>1500</v>
      </c>
      <c r="F174" s="151">
        <v>1500</v>
      </c>
      <c r="G174" s="151">
        <v>1500</v>
      </c>
      <c r="H174" s="151">
        <v>1500</v>
      </c>
      <c r="I174" s="151">
        <v>1500</v>
      </c>
      <c r="J174" s="488">
        <v>39</v>
      </c>
      <c r="K174" s="489">
        <f>J174/I174</f>
        <v>2.5999999999999999E-2</v>
      </c>
      <c r="M174" s="171">
        <f t="shared" si="80"/>
        <v>0</v>
      </c>
    </row>
    <row r="175" spans="1:15" ht="15.75" thickBot="1" x14ac:dyDescent="0.3">
      <c r="A175" s="149">
        <v>513</v>
      </c>
      <c r="B175" s="150" t="s">
        <v>162</v>
      </c>
      <c r="C175" s="151">
        <f>500000-100100</f>
        <v>399900</v>
      </c>
      <c r="D175" s="151">
        <f t="shared" ref="D175" si="81">500000-100100</f>
        <v>399900</v>
      </c>
      <c r="E175" s="394">
        <f>500000-100100+11000+19000</f>
        <v>429900</v>
      </c>
      <c r="F175" s="151">
        <f>500000-100100+11000+19000</f>
        <v>429900</v>
      </c>
      <c r="G175" s="394">
        <f>500000-100100+11000+19000+18000</f>
        <v>447900</v>
      </c>
      <c r="H175" s="394">
        <v>0</v>
      </c>
      <c r="I175" s="590">
        <v>0</v>
      </c>
      <c r="J175" s="488">
        <v>0</v>
      </c>
      <c r="K175" s="489">
        <v>0</v>
      </c>
      <c r="L175" s="312"/>
      <c r="M175" s="171">
        <f t="shared" si="80"/>
        <v>0</v>
      </c>
      <c r="O175" s="172"/>
    </row>
    <row r="176" spans="1:15" ht="16.5" thickBot="1" x14ac:dyDescent="0.3">
      <c r="A176" s="144" t="s">
        <v>163</v>
      </c>
      <c r="B176" s="145"/>
      <c r="C176" s="146">
        <f t="shared" ref="C176:D176" si="82">SUM(C177:C178)</f>
        <v>53800</v>
      </c>
      <c r="D176" s="146">
        <f t="shared" si="82"/>
        <v>53800</v>
      </c>
      <c r="E176" s="146">
        <f t="shared" ref="E176:J176" si="83">SUM(E177:E178)</f>
        <v>53800</v>
      </c>
      <c r="F176" s="146">
        <f t="shared" si="83"/>
        <v>53800</v>
      </c>
      <c r="G176" s="146">
        <f t="shared" si="83"/>
        <v>53800</v>
      </c>
      <c r="H176" s="146">
        <f t="shared" si="83"/>
        <v>800</v>
      </c>
      <c r="I176" s="146">
        <f t="shared" ref="I176" si="84">SUM(I177:I178)</f>
        <v>800</v>
      </c>
      <c r="J176" s="486">
        <f t="shared" si="83"/>
        <v>582</v>
      </c>
      <c r="K176" s="489">
        <f>J176/I176</f>
        <v>0.72750000000000004</v>
      </c>
      <c r="L176" s="157"/>
      <c r="M176" s="171">
        <f t="shared" si="80"/>
        <v>0</v>
      </c>
    </row>
    <row r="177" spans="1:14" ht="15.75" thickBot="1" x14ac:dyDescent="0.3">
      <c r="A177" s="152">
        <v>821</v>
      </c>
      <c r="B177" s="153" t="s">
        <v>164</v>
      </c>
      <c r="C177" s="154">
        <v>53000</v>
      </c>
      <c r="D177" s="154">
        <v>53000</v>
      </c>
      <c r="E177" s="154">
        <v>53000</v>
      </c>
      <c r="F177" s="154">
        <v>53000</v>
      </c>
      <c r="G177" s="154">
        <v>53000</v>
      </c>
      <c r="H177" s="372">
        <v>0</v>
      </c>
      <c r="I177" s="591">
        <v>0</v>
      </c>
      <c r="J177" s="443">
        <v>0</v>
      </c>
      <c r="K177" s="489">
        <v>0</v>
      </c>
      <c r="L177" s="138"/>
      <c r="M177" s="171">
        <f t="shared" si="80"/>
        <v>0</v>
      </c>
    </row>
    <row r="178" spans="1:14" ht="15" customHeight="1" thickBot="1" x14ac:dyDescent="0.3">
      <c r="A178" s="27">
        <v>821</v>
      </c>
      <c r="B178" s="155" t="s">
        <v>165</v>
      </c>
      <c r="C178" s="71">
        <v>800</v>
      </c>
      <c r="D178" s="71">
        <v>800</v>
      </c>
      <c r="E178" s="71">
        <v>800</v>
      </c>
      <c r="F178" s="71">
        <v>800</v>
      </c>
      <c r="G178" s="71">
        <v>800</v>
      </c>
      <c r="H178" s="71">
        <v>800</v>
      </c>
      <c r="I178" s="71">
        <v>800</v>
      </c>
      <c r="J178" s="348">
        <v>582</v>
      </c>
      <c r="K178" s="489">
        <f>J178/I178</f>
        <v>0.72750000000000004</v>
      </c>
      <c r="M178" s="171">
        <f t="shared" si="80"/>
        <v>0</v>
      </c>
    </row>
    <row r="179" spans="1:14" ht="63" customHeight="1" x14ac:dyDescent="0.25">
      <c r="A179" s="141"/>
      <c r="B179" s="156"/>
      <c r="C179" s="157"/>
      <c r="D179" s="157"/>
      <c r="E179" s="157"/>
      <c r="F179" s="157"/>
      <c r="G179" s="157"/>
      <c r="H179" s="157"/>
      <c r="I179" s="157"/>
      <c r="J179" s="157"/>
    </row>
    <row r="180" spans="1:14" ht="65.25" customHeight="1" thickBot="1" x14ac:dyDescent="0.3">
      <c r="A180" s="58"/>
      <c r="B180" s="138"/>
      <c r="C180" s="138"/>
      <c r="D180" s="138"/>
      <c r="E180" s="138"/>
      <c r="F180" s="138"/>
      <c r="G180" s="138"/>
      <c r="H180" s="138"/>
      <c r="I180" s="138"/>
      <c r="J180" s="138"/>
      <c r="M180" s="172"/>
    </row>
    <row r="181" spans="1:14" ht="18.75" thickBot="1" x14ac:dyDescent="0.3">
      <c r="A181" s="1018" t="s">
        <v>166</v>
      </c>
      <c r="B181" s="1019"/>
      <c r="C181" s="1019"/>
      <c r="D181" s="1019"/>
      <c r="E181" s="1019"/>
      <c r="F181" s="1019"/>
      <c r="G181" s="1019"/>
      <c r="H181" s="1019"/>
      <c r="I181" s="1019"/>
      <c r="J181" s="1020"/>
      <c r="N181" s="172"/>
    </row>
    <row r="182" spans="1:14" ht="15" customHeight="1" x14ac:dyDescent="0.25">
      <c r="A182" s="992" t="s">
        <v>1</v>
      </c>
      <c r="B182" s="993"/>
      <c r="C182" s="996">
        <v>2017</v>
      </c>
      <c r="D182" s="996" t="s">
        <v>235</v>
      </c>
      <c r="E182" s="996" t="s">
        <v>279</v>
      </c>
      <c r="F182" s="996" t="s">
        <v>310</v>
      </c>
      <c r="G182" s="996" t="s">
        <v>348</v>
      </c>
      <c r="H182" s="996" t="s">
        <v>386</v>
      </c>
      <c r="I182" s="996" t="s">
        <v>471</v>
      </c>
      <c r="J182" s="998" t="s">
        <v>436</v>
      </c>
    </row>
    <row r="183" spans="1:14" ht="15.75" thickBot="1" x14ac:dyDescent="0.3">
      <c r="A183" s="994"/>
      <c r="B183" s="995"/>
      <c r="C183" s="997"/>
      <c r="D183" s="997"/>
      <c r="E183" s="997"/>
      <c r="F183" s="997"/>
      <c r="G183" s="997"/>
      <c r="H183" s="997"/>
      <c r="I183" s="997"/>
      <c r="J183" s="999"/>
    </row>
    <row r="184" spans="1:14" ht="15.75" x14ac:dyDescent="0.25">
      <c r="A184" s="158" t="s">
        <v>167</v>
      </c>
      <c r="B184" s="16"/>
      <c r="C184" s="159">
        <f t="shared" ref="C184:J184" si="85">C65</f>
        <v>1761540</v>
      </c>
      <c r="D184" s="159">
        <f t="shared" si="85"/>
        <v>1786123</v>
      </c>
      <c r="E184" s="159">
        <f t="shared" si="85"/>
        <v>1791123</v>
      </c>
      <c r="F184" s="159">
        <f t="shared" si="85"/>
        <v>1820123</v>
      </c>
      <c r="G184" s="159">
        <f t="shared" si="85"/>
        <v>1852053</v>
      </c>
      <c r="H184" s="159">
        <f t="shared" si="85"/>
        <v>1865403</v>
      </c>
      <c r="I184" s="159">
        <f t="shared" ref="I184" si="86">I65</f>
        <v>1867076</v>
      </c>
      <c r="J184" s="159">
        <f t="shared" si="85"/>
        <v>1339535</v>
      </c>
      <c r="L184" s="171">
        <f t="shared" ref="L184:L192" si="87">I184-H184</f>
        <v>1673</v>
      </c>
      <c r="M184" s="171"/>
    </row>
    <row r="185" spans="1:14" ht="15.75" x14ac:dyDescent="0.25">
      <c r="A185" s="160" t="s">
        <v>168</v>
      </c>
      <c r="B185" s="10"/>
      <c r="C185" s="161">
        <f t="shared" ref="C185:J185" si="88">C125</f>
        <v>1609140</v>
      </c>
      <c r="D185" s="161">
        <f t="shared" si="88"/>
        <v>1633723</v>
      </c>
      <c r="E185" s="161">
        <f t="shared" si="88"/>
        <v>1638723</v>
      </c>
      <c r="F185" s="161">
        <f t="shared" si="88"/>
        <v>1656723</v>
      </c>
      <c r="G185" s="161">
        <f t="shared" si="88"/>
        <v>1677753</v>
      </c>
      <c r="H185" s="161">
        <f t="shared" si="88"/>
        <v>1712903</v>
      </c>
      <c r="I185" s="161">
        <f t="shared" ref="I185" si="89">I125</f>
        <v>1714576</v>
      </c>
      <c r="J185" s="161">
        <f t="shared" si="88"/>
        <v>1073742</v>
      </c>
      <c r="L185" s="171">
        <f t="shared" si="87"/>
        <v>1673</v>
      </c>
      <c r="M185" s="171"/>
    </row>
    <row r="186" spans="1:14" ht="15.75" x14ac:dyDescent="0.25">
      <c r="A186" s="1014" t="s">
        <v>169</v>
      </c>
      <c r="B186" s="1015"/>
      <c r="C186" s="162">
        <f t="shared" ref="C186:J186" si="90">C184-C185</f>
        <v>152400</v>
      </c>
      <c r="D186" s="162">
        <f t="shared" si="90"/>
        <v>152400</v>
      </c>
      <c r="E186" s="162">
        <f t="shared" si="90"/>
        <v>152400</v>
      </c>
      <c r="F186" s="162">
        <f t="shared" si="90"/>
        <v>163400</v>
      </c>
      <c r="G186" s="162">
        <f t="shared" si="90"/>
        <v>174300</v>
      </c>
      <c r="H186" s="162">
        <f t="shared" si="90"/>
        <v>152500</v>
      </c>
      <c r="I186" s="162">
        <f t="shared" ref="I186" si="91">I184-I185</f>
        <v>152500</v>
      </c>
      <c r="J186" s="162">
        <f t="shared" si="90"/>
        <v>265793</v>
      </c>
      <c r="L186" s="171">
        <f t="shared" si="87"/>
        <v>0</v>
      </c>
      <c r="M186" s="171"/>
    </row>
    <row r="187" spans="1:14" ht="15.75" x14ac:dyDescent="0.25">
      <c r="A187" s="160" t="s">
        <v>170</v>
      </c>
      <c r="B187" s="10"/>
      <c r="C187" s="161">
        <f t="shared" ref="C187:J187" si="92">C131</f>
        <v>1669100</v>
      </c>
      <c r="D187" s="161">
        <f t="shared" si="92"/>
        <v>1653200</v>
      </c>
      <c r="E187" s="161">
        <f t="shared" si="92"/>
        <v>1748000</v>
      </c>
      <c r="F187" s="161">
        <f t="shared" si="92"/>
        <v>1748000</v>
      </c>
      <c r="G187" s="161">
        <f t="shared" si="92"/>
        <v>1778000</v>
      </c>
      <c r="H187" s="161">
        <f t="shared" si="92"/>
        <v>18800</v>
      </c>
      <c r="I187" s="161">
        <f t="shared" ref="I187" si="93">I131</f>
        <v>18800</v>
      </c>
      <c r="J187" s="161">
        <f t="shared" si="92"/>
        <v>12503</v>
      </c>
      <c r="L187" s="171">
        <f t="shared" si="87"/>
        <v>0</v>
      </c>
      <c r="M187" s="171"/>
    </row>
    <row r="188" spans="1:14" ht="15.75" x14ac:dyDescent="0.25">
      <c r="A188" s="160" t="s">
        <v>171</v>
      </c>
      <c r="B188" s="10"/>
      <c r="C188" s="11">
        <f t="shared" ref="C188:J188" si="94">C141</f>
        <v>2481900</v>
      </c>
      <c r="D188" s="11">
        <f t="shared" si="94"/>
        <v>2481900</v>
      </c>
      <c r="E188" s="11">
        <f t="shared" si="94"/>
        <v>2595700</v>
      </c>
      <c r="F188" s="11">
        <f t="shared" si="94"/>
        <v>2606700</v>
      </c>
      <c r="G188" s="11">
        <f t="shared" si="94"/>
        <v>2665600</v>
      </c>
      <c r="H188" s="11">
        <f t="shared" si="94"/>
        <v>257900</v>
      </c>
      <c r="I188" s="11">
        <f t="shared" ref="I188" si="95">I141</f>
        <v>257900</v>
      </c>
      <c r="J188" s="11">
        <f t="shared" si="94"/>
        <v>119440</v>
      </c>
      <c r="L188" s="171">
        <f t="shared" si="87"/>
        <v>0</v>
      </c>
      <c r="M188" s="171"/>
    </row>
    <row r="189" spans="1:14" ht="15.75" x14ac:dyDescent="0.25">
      <c r="A189" s="1014" t="s">
        <v>172</v>
      </c>
      <c r="B189" s="1015"/>
      <c r="C189" s="162">
        <f t="shared" ref="C189:J189" si="96">C187-C188</f>
        <v>-812800</v>
      </c>
      <c r="D189" s="162">
        <f t="shared" si="96"/>
        <v>-828700</v>
      </c>
      <c r="E189" s="162">
        <f t="shared" si="96"/>
        <v>-847700</v>
      </c>
      <c r="F189" s="162">
        <f t="shared" si="96"/>
        <v>-858700</v>
      </c>
      <c r="G189" s="162">
        <f t="shared" si="96"/>
        <v>-887600</v>
      </c>
      <c r="H189" s="162">
        <f t="shared" si="96"/>
        <v>-239100</v>
      </c>
      <c r="I189" s="162">
        <f t="shared" ref="I189" si="97">I187-I188</f>
        <v>-239100</v>
      </c>
      <c r="J189" s="162">
        <f t="shared" si="96"/>
        <v>-106937</v>
      </c>
      <c r="L189" s="171">
        <f t="shared" si="87"/>
        <v>0</v>
      </c>
      <c r="M189" s="171"/>
    </row>
    <row r="190" spans="1:14" ht="15.75" x14ac:dyDescent="0.25">
      <c r="A190" s="163" t="s">
        <v>173</v>
      </c>
      <c r="B190" s="164"/>
      <c r="C190" s="165">
        <f t="shared" ref="C190:J190" si="98">C172</f>
        <v>714200</v>
      </c>
      <c r="D190" s="165">
        <f t="shared" si="98"/>
        <v>730100</v>
      </c>
      <c r="E190" s="165">
        <f t="shared" si="98"/>
        <v>749100</v>
      </c>
      <c r="F190" s="165">
        <f t="shared" si="98"/>
        <v>749100</v>
      </c>
      <c r="G190" s="165">
        <f t="shared" si="98"/>
        <v>767100</v>
      </c>
      <c r="H190" s="165">
        <f t="shared" si="98"/>
        <v>87400</v>
      </c>
      <c r="I190" s="165">
        <f t="shared" ref="I190" si="99">I172</f>
        <v>87400</v>
      </c>
      <c r="J190" s="165">
        <f t="shared" si="98"/>
        <v>51764</v>
      </c>
      <c r="K190" s="208"/>
      <c r="L190" s="171">
        <f t="shared" si="87"/>
        <v>0</v>
      </c>
      <c r="M190" s="171"/>
    </row>
    <row r="191" spans="1:14" ht="15.75" x14ac:dyDescent="0.25">
      <c r="A191" s="163" t="s">
        <v>174</v>
      </c>
      <c r="B191" s="164"/>
      <c r="C191" s="165">
        <f t="shared" ref="C191:J191" si="100">C176</f>
        <v>53800</v>
      </c>
      <c r="D191" s="165">
        <f t="shared" si="100"/>
        <v>53800</v>
      </c>
      <c r="E191" s="165">
        <f t="shared" si="100"/>
        <v>53800</v>
      </c>
      <c r="F191" s="165">
        <f t="shared" si="100"/>
        <v>53800</v>
      </c>
      <c r="G191" s="165">
        <f t="shared" si="100"/>
        <v>53800</v>
      </c>
      <c r="H191" s="165">
        <f t="shared" si="100"/>
        <v>800</v>
      </c>
      <c r="I191" s="165">
        <f t="shared" ref="I191" si="101">I176</f>
        <v>800</v>
      </c>
      <c r="J191" s="165">
        <f t="shared" si="100"/>
        <v>582</v>
      </c>
      <c r="L191" s="171">
        <f t="shared" si="87"/>
        <v>0</v>
      </c>
      <c r="M191" s="171"/>
    </row>
    <row r="192" spans="1:14" ht="16.5" thickBot="1" x14ac:dyDescent="0.3">
      <c r="A192" s="1016" t="s">
        <v>175</v>
      </c>
      <c r="B192" s="1017"/>
      <c r="C192" s="166">
        <f t="shared" ref="C192:J192" si="102">C190-C191</f>
        <v>660400</v>
      </c>
      <c r="D192" s="166">
        <f t="shared" si="102"/>
        <v>676300</v>
      </c>
      <c r="E192" s="166">
        <f t="shared" si="102"/>
        <v>695300</v>
      </c>
      <c r="F192" s="166">
        <f t="shared" si="102"/>
        <v>695300</v>
      </c>
      <c r="G192" s="166">
        <f t="shared" si="102"/>
        <v>713300</v>
      </c>
      <c r="H192" s="166">
        <f t="shared" si="102"/>
        <v>86600</v>
      </c>
      <c r="I192" s="166">
        <f t="shared" ref="I192" si="103">I190-I191</f>
        <v>86600</v>
      </c>
      <c r="J192" s="166">
        <f t="shared" si="102"/>
        <v>51182</v>
      </c>
      <c r="L192" s="171">
        <f t="shared" si="87"/>
        <v>0</v>
      </c>
      <c r="M192" s="171"/>
    </row>
    <row r="193" spans="1:13" ht="16.5" thickBot="1" x14ac:dyDescent="0.3">
      <c r="A193" s="167" t="s">
        <v>176</v>
      </c>
      <c r="B193" s="168"/>
      <c r="C193" s="169">
        <f t="shared" ref="C193:J193" si="104">C186+C189+C192</f>
        <v>0</v>
      </c>
      <c r="D193" s="169">
        <f t="shared" si="104"/>
        <v>0</v>
      </c>
      <c r="E193" s="169">
        <f t="shared" si="104"/>
        <v>0</v>
      </c>
      <c r="F193" s="169">
        <f t="shared" si="104"/>
        <v>0</v>
      </c>
      <c r="G193" s="169">
        <f t="shared" si="104"/>
        <v>0</v>
      </c>
      <c r="H193" s="169">
        <f t="shared" si="104"/>
        <v>0</v>
      </c>
      <c r="I193" s="169">
        <f t="shared" ref="I193" si="105">I186+I189+I192</f>
        <v>0</v>
      </c>
      <c r="J193" s="169">
        <f t="shared" si="104"/>
        <v>210038</v>
      </c>
      <c r="L193" s="171"/>
      <c r="M193" s="171"/>
    </row>
    <row r="195" spans="1:13" x14ac:dyDescent="0.25">
      <c r="B195" s="170" t="s">
        <v>177</v>
      </c>
      <c r="C195" s="171">
        <f t="shared" ref="C195:J196" si="106">C184+C187+C190</f>
        <v>4144840</v>
      </c>
      <c r="D195" s="171">
        <f t="shared" si="106"/>
        <v>4169423</v>
      </c>
      <c r="E195" s="171">
        <f t="shared" si="106"/>
        <v>4288223</v>
      </c>
      <c r="F195" s="171">
        <f t="shared" si="106"/>
        <v>4317223</v>
      </c>
      <c r="G195" s="171">
        <f t="shared" si="106"/>
        <v>4397153</v>
      </c>
      <c r="H195" s="171">
        <f t="shared" si="106"/>
        <v>1971603</v>
      </c>
      <c r="I195" s="171">
        <f t="shared" ref="I195" si="107">I184+I187+I190</f>
        <v>1973276</v>
      </c>
      <c r="J195" s="171">
        <f t="shared" si="106"/>
        <v>1403802</v>
      </c>
      <c r="L195" s="171">
        <f>I195-H195</f>
        <v>1673</v>
      </c>
      <c r="M195" s="171"/>
    </row>
    <row r="196" spans="1:13" x14ac:dyDescent="0.25">
      <c r="B196" s="170" t="s">
        <v>178</v>
      </c>
      <c r="C196" s="171">
        <f t="shared" si="106"/>
        <v>4144840</v>
      </c>
      <c r="D196" s="171">
        <f t="shared" si="106"/>
        <v>4169423</v>
      </c>
      <c r="E196" s="171">
        <f t="shared" si="106"/>
        <v>4288223</v>
      </c>
      <c r="F196" s="171">
        <f t="shared" si="106"/>
        <v>4317223</v>
      </c>
      <c r="G196" s="171">
        <f t="shared" si="106"/>
        <v>4397153</v>
      </c>
      <c r="H196" s="171">
        <f t="shared" si="106"/>
        <v>1971603</v>
      </c>
      <c r="I196" s="171">
        <f t="shared" ref="I196" si="108">I185+I188+I191</f>
        <v>1973276</v>
      </c>
      <c r="J196" s="171">
        <f t="shared" si="106"/>
        <v>1193764</v>
      </c>
      <c r="L196" s="171">
        <f>I196-H196</f>
        <v>1673</v>
      </c>
      <c r="M196" s="171"/>
    </row>
    <row r="197" spans="1:13" x14ac:dyDescent="0.25">
      <c r="B197" s="170"/>
      <c r="C197" s="171"/>
      <c r="D197" s="171"/>
      <c r="E197" s="171"/>
      <c r="F197" s="171"/>
      <c r="G197" s="171"/>
      <c r="H197" s="171"/>
      <c r="I197" s="171"/>
      <c r="J197" s="171"/>
      <c r="L197" s="171"/>
      <c r="M197" s="171"/>
    </row>
    <row r="198" spans="1:13" x14ac:dyDescent="0.25">
      <c r="B198" s="170" t="s">
        <v>179</v>
      </c>
      <c r="C198" s="171">
        <f t="shared" ref="C198:J198" si="109">C195-C64</f>
        <v>4141840</v>
      </c>
      <c r="D198" s="171">
        <f t="shared" si="109"/>
        <v>4166073</v>
      </c>
      <c r="E198" s="171">
        <f t="shared" si="109"/>
        <v>4284873</v>
      </c>
      <c r="F198" s="171">
        <f t="shared" si="109"/>
        <v>4313873</v>
      </c>
      <c r="G198" s="171">
        <f t="shared" si="109"/>
        <v>4391033</v>
      </c>
      <c r="H198" s="171">
        <f t="shared" si="109"/>
        <v>1960578</v>
      </c>
      <c r="I198" s="171">
        <f t="shared" ref="I198" si="110">I195-I64</f>
        <v>1962251</v>
      </c>
      <c r="J198" s="171">
        <f t="shared" si="109"/>
        <v>1399856</v>
      </c>
      <c r="K198" s="172"/>
      <c r="L198" s="171">
        <f>I198-H198</f>
        <v>1673</v>
      </c>
      <c r="M198" s="171"/>
    </row>
    <row r="199" spans="1:13" x14ac:dyDescent="0.25">
      <c r="B199" s="170" t="s">
        <v>180</v>
      </c>
      <c r="C199" s="171">
        <f t="shared" ref="C199:J199" si="111">C196-C124</f>
        <v>3716400</v>
      </c>
      <c r="D199" s="171">
        <f t="shared" si="111"/>
        <v>3718596</v>
      </c>
      <c r="E199" s="171">
        <f t="shared" si="111"/>
        <v>3837396</v>
      </c>
      <c r="F199" s="171">
        <f t="shared" si="111"/>
        <v>3866396</v>
      </c>
      <c r="G199" s="171">
        <f t="shared" si="111"/>
        <v>3943496</v>
      </c>
      <c r="H199" s="171">
        <f t="shared" si="111"/>
        <v>1442546</v>
      </c>
      <c r="I199" s="171">
        <f t="shared" ref="I199" si="112">I196-I124</f>
        <v>1444396</v>
      </c>
      <c r="J199" s="171">
        <f t="shared" si="111"/>
        <v>832343</v>
      </c>
      <c r="L199" s="171">
        <f>I199-H199</f>
        <v>1850</v>
      </c>
      <c r="M199" s="171"/>
    </row>
    <row r="200" spans="1:13" x14ac:dyDescent="0.25">
      <c r="B200" s="170"/>
      <c r="C200" s="171"/>
      <c r="D200" s="171"/>
      <c r="E200" s="171"/>
      <c r="F200" s="171"/>
      <c r="G200" s="171"/>
      <c r="H200" s="171"/>
      <c r="I200" s="171"/>
      <c r="J200" s="171"/>
      <c r="L200" s="171"/>
      <c r="M200" s="171"/>
    </row>
    <row r="202" spans="1:13" x14ac:dyDescent="0.25">
      <c r="B202" t="s">
        <v>181</v>
      </c>
    </row>
    <row r="204" spans="1:13" x14ac:dyDescent="0.25">
      <c r="B204" s="172" t="s">
        <v>315</v>
      </c>
      <c r="C204" s="172"/>
      <c r="D204" s="172"/>
      <c r="E204" s="172"/>
      <c r="F204" s="172"/>
      <c r="G204" s="172"/>
      <c r="H204" s="172"/>
      <c r="I204" s="172"/>
      <c r="J204" s="172"/>
    </row>
    <row r="205" spans="1:13" x14ac:dyDescent="0.25">
      <c r="B205" s="172" t="s">
        <v>316</v>
      </c>
    </row>
    <row r="206" spans="1:13" x14ac:dyDescent="0.25">
      <c r="B206" s="172" t="s">
        <v>317</v>
      </c>
    </row>
    <row r="207" spans="1:13" x14ac:dyDescent="0.25">
      <c r="B207" s="172" t="s">
        <v>324</v>
      </c>
    </row>
    <row r="208" spans="1:13" x14ac:dyDescent="0.25">
      <c r="B208" s="172" t="s">
        <v>381</v>
      </c>
    </row>
    <row r="209" spans="2:2" x14ac:dyDescent="0.25">
      <c r="B209" s="172" t="s">
        <v>435</v>
      </c>
    </row>
    <row r="210" spans="2:2" x14ac:dyDescent="0.25">
      <c r="B210" s="172" t="s">
        <v>479</v>
      </c>
    </row>
    <row r="211" spans="2:2" x14ac:dyDescent="0.25">
      <c r="B211" s="261"/>
    </row>
    <row r="212" spans="2:2" x14ac:dyDescent="0.25">
      <c r="B212" s="261" t="s">
        <v>472</v>
      </c>
    </row>
  </sheetData>
  <mergeCells count="58">
    <mergeCell ref="A186:B186"/>
    <mergeCell ref="A189:B189"/>
    <mergeCell ref="A192:B192"/>
    <mergeCell ref="I2:I3"/>
    <mergeCell ref="I68:I69"/>
    <mergeCell ref="I129:I130"/>
    <mergeCell ref="I170:I171"/>
    <mergeCell ref="I182:I183"/>
    <mergeCell ref="H170:H171"/>
    <mergeCell ref="A181:J181"/>
    <mergeCell ref="A182:B183"/>
    <mergeCell ref="C182:C183"/>
    <mergeCell ref="D182:D183"/>
    <mergeCell ref="E182:E183"/>
    <mergeCell ref="F182:F183"/>
    <mergeCell ref="G182:G183"/>
    <mergeCell ref="H182:H183"/>
    <mergeCell ref="J129:J130"/>
    <mergeCell ref="A131:B131"/>
    <mergeCell ref="A141:B141"/>
    <mergeCell ref="A169:K169"/>
    <mergeCell ref="A170:B171"/>
    <mergeCell ref="C170:C171"/>
    <mergeCell ref="D170:D171"/>
    <mergeCell ref="E170:E171"/>
    <mergeCell ref="F170:F171"/>
    <mergeCell ref="G170:G171"/>
    <mergeCell ref="J182:J183"/>
    <mergeCell ref="J170:J171"/>
    <mergeCell ref="A86:B86"/>
    <mergeCell ref="A128:K128"/>
    <mergeCell ref="A129:B130"/>
    <mergeCell ref="C129:C130"/>
    <mergeCell ref="D129:D130"/>
    <mergeCell ref="E129:E130"/>
    <mergeCell ref="F129:F130"/>
    <mergeCell ref="G129:G130"/>
    <mergeCell ref="H129:H130"/>
    <mergeCell ref="A4:B4"/>
    <mergeCell ref="A12:B12"/>
    <mergeCell ref="A67:K67"/>
    <mergeCell ref="A68:B69"/>
    <mergeCell ref="C68:C69"/>
    <mergeCell ref="D68:D69"/>
    <mergeCell ref="E68:E69"/>
    <mergeCell ref="F68:F69"/>
    <mergeCell ref="G68:G69"/>
    <mergeCell ref="H68:H69"/>
    <mergeCell ref="J68:J69"/>
    <mergeCell ref="A1:K1"/>
    <mergeCell ref="A2:B3"/>
    <mergeCell ref="C2:C3"/>
    <mergeCell ref="D2:D3"/>
    <mergeCell ref="E2:E3"/>
    <mergeCell ref="F2:F3"/>
    <mergeCell ref="G2:G3"/>
    <mergeCell ref="H2:H3"/>
    <mergeCell ref="J2:J3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&amp;C&amp;"-,Tučné"&amp;12Rozpočet obce Heľpa na rok 2017
6. zmena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11"/>
  <sheetViews>
    <sheetView topLeftCell="B1" zoomScale="106" zoomScaleNormal="106" workbookViewId="0">
      <selection sqref="A1:J1"/>
    </sheetView>
  </sheetViews>
  <sheetFormatPr defaultRowHeight="15" x14ac:dyDescent="0.25"/>
  <cols>
    <col min="2" max="2" width="60.5703125" customWidth="1"/>
    <col min="3" max="3" width="12.85546875" customWidth="1"/>
    <col min="4" max="8" width="12.7109375" customWidth="1"/>
    <col min="9" max="9" width="12" customWidth="1"/>
    <col min="10" max="10" width="9.7109375" customWidth="1"/>
    <col min="11" max="11" width="10.28515625" bestFit="1" customWidth="1"/>
    <col min="12" max="12" width="12.7109375" customWidth="1"/>
    <col min="14" max="14" width="12.140625" bestFit="1" customWidth="1"/>
  </cols>
  <sheetData>
    <row r="1" spans="1:11" ht="23.25" customHeight="1" thickBot="1" x14ac:dyDescent="0.3">
      <c r="A1" s="956" t="s">
        <v>0</v>
      </c>
      <c r="B1" s="957"/>
      <c r="C1" s="957"/>
      <c r="D1" s="957"/>
      <c r="E1" s="957"/>
      <c r="F1" s="957"/>
      <c r="G1" s="957"/>
      <c r="H1" s="957"/>
      <c r="I1" s="957"/>
      <c r="J1" s="957"/>
    </row>
    <row r="2" spans="1:11" ht="15" customHeight="1" x14ac:dyDescent="0.25">
      <c r="A2" s="992" t="s">
        <v>1</v>
      </c>
      <c r="B2" s="993"/>
      <c r="C2" s="996">
        <v>2017</v>
      </c>
      <c r="D2" s="996" t="s">
        <v>235</v>
      </c>
      <c r="E2" s="996" t="s">
        <v>279</v>
      </c>
      <c r="F2" s="996" t="s">
        <v>310</v>
      </c>
      <c r="G2" s="996" t="s">
        <v>348</v>
      </c>
      <c r="H2" s="996" t="s">
        <v>386</v>
      </c>
      <c r="I2" s="998" t="s">
        <v>436</v>
      </c>
      <c r="J2" s="418" t="s">
        <v>280</v>
      </c>
    </row>
    <row r="3" spans="1:11" ht="15.75" thickBot="1" x14ac:dyDescent="0.3">
      <c r="A3" s="994"/>
      <c r="B3" s="995"/>
      <c r="C3" s="997"/>
      <c r="D3" s="997"/>
      <c r="E3" s="997"/>
      <c r="F3" s="997"/>
      <c r="G3" s="997"/>
      <c r="H3" s="997"/>
      <c r="I3" s="999"/>
      <c r="J3" s="419" t="s">
        <v>281</v>
      </c>
    </row>
    <row r="4" spans="1:11" ht="15.75" thickBot="1" x14ac:dyDescent="0.3">
      <c r="A4" s="1000" t="s">
        <v>2</v>
      </c>
      <c r="B4" s="1001"/>
      <c r="C4" s="1">
        <f t="shared" ref="C4:I4" si="0">SUM(C5:C11)</f>
        <v>1009400</v>
      </c>
      <c r="D4" s="1">
        <f t="shared" si="0"/>
        <v>1009400</v>
      </c>
      <c r="E4" s="1">
        <f t="shared" si="0"/>
        <v>1009400</v>
      </c>
      <c r="F4" s="1">
        <f t="shared" si="0"/>
        <v>1014400</v>
      </c>
      <c r="G4" s="1">
        <f t="shared" ref="G4:H4" si="1">SUM(G5:G11)</f>
        <v>1021400</v>
      </c>
      <c r="H4" s="1">
        <f t="shared" si="1"/>
        <v>1021400</v>
      </c>
      <c r="I4" s="420">
        <f t="shared" si="0"/>
        <v>772160</v>
      </c>
      <c r="J4" s="485">
        <f>I4/H4</f>
        <v>0.75598198551008422</v>
      </c>
    </row>
    <row r="5" spans="1:11" ht="15.75" thickBot="1" x14ac:dyDescent="0.3">
      <c r="A5" s="2">
        <v>111</v>
      </c>
      <c r="B5" s="3" t="s">
        <v>3</v>
      </c>
      <c r="C5" s="4">
        <v>950000</v>
      </c>
      <c r="D5" s="4">
        <v>950000</v>
      </c>
      <c r="E5" s="4">
        <v>950000</v>
      </c>
      <c r="F5" s="376">
        <f>950000+5000</f>
        <v>955000</v>
      </c>
      <c r="G5" s="376">
        <f>950000+5000+7000</f>
        <v>962000</v>
      </c>
      <c r="H5" s="496">
        <f>950000+5000+7000</f>
        <v>962000</v>
      </c>
      <c r="I5" s="421">
        <v>726474</v>
      </c>
      <c r="J5" s="485">
        <f t="shared" ref="J5:J65" si="2">I5/H5</f>
        <v>0.75517047817047822</v>
      </c>
    </row>
    <row r="6" spans="1:11" ht="15.75" thickBot="1" x14ac:dyDescent="0.3">
      <c r="A6" s="5">
        <v>121</v>
      </c>
      <c r="B6" s="6" t="s">
        <v>4</v>
      </c>
      <c r="C6" s="173">
        <v>32000</v>
      </c>
      <c r="D6" s="173">
        <v>32000</v>
      </c>
      <c r="E6" s="173">
        <v>32000</v>
      </c>
      <c r="F6" s="173">
        <v>32000</v>
      </c>
      <c r="G6" s="173">
        <v>32000</v>
      </c>
      <c r="H6" s="506">
        <f>32000</f>
        <v>32000</v>
      </c>
      <c r="I6" s="422">
        <v>25574</v>
      </c>
      <c r="J6" s="485">
        <f t="shared" si="2"/>
        <v>0.79918750000000005</v>
      </c>
    </row>
    <row r="7" spans="1:11" x14ac:dyDescent="0.25">
      <c r="A7" s="7">
        <v>133</v>
      </c>
      <c r="B7" s="8" t="s">
        <v>5</v>
      </c>
      <c r="C7" s="18">
        <v>1000</v>
      </c>
      <c r="D7" s="18">
        <v>1000</v>
      </c>
      <c r="E7" s="18">
        <v>1000</v>
      </c>
      <c r="F7" s="18">
        <v>1000</v>
      </c>
      <c r="G7" s="18">
        <v>1000</v>
      </c>
      <c r="H7" s="18">
        <v>1000</v>
      </c>
      <c r="I7" s="423">
        <v>885</v>
      </c>
      <c r="J7" s="485">
        <f t="shared" si="2"/>
        <v>0.88500000000000001</v>
      </c>
    </row>
    <row r="8" spans="1:11" x14ac:dyDescent="0.25">
      <c r="A8" s="9">
        <v>133</v>
      </c>
      <c r="B8" s="10" t="s">
        <v>6</v>
      </c>
      <c r="C8" s="19">
        <v>400</v>
      </c>
      <c r="D8" s="19">
        <v>400</v>
      </c>
      <c r="E8" s="19">
        <v>400</v>
      </c>
      <c r="F8" s="19">
        <v>400</v>
      </c>
      <c r="G8" s="19">
        <v>400</v>
      </c>
      <c r="H8" s="19">
        <v>400</v>
      </c>
      <c r="I8" s="424">
        <v>130</v>
      </c>
      <c r="J8" s="485">
        <f t="shared" si="2"/>
        <v>0.32500000000000001</v>
      </c>
    </row>
    <row r="9" spans="1:11" x14ac:dyDescent="0.25">
      <c r="A9" s="9">
        <v>133</v>
      </c>
      <c r="B9" s="10" t="s">
        <v>7</v>
      </c>
      <c r="C9" s="19">
        <v>2000</v>
      </c>
      <c r="D9" s="19">
        <v>2000</v>
      </c>
      <c r="E9" s="19">
        <v>2000</v>
      </c>
      <c r="F9" s="19">
        <v>2000</v>
      </c>
      <c r="G9" s="19">
        <v>2000</v>
      </c>
      <c r="H9" s="19">
        <v>2000</v>
      </c>
      <c r="I9" s="424">
        <v>1040</v>
      </c>
      <c r="J9" s="485">
        <f t="shared" si="2"/>
        <v>0.52</v>
      </c>
      <c r="K9" t="s">
        <v>384</v>
      </c>
    </row>
    <row r="10" spans="1:11" x14ac:dyDescent="0.25">
      <c r="A10" s="9">
        <v>133</v>
      </c>
      <c r="B10" s="10" t="s">
        <v>8</v>
      </c>
      <c r="C10" s="19">
        <v>5000</v>
      </c>
      <c r="D10" s="19">
        <v>5000</v>
      </c>
      <c r="E10" s="19">
        <v>5000</v>
      </c>
      <c r="F10" s="19">
        <v>5000</v>
      </c>
      <c r="G10" s="19">
        <v>5000</v>
      </c>
      <c r="H10" s="19">
        <v>5000</v>
      </c>
      <c r="I10" s="424">
        <v>3041</v>
      </c>
      <c r="J10" s="485">
        <f t="shared" si="2"/>
        <v>0.60819999999999996</v>
      </c>
    </row>
    <row r="11" spans="1:11" ht="15.75" thickBot="1" x14ac:dyDescent="0.3">
      <c r="A11" s="12">
        <v>133</v>
      </c>
      <c r="B11" s="13" t="s">
        <v>9</v>
      </c>
      <c r="C11" s="14">
        <v>19000</v>
      </c>
      <c r="D11" s="14">
        <v>19000</v>
      </c>
      <c r="E11" s="14">
        <v>19000</v>
      </c>
      <c r="F11" s="14">
        <v>19000</v>
      </c>
      <c r="G11" s="14">
        <v>19000</v>
      </c>
      <c r="H11" s="14">
        <v>19000</v>
      </c>
      <c r="I11" s="425">
        <v>15016</v>
      </c>
      <c r="J11" s="485">
        <f t="shared" si="2"/>
        <v>0.79031578947368419</v>
      </c>
    </row>
    <row r="12" spans="1:11" ht="15.75" thickBot="1" x14ac:dyDescent="0.3">
      <c r="A12" s="1000" t="s">
        <v>10</v>
      </c>
      <c r="B12" s="1001"/>
      <c r="C12" s="1">
        <f t="shared" ref="C12:I12" si="3">SUM(C13:C31)</f>
        <v>159850</v>
      </c>
      <c r="D12" s="1">
        <f t="shared" si="3"/>
        <v>159882</v>
      </c>
      <c r="E12" s="1">
        <f t="shared" si="3"/>
        <v>159882</v>
      </c>
      <c r="F12" s="1">
        <f t="shared" si="3"/>
        <v>159882</v>
      </c>
      <c r="G12" s="1">
        <f t="shared" si="3"/>
        <v>172932</v>
      </c>
      <c r="H12" s="1">
        <f t="shared" ref="H12" si="4">SUM(H13:H31)</f>
        <v>174727</v>
      </c>
      <c r="I12" s="420">
        <f t="shared" si="3"/>
        <v>135367</v>
      </c>
      <c r="J12" s="485">
        <f t="shared" si="2"/>
        <v>0.77473429979339192</v>
      </c>
    </row>
    <row r="13" spans="1:11" x14ac:dyDescent="0.25">
      <c r="A13" s="15">
        <v>212</v>
      </c>
      <c r="B13" s="16" t="s">
        <v>11</v>
      </c>
      <c r="C13" s="17">
        <v>2282</v>
      </c>
      <c r="D13" s="17">
        <v>2282</v>
      </c>
      <c r="E13" s="17">
        <v>2282</v>
      </c>
      <c r="F13" s="17">
        <v>2282</v>
      </c>
      <c r="G13" s="17">
        <v>2282</v>
      </c>
      <c r="H13" s="17">
        <v>2282</v>
      </c>
      <c r="I13" s="426">
        <v>1583</v>
      </c>
      <c r="J13" s="485">
        <f t="shared" si="2"/>
        <v>0.69368974583698506</v>
      </c>
    </row>
    <row r="14" spans="1:11" x14ac:dyDescent="0.25">
      <c r="A14" s="7">
        <v>212</v>
      </c>
      <c r="B14" s="8" t="s">
        <v>12</v>
      </c>
      <c r="C14" s="18">
        <v>500</v>
      </c>
      <c r="D14" s="18">
        <v>500</v>
      </c>
      <c r="E14" s="18">
        <v>500</v>
      </c>
      <c r="F14" s="18">
        <v>500</v>
      </c>
      <c r="G14" s="18">
        <v>500</v>
      </c>
      <c r="H14" s="18">
        <v>500</v>
      </c>
      <c r="I14" s="423">
        <v>149</v>
      </c>
      <c r="J14" s="485">
        <f t="shared" si="2"/>
        <v>0.29799999999999999</v>
      </c>
    </row>
    <row r="15" spans="1:11" x14ac:dyDescent="0.25">
      <c r="A15" s="9">
        <v>212</v>
      </c>
      <c r="B15" s="10" t="s">
        <v>13</v>
      </c>
      <c r="C15" s="19">
        <v>3943</v>
      </c>
      <c r="D15" s="377">
        <f>3943+32</f>
        <v>3975</v>
      </c>
      <c r="E15" s="19">
        <f>3943+32</f>
        <v>3975</v>
      </c>
      <c r="F15" s="19">
        <f>3943+32</f>
        <v>3975</v>
      </c>
      <c r="G15" s="19">
        <f>3943+32</f>
        <v>3975</v>
      </c>
      <c r="H15" s="19">
        <f>3943+32</f>
        <v>3975</v>
      </c>
      <c r="I15" s="424">
        <v>3159</v>
      </c>
      <c r="J15" s="485">
        <f t="shared" si="2"/>
        <v>0.79471698113207545</v>
      </c>
    </row>
    <row r="16" spans="1:11" x14ac:dyDescent="0.25">
      <c r="A16" s="9">
        <v>212</v>
      </c>
      <c r="B16" s="10" t="s">
        <v>14</v>
      </c>
      <c r="C16" s="20">
        <v>15075</v>
      </c>
      <c r="D16" s="20">
        <f>15075</f>
        <v>15075</v>
      </c>
      <c r="E16" s="20">
        <f>15075</f>
        <v>15075</v>
      </c>
      <c r="F16" s="20">
        <f>15075</f>
        <v>15075</v>
      </c>
      <c r="G16" s="381">
        <f>15075+1300</f>
        <v>16375</v>
      </c>
      <c r="H16" s="381">
        <f>15075+1300+1600</f>
        <v>17975</v>
      </c>
      <c r="I16" s="427">
        <v>14184</v>
      </c>
      <c r="J16" s="485">
        <f t="shared" si="2"/>
        <v>0.78909596662030601</v>
      </c>
    </row>
    <row r="17" spans="1:13" ht="15.75" thickBot="1" x14ac:dyDescent="0.3">
      <c r="A17" s="21">
        <v>212</v>
      </c>
      <c r="B17" s="22" t="s">
        <v>15</v>
      </c>
      <c r="C17" s="23">
        <v>200</v>
      </c>
      <c r="D17" s="23">
        <v>200</v>
      </c>
      <c r="E17" s="23">
        <v>200</v>
      </c>
      <c r="F17" s="23">
        <v>200</v>
      </c>
      <c r="G17" s="23">
        <v>200</v>
      </c>
      <c r="H17" s="23">
        <v>200</v>
      </c>
      <c r="I17" s="428">
        <v>0</v>
      </c>
      <c r="J17" s="485">
        <f t="shared" si="2"/>
        <v>0</v>
      </c>
      <c r="K17" s="171">
        <f>SUM(I13:I17)</f>
        <v>19075</v>
      </c>
      <c r="L17" s="171">
        <f>SUM(H13:H17)</f>
        <v>24932</v>
      </c>
      <c r="M17" s="171"/>
    </row>
    <row r="18" spans="1:13" ht="15.75" thickBot="1" x14ac:dyDescent="0.3">
      <c r="A18" s="5">
        <v>221</v>
      </c>
      <c r="B18" s="6" t="s">
        <v>16</v>
      </c>
      <c r="C18" s="24">
        <v>11000</v>
      </c>
      <c r="D18" s="24">
        <v>11000</v>
      </c>
      <c r="E18" s="24">
        <v>11000</v>
      </c>
      <c r="F18" s="24">
        <v>11000</v>
      </c>
      <c r="G18" s="24">
        <v>11000</v>
      </c>
      <c r="H18" s="24">
        <v>11000</v>
      </c>
      <c r="I18" s="429">
        <v>2990</v>
      </c>
      <c r="J18" s="485">
        <f t="shared" si="2"/>
        <v>0.27181818181818179</v>
      </c>
    </row>
    <row r="19" spans="1:13" ht="15.75" thickBot="1" x14ac:dyDescent="0.3">
      <c r="A19" s="21">
        <v>222</v>
      </c>
      <c r="B19" s="22" t="s">
        <v>17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428">
        <v>0</v>
      </c>
      <c r="J19" s="485">
        <v>0</v>
      </c>
    </row>
    <row r="20" spans="1:13" x14ac:dyDescent="0.25">
      <c r="A20" s="7">
        <v>223</v>
      </c>
      <c r="B20" s="8" t="s">
        <v>18</v>
      </c>
      <c r="C20" s="18">
        <v>900</v>
      </c>
      <c r="D20" s="18">
        <v>900</v>
      </c>
      <c r="E20" s="18">
        <v>900</v>
      </c>
      <c r="F20" s="18">
        <v>900</v>
      </c>
      <c r="G20" s="18">
        <v>900</v>
      </c>
      <c r="H20" s="18">
        <v>900</v>
      </c>
      <c r="I20" s="423">
        <v>597</v>
      </c>
      <c r="J20" s="485">
        <f t="shared" si="2"/>
        <v>0.66333333333333333</v>
      </c>
    </row>
    <row r="21" spans="1:13" x14ac:dyDescent="0.25">
      <c r="A21" s="9">
        <v>223</v>
      </c>
      <c r="B21" s="10" t="s">
        <v>19</v>
      </c>
      <c r="C21" s="19">
        <v>18000</v>
      </c>
      <c r="D21" s="19">
        <v>18000</v>
      </c>
      <c r="E21" s="19">
        <v>18000</v>
      </c>
      <c r="F21" s="19">
        <v>18000</v>
      </c>
      <c r="G21" s="19">
        <v>18000</v>
      </c>
      <c r="H21" s="19">
        <v>18000</v>
      </c>
      <c r="I21" s="424">
        <v>12004</v>
      </c>
      <c r="J21" s="485">
        <f t="shared" si="2"/>
        <v>0.66688888888888886</v>
      </c>
    </row>
    <row r="22" spans="1:13" x14ac:dyDescent="0.25">
      <c r="A22" s="9">
        <v>223</v>
      </c>
      <c r="B22" s="10" t="s">
        <v>380</v>
      </c>
      <c r="C22" s="19">
        <v>30000</v>
      </c>
      <c r="D22" s="19">
        <v>30000</v>
      </c>
      <c r="E22" s="19">
        <v>30000</v>
      </c>
      <c r="F22" s="19">
        <v>30000</v>
      </c>
      <c r="G22" s="377">
        <f>30000+1000+5750</f>
        <v>36750</v>
      </c>
      <c r="H22" s="377">
        <f>30000+1000+5750+500+500-2000</f>
        <v>35750</v>
      </c>
      <c r="I22" s="424">
        <v>33947</v>
      </c>
      <c r="J22" s="485">
        <f t="shared" si="2"/>
        <v>0.94956643356643355</v>
      </c>
    </row>
    <row r="23" spans="1:13" x14ac:dyDescent="0.25">
      <c r="A23" s="9">
        <v>223</v>
      </c>
      <c r="B23" s="10" t="s">
        <v>21</v>
      </c>
      <c r="C23" s="19">
        <v>1000</v>
      </c>
      <c r="D23" s="19">
        <v>1000</v>
      </c>
      <c r="E23" s="19">
        <v>1000</v>
      </c>
      <c r="F23" s="19">
        <v>1000</v>
      </c>
      <c r="G23" s="19">
        <v>1000</v>
      </c>
      <c r="H23" s="19">
        <v>1000</v>
      </c>
      <c r="I23" s="424">
        <v>248</v>
      </c>
      <c r="J23" s="485">
        <f t="shared" si="2"/>
        <v>0.248</v>
      </c>
    </row>
    <row r="24" spans="1:13" x14ac:dyDescent="0.25">
      <c r="A24" s="9">
        <v>223</v>
      </c>
      <c r="B24" s="10" t="s">
        <v>365</v>
      </c>
      <c r="C24" s="19">
        <v>0</v>
      </c>
      <c r="D24" s="19">
        <v>0</v>
      </c>
      <c r="E24" s="19">
        <v>0</v>
      </c>
      <c r="F24" s="19">
        <v>0</v>
      </c>
      <c r="G24" s="377">
        <v>5000</v>
      </c>
      <c r="H24" s="495">
        <v>5000</v>
      </c>
      <c r="I24" s="424">
        <v>5000</v>
      </c>
      <c r="J24" s="485">
        <f t="shared" si="2"/>
        <v>1</v>
      </c>
    </row>
    <row r="25" spans="1:13" x14ac:dyDescent="0.25">
      <c r="A25" s="9">
        <v>223</v>
      </c>
      <c r="B25" s="10" t="s">
        <v>22</v>
      </c>
      <c r="C25" s="19">
        <v>700</v>
      </c>
      <c r="D25" s="19">
        <v>700</v>
      </c>
      <c r="E25" s="19">
        <v>700</v>
      </c>
      <c r="F25" s="19">
        <v>700</v>
      </c>
      <c r="G25" s="19">
        <v>700</v>
      </c>
      <c r="H25" s="19">
        <v>700</v>
      </c>
      <c r="I25" s="424">
        <v>411</v>
      </c>
      <c r="J25" s="485">
        <f t="shared" si="2"/>
        <v>0.58714285714285719</v>
      </c>
    </row>
    <row r="26" spans="1:13" x14ac:dyDescent="0.25">
      <c r="A26" s="9">
        <v>223</v>
      </c>
      <c r="B26" s="10" t="s">
        <v>23</v>
      </c>
      <c r="C26" s="19">
        <v>24000</v>
      </c>
      <c r="D26" s="19">
        <v>24000</v>
      </c>
      <c r="E26" s="19">
        <v>24000</v>
      </c>
      <c r="F26" s="19">
        <v>24000</v>
      </c>
      <c r="G26" s="19">
        <v>24000</v>
      </c>
      <c r="H26" s="377">
        <f>24000+6000</f>
        <v>30000</v>
      </c>
      <c r="I26" s="424">
        <v>28786</v>
      </c>
      <c r="J26" s="485">
        <f t="shared" si="2"/>
        <v>0.95953333333333335</v>
      </c>
    </row>
    <row r="27" spans="1:13" x14ac:dyDescent="0.25">
      <c r="A27" s="9">
        <v>223</v>
      </c>
      <c r="B27" s="10" t="s">
        <v>24</v>
      </c>
      <c r="C27" s="19">
        <v>21650</v>
      </c>
      <c r="D27" s="19">
        <v>21650</v>
      </c>
      <c r="E27" s="19">
        <v>21650</v>
      </c>
      <c r="F27" s="19">
        <v>21650</v>
      </c>
      <c r="G27" s="19">
        <v>21650</v>
      </c>
      <c r="H27" s="19">
        <v>21650</v>
      </c>
      <c r="I27" s="424">
        <v>14149</v>
      </c>
      <c r="J27" s="485">
        <f t="shared" si="2"/>
        <v>0.65353348729792149</v>
      </c>
    </row>
    <row r="28" spans="1:13" x14ac:dyDescent="0.25">
      <c r="A28" s="9">
        <v>223</v>
      </c>
      <c r="B28" s="10" t="s">
        <v>25</v>
      </c>
      <c r="C28" s="19">
        <v>18000</v>
      </c>
      <c r="D28" s="19">
        <v>18000</v>
      </c>
      <c r="E28" s="19">
        <v>18000</v>
      </c>
      <c r="F28" s="19">
        <v>18000</v>
      </c>
      <c r="G28" s="19">
        <v>18000</v>
      </c>
      <c r="H28" s="19">
        <v>18000</v>
      </c>
      <c r="I28" s="424">
        <v>11821</v>
      </c>
      <c r="J28" s="485">
        <f t="shared" si="2"/>
        <v>0.65672222222222221</v>
      </c>
    </row>
    <row r="29" spans="1:13" x14ac:dyDescent="0.25">
      <c r="A29" s="9">
        <v>223</v>
      </c>
      <c r="B29" s="10" t="s">
        <v>26</v>
      </c>
      <c r="C29" s="25">
        <v>10000</v>
      </c>
      <c r="D29" s="25">
        <v>10000</v>
      </c>
      <c r="E29" s="25">
        <v>10000</v>
      </c>
      <c r="F29" s="25">
        <v>10000</v>
      </c>
      <c r="G29" s="25">
        <v>10000</v>
      </c>
      <c r="H29" s="497">
        <f>10000-4805</f>
        <v>5195</v>
      </c>
      <c r="I29" s="430">
        <v>5175</v>
      </c>
      <c r="J29" s="485">
        <f t="shared" si="2"/>
        <v>0.99615014436958615</v>
      </c>
    </row>
    <row r="30" spans="1:13" x14ac:dyDescent="0.25">
      <c r="A30" s="9">
        <v>223</v>
      </c>
      <c r="B30" s="10" t="s">
        <v>27</v>
      </c>
      <c r="C30" s="19">
        <v>2500</v>
      </c>
      <c r="D30" s="19">
        <v>2500</v>
      </c>
      <c r="E30" s="19">
        <v>2500</v>
      </c>
      <c r="F30" s="19">
        <v>2500</v>
      </c>
      <c r="G30" s="19">
        <v>2500</v>
      </c>
      <c r="H30" s="19">
        <v>2500</v>
      </c>
      <c r="I30" s="424">
        <v>1158</v>
      </c>
      <c r="J30" s="485">
        <f t="shared" si="2"/>
        <v>0.4632</v>
      </c>
    </row>
    <row r="31" spans="1:13" ht="15.75" thickBot="1" x14ac:dyDescent="0.3">
      <c r="A31" s="12">
        <v>223</v>
      </c>
      <c r="B31" s="13" t="s">
        <v>28</v>
      </c>
      <c r="C31" s="26">
        <v>100</v>
      </c>
      <c r="D31" s="26">
        <v>100</v>
      </c>
      <c r="E31" s="26">
        <v>100</v>
      </c>
      <c r="F31" s="26">
        <v>100</v>
      </c>
      <c r="G31" s="26">
        <v>100</v>
      </c>
      <c r="H31" s="26">
        <v>100</v>
      </c>
      <c r="I31" s="431">
        <v>6</v>
      </c>
      <c r="J31" s="485">
        <f t="shared" si="2"/>
        <v>0.06</v>
      </c>
      <c r="K31" s="171">
        <f>SUM(I18:I31)</f>
        <v>116292</v>
      </c>
      <c r="L31" s="171">
        <f>SUM(H18:H31)</f>
        <v>149795</v>
      </c>
      <c r="M31" s="171"/>
    </row>
    <row r="32" spans="1:13" ht="15.75" thickBot="1" x14ac:dyDescent="0.3">
      <c r="A32" s="493" t="s">
        <v>29</v>
      </c>
      <c r="B32" s="494"/>
      <c r="C32" s="1">
        <f t="shared" ref="C32:I32" si="5">SUM(C33)</f>
        <v>600</v>
      </c>
      <c r="D32" s="1">
        <f t="shared" si="5"/>
        <v>600</v>
      </c>
      <c r="E32" s="1">
        <f t="shared" si="5"/>
        <v>600</v>
      </c>
      <c r="F32" s="1">
        <f t="shared" si="5"/>
        <v>600</v>
      </c>
      <c r="G32" s="1">
        <f t="shared" si="5"/>
        <v>600</v>
      </c>
      <c r="H32" s="1">
        <f t="shared" si="5"/>
        <v>600</v>
      </c>
      <c r="I32" s="420">
        <f t="shared" si="5"/>
        <v>269</v>
      </c>
      <c r="J32" s="485">
        <f t="shared" si="2"/>
        <v>0.44833333333333331</v>
      </c>
    </row>
    <row r="33" spans="1:10" ht="15.75" thickBot="1" x14ac:dyDescent="0.3">
      <c r="A33" s="27">
        <v>240</v>
      </c>
      <c r="B33" s="28" t="s">
        <v>30</v>
      </c>
      <c r="C33" s="23">
        <v>600</v>
      </c>
      <c r="D33" s="23">
        <v>600</v>
      </c>
      <c r="E33" s="23">
        <v>600</v>
      </c>
      <c r="F33" s="23">
        <v>600</v>
      </c>
      <c r="G33" s="23">
        <v>600</v>
      </c>
      <c r="H33" s="23">
        <v>600</v>
      </c>
      <c r="I33" s="428">
        <v>269</v>
      </c>
      <c r="J33" s="485">
        <f t="shared" si="2"/>
        <v>0.44833333333333331</v>
      </c>
    </row>
    <row r="34" spans="1:10" ht="15.75" thickBot="1" x14ac:dyDescent="0.3">
      <c r="A34" s="493" t="s">
        <v>31</v>
      </c>
      <c r="B34" s="494"/>
      <c r="C34" s="1">
        <f t="shared" ref="C34:I34" si="6">SUM(C35:C41)</f>
        <v>39730</v>
      </c>
      <c r="D34" s="1">
        <f t="shared" si="6"/>
        <v>41710</v>
      </c>
      <c r="E34" s="1">
        <f t="shared" si="6"/>
        <v>41710</v>
      </c>
      <c r="F34" s="1">
        <f t="shared" si="6"/>
        <v>42960</v>
      </c>
      <c r="G34" s="1">
        <f t="shared" si="6"/>
        <v>42960</v>
      </c>
      <c r="H34" s="1">
        <f t="shared" ref="H34" si="7">SUM(H35:H41)</f>
        <v>43960</v>
      </c>
      <c r="I34" s="420">
        <f t="shared" si="6"/>
        <v>16228</v>
      </c>
      <c r="J34" s="485">
        <f t="shared" si="2"/>
        <v>0.36915377616014561</v>
      </c>
    </row>
    <row r="35" spans="1:10" x14ac:dyDescent="0.25">
      <c r="A35" s="29">
        <v>292</v>
      </c>
      <c r="B35" s="30" t="s">
        <v>32</v>
      </c>
      <c r="C35" s="31">
        <v>200</v>
      </c>
      <c r="D35" s="31">
        <v>200</v>
      </c>
      <c r="E35" s="31">
        <v>200</v>
      </c>
      <c r="F35" s="31">
        <v>200</v>
      </c>
      <c r="G35" s="31">
        <v>200</v>
      </c>
      <c r="H35" s="31">
        <v>200</v>
      </c>
      <c r="I35" s="432">
        <v>0</v>
      </c>
      <c r="J35" s="485">
        <f t="shared" si="2"/>
        <v>0</v>
      </c>
    </row>
    <row r="36" spans="1:10" x14ac:dyDescent="0.25">
      <c r="A36" s="29">
        <v>292</v>
      </c>
      <c r="B36" s="30" t="s">
        <v>33</v>
      </c>
      <c r="C36" s="31">
        <v>300</v>
      </c>
      <c r="D36" s="31">
        <v>300</v>
      </c>
      <c r="E36" s="31">
        <v>300</v>
      </c>
      <c r="F36" s="383">
        <f>300+250</f>
        <v>550</v>
      </c>
      <c r="G36" s="31">
        <v>550</v>
      </c>
      <c r="H36" s="31">
        <v>550</v>
      </c>
      <c r="I36" s="432">
        <v>284</v>
      </c>
      <c r="J36" s="485">
        <f t="shared" si="2"/>
        <v>0.51636363636363636</v>
      </c>
    </row>
    <row r="37" spans="1:10" x14ac:dyDescent="0.25">
      <c r="A37" s="32">
        <v>292</v>
      </c>
      <c r="B37" s="33" t="s">
        <v>276</v>
      </c>
      <c r="C37" s="34">
        <v>0</v>
      </c>
      <c r="D37" s="374">
        <v>2000</v>
      </c>
      <c r="E37" s="34">
        <v>2000</v>
      </c>
      <c r="F37" s="34">
        <v>2000</v>
      </c>
      <c r="G37" s="34">
        <v>2000</v>
      </c>
      <c r="H37" s="34">
        <v>2000</v>
      </c>
      <c r="I37" s="433">
        <v>1998</v>
      </c>
      <c r="J37" s="485">
        <f t="shared" si="2"/>
        <v>0.999</v>
      </c>
    </row>
    <row r="38" spans="1:10" x14ac:dyDescent="0.25">
      <c r="A38" s="32">
        <v>292</v>
      </c>
      <c r="B38" s="33" t="s">
        <v>277</v>
      </c>
      <c r="C38" s="34">
        <v>15000</v>
      </c>
      <c r="D38" s="34">
        <v>15000</v>
      </c>
      <c r="E38" s="34">
        <v>15000</v>
      </c>
      <c r="F38" s="34">
        <v>15000</v>
      </c>
      <c r="G38" s="34">
        <v>15000</v>
      </c>
      <c r="H38" s="34">
        <v>15000</v>
      </c>
      <c r="I38" s="433">
        <v>1805</v>
      </c>
      <c r="J38" s="485">
        <f t="shared" si="2"/>
        <v>0.12033333333333333</v>
      </c>
    </row>
    <row r="39" spans="1:10" x14ac:dyDescent="0.25">
      <c r="A39" s="32">
        <v>292</v>
      </c>
      <c r="B39" s="10" t="s">
        <v>35</v>
      </c>
      <c r="C39" s="35">
        <v>230</v>
      </c>
      <c r="D39" s="378">
        <f>230-20</f>
        <v>210</v>
      </c>
      <c r="E39" s="35">
        <f>230-20</f>
        <v>210</v>
      </c>
      <c r="F39" s="35">
        <f>230-20</f>
        <v>210</v>
      </c>
      <c r="G39" s="35">
        <f>230-20</f>
        <v>210</v>
      </c>
      <c r="H39" s="35">
        <f>230-20</f>
        <v>210</v>
      </c>
      <c r="I39" s="434">
        <v>105</v>
      </c>
      <c r="J39" s="485">
        <f t="shared" si="2"/>
        <v>0.5</v>
      </c>
    </row>
    <row r="40" spans="1:10" x14ac:dyDescent="0.25">
      <c r="A40" s="32">
        <v>292</v>
      </c>
      <c r="B40" s="33" t="s">
        <v>36</v>
      </c>
      <c r="C40" s="34">
        <v>21000</v>
      </c>
      <c r="D40" s="34">
        <v>21000</v>
      </c>
      <c r="E40" s="34">
        <v>21000</v>
      </c>
      <c r="F40" s="374">
        <f>21000+1000</f>
        <v>22000</v>
      </c>
      <c r="G40" s="413">
        <v>22000</v>
      </c>
      <c r="H40" s="374">
        <f>22000+1000</f>
        <v>23000</v>
      </c>
      <c r="I40" s="433">
        <f>11596-105</f>
        <v>11491</v>
      </c>
      <c r="J40" s="485">
        <f t="shared" si="2"/>
        <v>0.49960869565217392</v>
      </c>
    </row>
    <row r="41" spans="1:10" ht="15.75" thickBot="1" x14ac:dyDescent="0.3">
      <c r="A41" s="32">
        <v>292</v>
      </c>
      <c r="B41" s="33" t="s">
        <v>37</v>
      </c>
      <c r="C41" s="34">
        <v>3000</v>
      </c>
      <c r="D41" s="34">
        <v>3000</v>
      </c>
      <c r="E41" s="34">
        <v>3000</v>
      </c>
      <c r="F41" s="34">
        <v>3000</v>
      </c>
      <c r="G41" s="34">
        <v>3000</v>
      </c>
      <c r="H41" s="34">
        <v>3000</v>
      </c>
      <c r="I41" s="433">
        <v>545</v>
      </c>
      <c r="J41" s="485">
        <f t="shared" si="2"/>
        <v>0.18166666666666667</v>
      </c>
    </row>
    <row r="42" spans="1:10" ht="15.75" thickBot="1" x14ac:dyDescent="0.3">
      <c r="A42" s="36" t="s">
        <v>38</v>
      </c>
      <c r="B42" s="37"/>
      <c r="C42" s="1">
        <f t="shared" ref="C42:I42" si="8">SUM(C43:C60)</f>
        <v>548960</v>
      </c>
      <c r="D42" s="1">
        <f t="shared" si="8"/>
        <v>571181</v>
      </c>
      <c r="E42" s="1">
        <f t="shared" si="8"/>
        <v>576181</v>
      </c>
      <c r="F42" s="1">
        <f t="shared" si="8"/>
        <v>598931</v>
      </c>
      <c r="G42" s="1">
        <f t="shared" si="8"/>
        <v>608041</v>
      </c>
      <c r="H42" s="1">
        <f t="shared" ref="H42" si="9">SUM(H43:H60)</f>
        <v>613691</v>
      </c>
      <c r="I42" s="420">
        <f t="shared" si="8"/>
        <v>411565</v>
      </c>
      <c r="J42" s="485">
        <f t="shared" si="2"/>
        <v>0.67063880682623667</v>
      </c>
    </row>
    <row r="43" spans="1:10" x14ac:dyDescent="0.25">
      <c r="A43" s="38">
        <v>311</v>
      </c>
      <c r="B43" s="39" t="s">
        <v>330</v>
      </c>
      <c r="C43" s="40">
        <v>0</v>
      </c>
      <c r="D43" s="40">
        <v>0</v>
      </c>
      <c r="E43" s="40">
        <v>0</v>
      </c>
      <c r="F43" s="400">
        <v>5950</v>
      </c>
      <c r="G43" s="400">
        <f>5950-3950</f>
        <v>2000</v>
      </c>
      <c r="H43" s="500">
        <f>5950-3950</f>
        <v>2000</v>
      </c>
      <c r="I43" s="435">
        <v>2000</v>
      </c>
      <c r="J43" s="485">
        <f t="shared" si="2"/>
        <v>1</v>
      </c>
    </row>
    <row r="44" spans="1:10" x14ac:dyDescent="0.25">
      <c r="A44" s="38">
        <v>312</v>
      </c>
      <c r="B44" s="39" t="s">
        <v>39</v>
      </c>
      <c r="C44" s="40">
        <v>3500</v>
      </c>
      <c r="D44" s="40">
        <v>3500</v>
      </c>
      <c r="E44" s="40">
        <v>3500</v>
      </c>
      <c r="F44" s="40">
        <v>3500</v>
      </c>
      <c r="G44" s="40">
        <v>3500</v>
      </c>
      <c r="H44" s="400">
        <f>3500-1450</f>
        <v>2050</v>
      </c>
      <c r="I44" s="435">
        <v>840</v>
      </c>
      <c r="J44" s="485">
        <f t="shared" si="2"/>
        <v>0.40975609756097559</v>
      </c>
    </row>
    <row r="45" spans="1:10" x14ac:dyDescent="0.25">
      <c r="A45" s="41">
        <v>312</v>
      </c>
      <c r="B45" s="10" t="s">
        <v>40</v>
      </c>
      <c r="C45" s="18">
        <v>7200</v>
      </c>
      <c r="D45" s="18">
        <v>7200</v>
      </c>
      <c r="E45" s="18">
        <v>7200</v>
      </c>
      <c r="F45" s="18">
        <v>7200</v>
      </c>
      <c r="G45" s="18">
        <v>7200</v>
      </c>
      <c r="H45" s="18">
        <v>7200</v>
      </c>
      <c r="I45" s="423">
        <v>5321</v>
      </c>
      <c r="J45" s="485">
        <f t="shared" si="2"/>
        <v>0.73902777777777773</v>
      </c>
    </row>
    <row r="46" spans="1:10" x14ac:dyDescent="0.25">
      <c r="A46" s="41">
        <v>312</v>
      </c>
      <c r="B46" s="10" t="s">
        <v>41</v>
      </c>
      <c r="C46" s="18">
        <v>3000</v>
      </c>
      <c r="D46" s="18">
        <v>3000</v>
      </c>
      <c r="E46" s="18">
        <v>3000</v>
      </c>
      <c r="F46" s="18">
        <v>3000</v>
      </c>
      <c r="G46" s="18">
        <v>3000</v>
      </c>
      <c r="H46" s="18">
        <v>3000</v>
      </c>
      <c r="I46" s="423">
        <v>381</v>
      </c>
      <c r="J46" s="485">
        <f t="shared" si="2"/>
        <v>0.127</v>
      </c>
    </row>
    <row r="47" spans="1:10" x14ac:dyDescent="0.25">
      <c r="A47" s="41">
        <v>312</v>
      </c>
      <c r="B47" s="42" t="s">
        <v>200</v>
      </c>
      <c r="C47" s="43">
        <v>61000</v>
      </c>
      <c r="D47" s="43">
        <v>61000</v>
      </c>
      <c r="E47" s="43">
        <v>61000</v>
      </c>
      <c r="F47" s="43">
        <v>61000</v>
      </c>
      <c r="G47" s="43">
        <v>61000</v>
      </c>
      <c r="H47" s="43">
        <v>61000</v>
      </c>
      <c r="I47" s="436">
        <v>4136</v>
      </c>
      <c r="J47" s="485">
        <f t="shared" si="2"/>
        <v>6.7803278688524593E-2</v>
      </c>
    </row>
    <row r="48" spans="1:10" x14ac:dyDescent="0.25">
      <c r="A48" s="41">
        <v>312</v>
      </c>
      <c r="B48" s="42" t="s">
        <v>42</v>
      </c>
      <c r="C48" s="18">
        <v>12800</v>
      </c>
      <c r="D48" s="18">
        <v>12800</v>
      </c>
      <c r="E48" s="18">
        <v>12800</v>
      </c>
      <c r="F48" s="18">
        <v>12800</v>
      </c>
      <c r="G48" s="18">
        <v>12800</v>
      </c>
      <c r="H48" s="18">
        <v>12800</v>
      </c>
      <c r="I48" s="423">
        <v>9362</v>
      </c>
      <c r="J48" s="485">
        <f t="shared" si="2"/>
        <v>0.73140625000000004</v>
      </c>
    </row>
    <row r="49" spans="1:13" x14ac:dyDescent="0.25">
      <c r="A49" s="41">
        <v>312</v>
      </c>
      <c r="B49" s="42" t="s">
        <v>43</v>
      </c>
      <c r="C49" s="18">
        <v>21800</v>
      </c>
      <c r="D49" s="18">
        <v>21800</v>
      </c>
      <c r="E49" s="18">
        <v>21800</v>
      </c>
      <c r="F49" s="18">
        <v>21800</v>
      </c>
      <c r="G49" s="18">
        <v>21800</v>
      </c>
      <c r="H49" s="379">
        <f>21800+700</f>
        <v>22500</v>
      </c>
      <c r="I49" s="423">
        <v>16350</v>
      </c>
      <c r="J49" s="485">
        <f t="shared" si="2"/>
        <v>0.72666666666666668</v>
      </c>
    </row>
    <row r="50" spans="1:13" x14ac:dyDescent="0.25">
      <c r="A50" s="41">
        <v>312</v>
      </c>
      <c r="B50" s="42" t="s">
        <v>44</v>
      </c>
      <c r="C50" s="18">
        <v>7700</v>
      </c>
      <c r="D50" s="18">
        <v>7700</v>
      </c>
      <c r="E50" s="18">
        <v>7700</v>
      </c>
      <c r="F50" s="18">
        <v>7700</v>
      </c>
      <c r="G50" s="416">
        <f>7700-120</f>
        <v>7580</v>
      </c>
      <c r="H50" s="501">
        <f>7700-120</f>
        <v>7580</v>
      </c>
      <c r="I50" s="423">
        <v>5664</v>
      </c>
      <c r="J50" s="485">
        <f t="shared" si="2"/>
        <v>0.7472295514511873</v>
      </c>
    </row>
    <row r="51" spans="1:13" x14ac:dyDescent="0.25">
      <c r="A51" s="41">
        <v>312</v>
      </c>
      <c r="B51" s="42" t="s">
        <v>329</v>
      </c>
      <c r="C51" s="18">
        <v>0</v>
      </c>
      <c r="D51" s="18">
        <v>0</v>
      </c>
      <c r="E51" s="18">
        <v>0</v>
      </c>
      <c r="F51" s="379">
        <v>2100</v>
      </c>
      <c r="G51" s="414">
        <v>2100</v>
      </c>
      <c r="H51" s="414">
        <v>2100</v>
      </c>
      <c r="I51" s="423">
        <v>2100</v>
      </c>
      <c r="J51" s="485">
        <f t="shared" si="2"/>
        <v>1</v>
      </c>
    </row>
    <row r="52" spans="1:13" x14ac:dyDescent="0.25">
      <c r="A52" s="41">
        <v>312</v>
      </c>
      <c r="B52" s="42" t="s">
        <v>350</v>
      </c>
      <c r="C52" s="18">
        <v>0</v>
      </c>
      <c r="D52" s="18">
        <v>0</v>
      </c>
      <c r="E52" s="18">
        <v>0</v>
      </c>
      <c r="F52" s="18">
        <v>0</v>
      </c>
      <c r="G52" s="379">
        <v>10000</v>
      </c>
      <c r="H52" s="414">
        <v>10000</v>
      </c>
      <c r="I52" s="423">
        <v>0</v>
      </c>
      <c r="J52" s="485">
        <f t="shared" si="2"/>
        <v>0</v>
      </c>
    </row>
    <row r="53" spans="1:13" x14ac:dyDescent="0.25">
      <c r="A53" s="41">
        <v>312</v>
      </c>
      <c r="B53" s="42" t="s">
        <v>47</v>
      </c>
      <c r="C53" s="18">
        <v>700</v>
      </c>
      <c r="D53" s="18">
        <v>700</v>
      </c>
      <c r="E53" s="18">
        <v>700</v>
      </c>
      <c r="F53" s="379">
        <v>1400</v>
      </c>
      <c r="G53" s="414">
        <v>1400</v>
      </c>
      <c r="H53" s="414">
        <v>1400</v>
      </c>
      <c r="I53" s="423">
        <v>1400</v>
      </c>
      <c r="J53" s="485">
        <f t="shared" si="2"/>
        <v>1</v>
      </c>
    </row>
    <row r="54" spans="1:13" x14ac:dyDescent="0.25">
      <c r="A54" s="44">
        <v>312</v>
      </c>
      <c r="B54" s="39" t="s">
        <v>292</v>
      </c>
      <c r="C54" s="45">
        <v>0</v>
      </c>
      <c r="D54" s="45">
        <v>0</v>
      </c>
      <c r="E54" s="380">
        <v>5000</v>
      </c>
      <c r="F54" s="45">
        <v>5000</v>
      </c>
      <c r="G54" s="380">
        <f>5000+3000</f>
        <v>8000</v>
      </c>
      <c r="H54" s="502">
        <f>5000+3000</f>
        <v>8000</v>
      </c>
      <c r="I54" s="437">
        <v>8000</v>
      </c>
      <c r="J54" s="485">
        <f t="shared" si="2"/>
        <v>1</v>
      </c>
    </row>
    <row r="55" spans="1:13" ht="15" customHeight="1" x14ac:dyDescent="0.25">
      <c r="A55" s="41">
        <v>312</v>
      </c>
      <c r="B55" s="42" t="s">
        <v>46</v>
      </c>
      <c r="C55" s="18">
        <v>15500</v>
      </c>
      <c r="D55" s="18">
        <v>15500</v>
      </c>
      <c r="E55" s="18">
        <v>15500</v>
      </c>
      <c r="F55" s="18">
        <v>15500</v>
      </c>
      <c r="G55" s="18">
        <v>15500</v>
      </c>
      <c r="H55" s="18">
        <v>15500</v>
      </c>
      <c r="I55" s="423">
        <v>15485</v>
      </c>
      <c r="J55" s="485">
        <f t="shared" si="2"/>
        <v>0.99903225806451612</v>
      </c>
    </row>
    <row r="56" spans="1:13" x14ac:dyDescent="0.25">
      <c r="A56" s="46">
        <v>312</v>
      </c>
      <c r="B56" s="10" t="s">
        <v>49</v>
      </c>
      <c r="C56" s="19">
        <f t="shared" ref="C56" si="10">3900+220</f>
        <v>4120</v>
      </c>
      <c r="D56" s="377">
        <f>3900+220-220</f>
        <v>3900</v>
      </c>
      <c r="E56" s="19">
        <f>3900+220-220</f>
        <v>3900</v>
      </c>
      <c r="F56" s="19">
        <f>3900+220-220</f>
        <v>3900</v>
      </c>
      <c r="G56" s="377">
        <f>3900+220-220+100</f>
        <v>4000</v>
      </c>
      <c r="H56" s="495">
        <f>3900+220-220+100</f>
        <v>4000</v>
      </c>
      <c r="I56" s="424">
        <v>3966</v>
      </c>
      <c r="J56" s="485">
        <f t="shared" si="2"/>
        <v>0.99150000000000005</v>
      </c>
    </row>
    <row r="57" spans="1:13" ht="16.5" customHeight="1" x14ac:dyDescent="0.25">
      <c r="A57" s="46">
        <v>312</v>
      </c>
      <c r="B57" s="47" t="s">
        <v>50</v>
      </c>
      <c r="C57" s="20">
        <v>3000</v>
      </c>
      <c r="D57" s="20">
        <v>3000</v>
      </c>
      <c r="E57" s="20">
        <v>3000</v>
      </c>
      <c r="F57" s="20">
        <v>3000</v>
      </c>
      <c r="G57" s="381">
        <f>3000+20</f>
        <v>3020</v>
      </c>
      <c r="H57" s="507">
        <f>3000+20</f>
        <v>3020</v>
      </c>
      <c r="I57" s="427">
        <v>3018</v>
      </c>
      <c r="J57" s="485">
        <f t="shared" si="2"/>
        <v>0.99933774834437084</v>
      </c>
    </row>
    <row r="58" spans="1:13" x14ac:dyDescent="0.25">
      <c r="A58" s="46">
        <v>312</v>
      </c>
      <c r="B58" s="48" t="s">
        <v>51</v>
      </c>
      <c r="C58" s="20">
        <v>2200</v>
      </c>
      <c r="D58" s="381">
        <f>2200+404</f>
        <v>2604</v>
      </c>
      <c r="E58" s="20">
        <f>2200+404</f>
        <v>2604</v>
      </c>
      <c r="F58" s="20">
        <f>2200+404</f>
        <v>2604</v>
      </c>
      <c r="G58" s="20">
        <f>2200+404</f>
        <v>2604</v>
      </c>
      <c r="H58" s="20">
        <f>2200+404</f>
        <v>2604</v>
      </c>
      <c r="I58" s="427">
        <v>1736</v>
      </c>
      <c r="J58" s="485">
        <f t="shared" si="2"/>
        <v>0.66666666666666663</v>
      </c>
    </row>
    <row r="59" spans="1:13" x14ac:dyDescent="0.25">
      <c r="A59" s="41">
        <v>312</v>
      </c>
      <c r="B59" s="42" t="s">
        <v>320</v>
      </c>
      <c r="C59" s="18">
        <v>0</v>
      </c>
      <c r="D59" s="18">
        <v>0</v>
      </c>
      <c r="E59" s="18">
        <v>0</v>
      </c>
      <c r="F59" s="379">
        <v>14000</v>
      </c>
      <c r="G59" s="414">
        <v>14000</v>
      </c>
      <c r="H59" s="414">
        <v>14000</v>
      </c>
      <c r="I59" s="423">
        <v>6081</v>
      </c>
      <c r="J59" s="485">
        <f t="shared" si="2"/>
        <v>0.43435714285714283</v>
      </c>
    </row>
    <row r="60" spans="1:13" ht="17.25" customHeight="1" thickBot="1" x14ac:dyDescent="0.3">
      <c r="A60" s="522">
        <v>312</v>
      </c>
      <c r="B60" s="523" t="s">
        <v>52</v>
      </c>
      <c r="C60" s="524">
        <v>406440</v>
      </c>
      <c r="D60" s="521">
        <f>406440+22037</f>
        <v>428477</v>
      </c>
      <c r="E60" s="524">
        <f>406440+22037</f>
        <v>428477</v>
      </c>
      <c r="F60" s="524">
        <f>406440+22037</f>
        <v>428477</v>
      </c>
      <c r="G60" s="521">
        <f>406440+22037+60</f>
        <v>428537</v>
      </c>
      <c r="H60" s="521">
        <f>406440+22037+60+6024+376</f>
        <v>434937</v>
      </c>
      <c r="I60" s="525">
        <v>325725</v>
      </c>
      <c r="J60" s="485">
        <f t="shared" si="2"/>
        <v>0.74890156505424921</v>
      </c>
    </row>
    <row r="61" spans="1:13" ht="20.25" customHeight="1" thickBot="1" x14ac:dyDescent="0.3">
      <c r="A61" s="52" t="s">
        <v>53</v>
      </c>
      <c r="B61" s="53"/>
      <c r="C61" s="54">
        <f t="shared" ref="C61:I61" si="11">SUM(C4+C12+C32+C34+C42)</f>
        <v>1758540</v>
      </c>
      <c r="D61" s="54">
        <f t="shared" si="11"/>
        <v>1782773</v>
      </c>
      <c r="E61" s="54">
        <f t="shared" si="11"/>
        <v>1787773</v>
      </c>
      <c r="F61" s="54">
        <f t="shared" si="11"/>
        <v>1816773</v>
      </c>
      <c r="G61" s="54">
        <f t="shared" si="11"/>
        <v>1845933</v>
      </c>
      <c r="H61" s="54">
        <f t="shared" ref="H61" si="12">SUM(H4+H12+H32+H34+H42)</f>
        <v>1854378</v>
      </c>
      <c r="I61" s="439">
        <f t="shared" si="11"/>
        <v>1335589</v>
      </c>
      <c r="J61" s="485">
        <f t="shared" si="2"/>
        <v>0.72023557225118073</v>
      </c>
      <c r="K61" s="171">
        <f>H61-G61</f>
        <v>8445</v>
      </c>
      <c r="L61" s="171"/>
    </row>
    <row r="62" spans="1:13" ht="17.25" customHeight="1" x14ac:dyDescent="0.25">
      <c r="A62" s="528" t="s">
        <v>54</v>
      </c>
      <c r="B62" s="529" t="s">
        <v>397</v>
      </c>
      <c r="C62" s="530">
        <v>3000</v>
      </c>
      <c r="D62" s="530">
        <f>3000+350</f>
        <v>3350</v>
      </c>
      <c r="E62" s="530">
        <f>3000+350</f>
        <v>3350</v>
      </c>
      <c r="F62" s="530">
        <f>3000+350</f>
        <v>3350</v>
      </c>
      <c r="G62" s="526">
        <f>3000+350+2770</f>
        <v>6120</v>
      </c>
      <c r="H62" s="530">
        <f>3000+350+2770</f>
        <v>6120</v>
      </c>
      <c r="I62" s="547">
        <v>3946</v>
      </c>
      <c r="J62" s="485">
        <f t="shared" si="2"/>
        <v>0.6447712418300654</v>
      </c>
      <c r="K62" s="171"/>
      <c r="L62" s="171"/>
    </row>
    <row r="63" spans="1:13" ht="16.5" thickBot="1" x14ac:dyDescent="0.3">
      <c r="A63" s="531" t="s">
        <v>54</v>
      </c>
      <c r="B63" s="517" t="s">
        <v>387</v>
      </c>
      <c r="C63" s="532">
        <v>0</v>
      </c>
      <c r="D63" s="532">
        <v>0</v>
      </c>
      <c r="E63" s="532">
        <v>0</v>
      </c>
      <c r="F63" s="532">
        <v>0</v>
      </c>
      <c r="G63" s="532">
        <v>0</v>
      </c>
      <c r="H63" s="527">
        <v>4905</v>
      </c>
      <c r="I63" s="533">
        <v>0</v>
      </c>
      <c r="J63" s="485">
        <f t="shared" si="2"/>
        <v>0</v>
      </c>
      <c r="M63" s="60"/>
    </row>
    <row r="64" spans="1:13" ht="16.5" thickBot="1" x14ac:dyDescent="0.3">
      <c r="A64" s="508" t="s">
        <v>54</v>
      </c>
      <c r="B64" s="509" t="s">
        <v>396</v>
      </c>
      <c r="C64" s="146">
        <f>SUM(C62:C63)</f>
        <v>3000</v>
      </c>
      <c r="D64" s="146">
        <f t="shared" ref="D64:I64" si="13">SUM(D62:D63)</f>
        <v>3350</v>
      </c>
      <c r="E64" s="146">
        <f t="shared" si="13"/>
        <v>3350</v>
      </c>
      <c r="F64" s="146">
        <f t="shared" si="13"/>
        <v>3350</v>
      </c>
      <c r="G64" s="146">
        <f t="shared" si="13"/>
        <v>6120</v>
      </c>
      <c r="H64" s="146">
        <f t="shared" si="13"/>
        <v>11025</v>
      </c>
      <c r="I64" s="146">
        <f t="shared" si="13"/>
        <v>3946</v>
      </c>
      <c r="J64" s="499"/>
      <c r="M64" s="60"/>
    </row>
    <row r="65" spans="1:13" ht="21" customHeight="1" thickBot="1" x14ac:dyDescent="0.3">
      <c r="A65" s="52" t="s">
        <v>56</v>
      </c>
      <c r="B65" s="37"/>
      <c r="C65" s="54">
        <f>C61+C64</f>
        <v>1761540</v>
      </c>
      <c r="D65" s="54">
        <f t="shared" ref="D65:I65" si="14">D61+D64</f>
        <v>1786123</v>
      </c>
      <c r="E65" s="54">
        <f t="shared" si="14"/>
        <v>1791123</v>
      </c>
      <c r="F65" s="54">
        <f t="shared" si="14"/>
        <v>1820123</v>
      </c>
      <c r="G65" s="54">
        <f t="shared" si="14"/>
        <v>1852053</v>
      </c>
      <c r="H65" s="54">
        <f t="shared" si="14"/>
        <v>1865403</v>
      </c>
      <c r="I65" s="54">
        <f t="shared" si="14"/>
        <v>1339535</v>
      </c>
      <c r="J65" s="485">
        <f t="shared" si="2"/>
        <v>0.71809415981425995</v>
      </c>
      <c r="M65" s="59"/>
    </row>
    <row r="66" spans="1:13" ht="30.75" customHeight="1" x14ac:dyDescent="0.25">
      <c r="A66" s="5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1:13" ht="18.75" thickBot="1" x14ac:dyDescent="0.3">
      <c r="A67" s="1002" t="s">
        <v>57</v>
      </c>
      <c r="B67" s="1003"/>
      <c r="C67" s="1003"/>
      <c r="D67" s="1003"/>
      <c r="E67" s="1003"/>
      <c r="F67" s="1003"/>
      <c r="G67" s="1003"/>
      <c r="H67" s="1003"/>
      <c r="I67" s="1003"/>
      <c r="J67" s="1003"/>
    </row>
    <row r="68" spans="1:13" ht="15" customHeight="1" x14ac:dyDescent="0.25">
      <c r="A68" s="992" t="s">
        <v>1</v>
      </c>
      <c r="B68" s="993"/>
      <c r="C68" s="996">
        <v>2017</v>
      </c>
      <c r="D68" s="996" t="s">
        <v>235</v>
      </c>
      <c r="E68" s="996" t="s">
        <v>279</v>
      </c>
      <c r="F68" s="996" t="s">
        <v>310</v>
      </c>
      <c r="G68" s="1004" t="s">
        <v>348</v>
      </c>
      <c r="H68" s="996" t="s">
        <v>386</v>
      </c>
      <c r="I68" s="998" t="s">
        <v>436</v>
      </c>
      <c r="J68" s="418" t="s">
        <v>280</v>
      </c>
    </row>
    <row r="69" spans="1:13" ht="15.75" thickBot="1" x14ac:dyDescent="0.3">
      <c r="A69" s="994"/>
      <c r="B69" s="995"/>
      <c r="C69" s="997"/>
      <c r="D69" s="997"/>
      <c r="E69" s="997"/>
      <c r="F69" s="997"/>
      <c r="G69" s="1005"/>
      <c r="H69" s="997"/>
      <c r="I69" s="999"/>
      <c r="J69" s="419" t="s">
        <v>281</v>
      </c>
    </row>
    <row r="70" spans="1:13" ht="15.75" thickBot="1" x14ac:dyDescent="0.3">
      <c r="A70" s="61" t="s">
        <v>58</v>
      </c>
      <c r="B70" s="62"/>
      <c r="C70" s="63">
        <f t="shared" ref="C70:I70" si="15">SUM(C71:C75)</f>
        <v>188500</v>
      </c>
      <c r="D70" s="63">
        <f t="shared" si="15"/>
        <v>188480</v>
      </c>
      <c r="E70" s="63">
        <f t="shared" si="15"/>
        <v>188480</v>
      </c>
      <c r="F70" s="63">
        <f t="shared" si="15"/>
        <v>191730</v>
      </c>
      <c r="G70" s="344">
        <f t="shared" si="15"/>
        <v>191830</v>
      </c>
      <c r="H70" s="344">
        <f t="shared" ref="H70" si="16">SUM(H71:H75)</f>
        <v>192980</v>
      </c>
      <c r="I70" s="450">
        <f t="shared" si="15"/>
        <v>108369</v>
      </c>
      <c r="J70" s="484">
        <f>I70/H70</f>
        <v>0.56155560161674789</v>
      </c>
    </row>
    <row r="71" spans="1:13" x14ac:dyDescent="0.25">
      <c r="A71" s="64" t="s">
        <v>59</v>
      </c>
      <c r="B71" s="65" t="s">
        <v>60</v>
      </c>
      <c r="C71" s="66">
        <f>80000+16500</f>
        <v>96500</v>
      </c>
      <c r="D71" s="373">
        <f>80000+16500+200</f>
        <v>96700</v>
      </c>
      <c r="E71" s="66">
        <f>80000+16500+200</f>
        <v>96700</v>
      </c>
      <c r="F71" s="373">
        <f>80000+16500+200+250</f>
        <v>96950</v>
      </c>
      <c r="G71" s="345">
        <f>80000+16500+200+250</f>
        <v>96950</v>
      </c>
      <c r="H71" s="449">
        <f>80000+16500+200+250+4100</f>
        <v>101050</v>
      </c>
      <c r="I71" s="451">
        <v>56477</v>
      </c>
      <c r="J71" s="484">
        <f t="shared" ref="J71:J125" si="17">I71/H71</f>
        <v>0.55890153389411179</v>
      </c>
    </row>
    <row r="72" spans="1:13" x14ac:dyDescent="0.25">
      <c r="A72" s="67" t="s">
        <v>61</v>
      </c>
      <c r="B72" s="42" t="s">
        <v>209</v>
      </c>
      <c r="C72" s="68">
        <f>7100+10600+32300</f>
        <v>50000</v>
      </c>
      <c r="D72" s="68">
        <f t="shared" ref="D72:E72" si="18">7100+10600+32300</f>
        <v>50000</v>
      </c>
      <c r="E72" s="68">
        <f t="shared" si="18"/>
        <v>50000</v>
      </c>
      <c r="F72" s="409">
        <f>7100+10600+32300+3000</f>
        <v>53000</v>
      </c>
      <c r="G72" s="441">
        <f>7100+10600+32300+3000</f>
        <v>53000</v>
      </c>
      <c r="H72" s="444">
        <f>7100+10600+32300+3000-1500</f>
        <v>51500</v>
      </c>
      <c r="I72" s="452">
        <v>29444</v>
      </c>
      <c r="J72" s="484">
        <f t="shared" si="17"/>
        <v>0.57172815533980581</v>
      </c>
    </row>
    <row r="73" spans="1:13" x14ac:dyDescent="0.25">
      <c r="A73" s="67" t="s">
        <v>62</v>
      </c>
      <c r="B73" s="42" t="s">
        <v>208</v>
      </c>
      <c r="C73" s="68">
        <v>2000</v>
      </c>
      <c r="D73" s="68">
        <v>2000</v>
      </c>
      <c r="E73" s="68">
        <v>2000</v>
      </c>
      <c r="F73" s="68">
        <v>2000</v>
      </c>
      <c r="G73" s="346">
        <v>2000</v>
      </c>
      <c r="H73" s="346">
        <v>2000</v>
      </c>
      <c r="I73" s="452">
        <v>1655</v>
      </c>
      <c r="J73" s="484">
        <f t="shared" si="17"/>
        <v>0.82750000000000001</v>
      </c>
    </row>
    <row r="74" spans="1:13" x14ac:dyDescent="0.25">
      <c r="A74" s="69" t="s">
        <v>63</v>
      </c>
      <c r="B74" s="42" t="s">
        <v>64</v>
      </c>
      <c r="C74" s="34">
        <f>3000+900+220+32380</f>
        <v>36500</v>
      </c>
      <c r="D74" s="374">
        <f>3000+900+220+32380-220</f>
        <v>36280</v>
      </c>
      <c r="E74" s="34">
        <f>3000+900+220+32380-220</f>
        <v>36280</v>
      </c>
      <c r="F74" s="34">
        <f>3000+900+220+32380-220</f>
        <v>36280</v>
      </c>
      <c r="G74" s="442">
        <f>3000+900+220+32380-220+100</f>
        <v>36380</v>
      </c>
      <c r="H74" s="535">
        <f>3000+900+220+32380-220+100</f>
        <v>36380</v>
      </c>
      <c r="I74" s="433">
        <v>20793</v>
      </c>
      <c r="J74" s="484">
        <f t="shared" si="17"/>
        <v>0.57155030236393622</v>
      </c>
    </row>
    <row r="75" spans="1:13" ht="15.75" thickBot="1" x14ac:dyDescent="0.3">
      <c r="A75" s="70" t="s">
        <v>65</v>
      </c>
      <c r="B75" s="3" t="s">
        <v>66</v>
      </c>
      <c r="C75" s="71">
        <v>3500</v>
      </c>
      <c r="D75" s="71">
        <v>3500</v>
      </c>
      <c r="E75" s="71">
        <v>3500</v>
      </c>
      <c r="F75" s="71">
        <v>3500</v>
      </c>
      <c r="G75" s="348">
        <v>3500</v>
      </c>
      <c r="H75" s="549">
        <f>3500-1450</f>
        <v>2050</v>
      </c>
      <c r="I75" s="453">
        <v>0</v>
      </c>
      <c r="J75" s="484">
        <f t="shared" si="17"/>
        <v>0</v>
      </c>
    </row>
    <row r="76" spans="1:13" ht="15.75" thickBot="1" x14ac:dyDescent="0.3">
      <c r="A76" s="72" t="s">
        <v>67</v>
      </c>
      <c r="B76" s="73"/>
      <c r="C76" s="63">
        <f t="shared" ref="C76:I76" si="19">SUM(C77)</f>
        <v>1500</v>
      </c>
      <c r="D76" s="63">
        <f t="shared" si="19"/>
        <v>1480</v>
      </c>
      <c r="E76" s="63">
        <f t="shared" si="19"/>
        <v>1480</v>
      </c>
      <c r="F76" s="63">
        <f t="shared" si="19"/>
        <v>1480</v>
      </c>
      <c r="G76" s="344">
        <f t="shared" si="19"/>
        <v>1480</v>
      </c>
      <c r="H76" s="344">
        <f t="shared" si="19"/>
        <v>1480</v>
      </c>
      <c r="I76" s="450">
        <f t="shared" si="19"/>
        <v>138</v>
      </c>
      <c r="J76" s="484">
        <f t="shared" si="17"/>
        <v>9.3243243243243248E-2</v>
      </c>
    </row>
    <row r="77" spans="1:13" ht="15.75" thickBot="1" x14ac:dyDescent="0.3">
      <c r="A77" s="74" t="s">
        <v>68</v>
      </c>
      <c r="B77" s="59" t="s">
        <v>69</v>
      </c>
      <c r="C77" s="75">
        <v>1500</v>
      </c>
      <c r="D77" s="375">
        <f>1500-20</f>
        <v>1480</v>
      </c>
      <c r="E77" s="75">
        <f>1500-20</f>
        <v>1480</v>
      </c>
      <c r="F77" s="75">
        <f>1500-20</f>
        <v>1480</v>
      </c>
      <c r="G77" s="349">
        <f>1500-20</f>
        <v>1480</v>
      </c>
      <c r="H77" s="349">
        <f>1500-20</f>
        <v>1480</v>
      </c>
      <c r="I77" s="454">
        <v>138</v>
      </c>
      <c r="J77" s="484">
        <f t="shared" si="17"/>
        <v>9.3243243243243248E-2</v>
      </c>
    </row>
    <row r="78" spans="1:13" ht="15.75" thickBot="1" x14ac:dyDescent="0.3">
      <c r="A78" s="72" t="s">
        <v>70</v>
      </c>
      <c r="B78" s="73"/>
      <c r="C78" s="63">
        <f t="shared" ref="C78:I78" si="20">SUM(C79:C80)</f>
        <v>10900</v>
      </c>
      <c r="D78" s="63">
        <f t="shared" si="20"/>
        <v>10900</v>
      </c>
      <c r="E78" s="63">
        <f t="shared" si="20"/>
        <v>10900</v>
      </c>
      <c r="F78" s="63">
        <f t="shared" si="20"/>
        <v>11600</v>
      </c>
      <c r="G78" s="344">
        <f t="shared" ref="G78:H78" si="21">SUM(G79:G80)</f>
        <v>11600</v>
      </c>
      <c r="H78" s="344">
        <f t="shared" si="21"/>
        <v>11600</v>
      </c>
      <c r="I78" s="450">
        <f t="shared" si="20"/>
        <v>6091</v>
      </c>
      <c r="J78" s="484">
        <f t="shared" si="17"/>
        <v>0.52508620689655172</v>
      </c>
    </row>
    <row r="79" spans="1:13" x14ac:dyDescent="0.25">
      <c r="A79" s="76" t="s">
        <v>71</v>
      </c>
      <c r="B79" s="77" t="s">
        <v>72</v>
      </c>
      <c r="C79" s="78">
        <v>10600</v>
      </c>
      <c r="D79" s="78">
        <v>10600</v>
      </c>
      <c r="E79" s="78">
        <v>10600</v>
      </c>
      <c r="F79" s="372">
        <f>10600+700</f>
        <v>11300</v>
      </c>
      <c r="G79" s="443">
        <f>10600+700</f>
        <v>11300</v>
      </c>
      <c r="H79" s="443">
        <f>10600+700</f>
        <v>11300</v>
      </c>
      <c r="I79" s="455">
        <v>6009</v>
      </c>
      <c r="J79" s="484">
        <f t="shared" si="17"/>
        <v>0.53176991150442476</v>
      </c>
    </row>
    <row r="80" spans="1:13" ht="15.75" thickBot="1" x14ac:dyDescent="0.3">
      <c r="A80" s="79" t="s">
        <v>73</v>
      </c>
      <c r="B80" s="80" t="s">
        <v>74</v>
      </c>
      <c r="C80" s="81">
        <v>300</v>
      </c>
      <c r="D80" s="81">
        <v>300</v>
      </c>
      <c r="E80" s="81">
        <v>300</v>
      </c>
      <c r="F80" s="81">
        <v>300</v>
      </c>
      <c r="G80" s="351">
        <v>300</v>
      </c>
      <c r="H80" s="351">
        <v>300</v>
      </c>
      <c r="I80" s="456">
        <v>82</v>
      </c>
      <c r="J80" s="484">
        <f t="shared" si="17"/>
        <v>0.27333333333333332</v>
      </c>
    </row>
    <row r="81" spans="1:10" ht="15.75" thickBot="1" x14ac:dyDescent="0.3">
      <c r="A81" s="61" t="s">
        <v>75</v>
      </c>
      <c r="B81" s="82"/>
      <c r="C81" s="63">
        <f t="shared" ref="C81:I81" si="22">SUM(C82:C85)</f>
        <v>57000</v>
      </c>
      <c r="D81" s="63">
        <f t="shared" si="22"/>
        <v>57000</v>
      </c>
      <c r="E81" s="63">
        <f t="shared" si="22"/>
        <v>57000</v>
      </c>
      <c r="F81" s="63">
        <f t="shared" si="22"/>
        <v>57000</v>
      </c>
      <c r="G81" s="344">
        <f t="shared" si="22"/>
        <v>66900</v>
      </c>
      <c r="H81" s="344">
        <f t="shared" ref="H81" si="23">SUM(H82:H85)</f>
        <v>64200</v>
      </c>
      <c r="I81" s="450">
        <f t="shared" si="22"/>
        <v>31721</v>
      </c>
      <c r="J81" s="484">
        <f t="shared" si="17"/>
        <v>0.49409657320872274</v>
      </c>
    </row>
    <row r="82" spans="1:10" x14ac:dyDescent="0.25">
      <c r="A82" s="83" t="s">
        <v>76</v>
      </c>
      <c r="B82" s="30" t="s">
        <v>77</v>
      </c>
      <c r="C82" s="31">
        <f>15900+1500+6000</f>
        <v>23400</v>
      </c>
      <c r="D82" s="31">
        <f t="shared" ref="D82:G82" si="24">15900+1500+6000</f>
        <v>23400</v>
      </c>
      <c r="E82" s="31">
        <f t="shared" si="24"/>
        <v>23400</v>
      </c>
      <c r="F82" s="31">
        <f t="shared" si="24"/>
        <v>23400</v>
      </c>
      <c r="G82" s="352">
        <f t="shared" si="24"/>
        <v>23400</v>
      </c>
      <c r="H82" s="448">
        <f>15900+1500+6000+300</f>
        <v>23700</v>
      </c>
      <c r="I82" s="432">
        <v>12094</v>
      </c>
      <c r="J82" s="484">
        <f t="shared" si="17"/>
        <v>0.51029535864978903</v>
      </c>
    </row>
    <row r="83" spans="1:10" x14ac:dyDescent="0.25">
      <c r="A83" s="69" t="s">
        <v>78</v>
      </c>
      <c r="B83" s="42" t="s">
        <v>79</v>
      </c>
      <c r="C83" s="68">
        <v>18500</v>
      </c>
      <c r="D83" s="68">
        <v>18500</v>
      </c>
      <c r="E83" s="68">
        <v>18500</v>
      </c>
      <c r="F83" s="68">
        <v>18500</v>
      </c>
      <c r="G83" s="444">
        <f>18500-100</f>
        <v>18400</v>
      </c>
      <c r="H83" s="441">
        <f>18500-100</f>
        <v>18400</v>
      </c>
      <c r="I83" s="452">
        <v>13612</v>
      </c>
      <c r="J83" s="484">
        <f t="shared" si="17"/>
        <v>0.73978260869565216</v>
      </c>
    </row>
    <row r="84" spans="1:10" x14ac:dyDescent="0.25">
      <c r="A84" s="69" t="s">
        <v>80</v>
      </c>
      <c r="B84" s="42" t="s">
        <v>81</v>
      </c>
      <c r="C84" s="34">
        <v>15000</v>
      </c>
      <c r="D84" s="34">
        <v>15000</v>
      </c>
      <c r="E84" s="34">
        <v>15000</v>
      </c>
      <c r="F84" s="34">
        <v>15000</v>
      </c>
      <c r="G84" s="442">
        <f>15000+10000</f>
        <v>25000</v>
      </c>
      <c r="H84" s="442">
        <f>15000+10000-3000</f>
        <v>22000</v>
      </c>
      <c r="I84" s="433">
        <v>6015</v>
      </c>
      <c r="J84" s="484">
        <f t="shared" si="17"/>
        <v>0.27340909090909093</v>
      </c>
    </row>
    <row r="85" spans="1:10" ht="15.75" thickBot="1" x14ac:dyDescent="0.3">
      <c r="A85" s="69" t="s">
        <v>82</v>
      </c>
      <c r="B85" s="42" t="s">
        <v>83</v>
      </c>
      <c r="C85" s="34">
        <v>100</v>
      </c>
      <c r="D85" s="34">
        <v>100</v>
      </c>
      <c r="E85" s="34">
        <v>100</v>
      </c>
      <c r="F85" s="34">
        <v>100</v>
      </c>
      <c r="G85" s="347">
        <v>100</v>
      </c>
      <c r="H85" s="535">
        <v>100</v>
      </c>
      <c r="I85" s="433">
        <v>0</v>
      </c>
      <c r="J85" s="484">
        <f t="shared" si="17"/>
        <v>0</v>
      </c>
    </row>
    <row r="86" spans="1:10" ht="15.75" thickBot="1" x14ac:dyDescent="0.3">
      <c r="A86" s="1006" t="s">
        <v>84</v>
      </c>
      <c r="B86" s="1007"/>
      <c r="C86" s="63">
        <f t="shared" ref="C86:I86" si="25">SUM(C87:C90)</f>
        <v>88750</v>
      </c>
      <c r="D86" s="63">
        <f t="shared" si="25"/>
        <v>88750</v>
      </c>
      <c r="E86" s="63">
        <f t="shared" si="25"/>
        <v>88750</v>
      </c>
      <c r="F86" s="63">
        <f t="shared" si="25"/>
        <v>90050</v>
      </c>
      <c r="G86" s="344">
        <f t="shared" si="25"/>
        <v>90950</v>
      </c>
      <c r="H86" s="536">
        <f t="shared" ref="H86" si="26">SUM(H87:H90)</f>
        <v>91150</v>
      </c>
      <c r="I86" s="450">
        <f t="shared" si="25"/>
        <v>54568</v>
      </c>
      <c r="J86" s="484">
        <f t="shared" si="17"/>
        <v>0.59866154690071316</v>
      </c>
    </row>
    <row r="87" spans="1:10" x14ac:dyDescent="0.25">
      <c r="A87" s="84" t="s">
        <v>85</v>
      </c>
      <c r="B87" s="85" t="s">
        <v>86</v>
      </c>
      <c r="C87" s="86">
        <f>25000+20000</f>
        <v>45000</v>
      </c>
      <c r="D87" s="86">
        <f t="shared" ref="D87:F87" si="27">25000+20000</f>
        <v>45000</v>
      </c>
      <c r="E87" s="86">
        <f t="shared" si="27"/>
        <v>45000</v>
      </c>
      <c r="F87" s="86">
        <f t="shared" si="27"/>
        <v>45000</v>
      </c>
      <c r="G87" s="445">
        <f>25000+20000+900</f>
        <v>45900</v>
      </c>
      <c r="H87" s="445">
        <f>25000+20000+900+300+2000</f>
        <v>48200</v>
      </c>
      <c r="I87" s="457">
        <v>27763</v>
      </c>
      <c r="J87" s="484">
        <f t="shared" si="17"/>
        <v>0.57599585062240666</v>
      </c>
    </row>
    <row r="88" spans="1:10" x14ac:dyDescent="0.25">
      <c r="A88" s="69" t="s">
        <v>87</v>
      </c>
      <c r="B88" s="42" t="s">
        <v>88</v>
      </c>
      <c r="C88" s="68">
        <v>36000</v>
      </c>
      <c r="D88" s="68">
        <v>36000</v>
      </c>
      <c r="E88" s="68">
        <v>36000</v>
      </c>
      <c r="F88" s="68">
        <v>36000</v>
      </c>
      <c r="G88" s="346">
        <v>36000</v>
      </c>
      <c r="H88" s="444">
        <f>36000-2000</f>
        <v>34000</v>
      </c>
      <c r="I88" s="452">
        <v>23574</v>
      </c>
      <c r="J88" s="484">
        <f t="shared" si="17"/>
        <v>0.69335294117647062</v>
      </c>
    </row>
    <row r="89" spans="1:10" x14ac:dyDescent="0.25">
      <c r="A89" s="74" t="s">
        <v>89</v>
      </c>
      <c r="B89" s="87" t="s">
        <v>90</v>
      </c>
      <c r="C89" s="88">
        <v>950</v>
      </c>
      <c r="D89" s="88">
        <v>950</v>
      </c>
      <c r="E89" s="88">
        <v>950</v>
      </c>
      <c r="F89" s="88">
        <v>950</v>
      </c>
      <c r="G89" s="354">
        <v>950</v>
      </c>
      <c r="H89" s="548">
        <f>950-100</f>
        <v>850</v>
      </c>
      <c r="I89" s="458">
        <v>746</v>
      </c>
      <c r="J89" s="484">
        <f t="shared" si="17"/>
        <v>0.87764705882352945</v>
      </c>
    </row>
    <row r="90" spans="1:10" ht="15.75" thickBot="1" x14ac:dyDescent="0.3">
      <c r="A90" s="89" t="s">
        <v>91</v>
      </c>
      <c r="B90" s="90" t="s">
        <v>204</v>
      </c>
      <c r="C90" s="91">
        <f>5700+1000+100</f>
        <v>6800</v>
      </c>
      <c r="D90" s="91">
        <f t="shared" ref="D90:E90" si="28">5700+1000+100</f>
        <v>6800</v>
      </c>
      <c r="E90" s="91">
        <f t="shared" si="28"/>
        <v>6800</v>
      </c>
      <c r="F90" s="384">
        <f>5700+1000+100+300+1000</f>
        <v>8100</v>
      </c>
      <c r="G90" s="446">
        <f>5700+1000+100+300+1000</f>
        <v>8100</v>
      </c>
      <c r="H90" s="446">
        <f>5700+1000+100+300+1000</f>
        <v>8100</v>
      </c>
      <c r="I90" s="459">
        <v>2485</v>
      </c>
      <c r="J90" s="484">
        <f t="shared" si="17"/>
        <v>0.30679012345679013</v>
      </c>
    </row>
    <row r="91" spans="1:10" ht="15.75" thickBot="1" x14ac:dyDescent="0.3">
      <c r="A91" s="61" t="s">
        <v>92</v>
      </c>
      <c r="B91" s="82"/>
      <c r="C91" s="63">
        <f t="shared" ref="C91:I91" si="29">SUM(C92:C94)</f>
        <v>144000</v>
      </c>
      <c r="D91" s="63">
        <f t="shared" si="29"/>
        <v>145232</v>
      </c>
      <c r="E91" s="63">
        <f t="shared" si="29"/>
        <v>145232</v>
      </c>
      <c r="F91" s="63">
        <f t="shared" si="29"/>
        <v>149932</v>
      </c>
      <c r="G91" s="344">
        <f t="shared" ref="G91:H91" si="30">SUM(G92:G94)</f>
        <v>150732</v>
      </c>
      <c r="H91" s="536">
        <f t="shared" si="30"/>
        <v>154732</v>
      </c>
      <c r="I91" s="450">
        <f t="shared" si="29"/>
        <v>74985</v>
      </c>
      <c r="J91" s="484">
        <f t="shared" si="17"/>
        <v>0.48461210350800094</v>
      </c>
    </row>
    <row r="92" spans="1:10" x14ac:dyDescent="0.25">
      <c r="A92" s="83" t="s">
        <v>93</v>
      </c>
      <c r="B92" s="65" t="s">
        <v>94</v>
      </c>
      <c r="C92" s="92">
        <v>108000</v>
      </c>
      <c r="D92" s="371">
        <f>108000+1232</f>
        <v>109232</v>
      </c>
      <c r="E92" s="92">
        <f>108000+1232</f>
        <v>109232</v>
      </c>
      <c r="F92" s="371">
        <f>108000+1232+4700</f>
        <v>113932</v>
      </c>
      <c r="G92" s="447">
        <f>108000+1232+4700</f>
        <v>113932</v>
      </c>
      <c r="H92" s="449">
        <f>108000+1232+4700+4000</f>
        <v>117932</v>
      </c>
      <c r="I92" s="451">
        <v>54445</v>
      </c>
      <c r="J92" s="484">
        <f t="shared" si="17"/>
        <v>0.46166434894685071</v>
      </c>
    </row>
    <row r="93" spans="1:10" x14ac:dyDescent="0.25">
      <c r="A93" s="93" t="s">
        <v>95</v>
      </c>
      <c r="B93" s="42" t="s">
        <v>96</v>
      </c>
      <c r="C93" s="94">
        <v>19000</v>
      </c>
      <c r="D93" s="94">
        <v>19000</v>
      </c>
      <c r="E93" s="94">
        <v>19000</v>
      </c>
      <c r="F93" s="94">
        <v>19000</v>
      </c>
      <c r="G93" s="444">
        <f>19000+800</f>
        <v>19800</v>
      </c>
      <c r="H93" s="441">
        <f>19000+800</f>
        <v>19800</v>
      </c>
      <c r="I93" s="452">
        <v>13766</v>
      </c>
      <c r="J93" s="484">
        <f t="shared" si="17"/>
        <v>0.69525252525252523</v>
      </c>
    </row>
    <row r="94" spans="1:10" ht="15.75" thickBot="1" x14ac:dyDescent="0.3">
      <c r="A94" s="95" t="s">
        <v>97</v>
      </c>
      <c r="B94" s="90" t="s">
        <v>98</v>
      </c>
      <c r="C94" s="209">
        <f>2000+14000+400+600</f>
        <v>17000</v>
      </c>
      <c r="D94" s="209">
        <f t="shared" ref="D94:H94" si="31">2000+14000+400+600</f>
        <v>17000</v>
      </c>
      <c r="E94" s="209">
        <f t="shared" si="31"/>
        <v>17000</v>
      </c>
      <c r="F94" s="209">
        <f t="shared" si="31"/>
        <v>17000</v>
      </c>
      <c r="G94" s="356">
        <f t="shared" si="31"/>
        <v>17000</v>
      </c>
      <c r="H94" s="537">
        <f t="shared" si="31"/>
        <v>17000</v>
      </c>
      <c r="I94" s="460">
        <v>6774</v>
      </c>
      <c r="J94" s="484">
        <f t="shared" si="17"/>
        <v>0.39847058823529413</v>
      </c>
    </row>
    <row r="95" spans="1:10" ht="15.75" thickBot="1" x14ac:dyDescent="0.3">
      <c r="A95" s="97" t="s">
        <v>99</v>
      </c>
      <c r="B95" s="98"/>
      <c r="C95" s="99">
        <f t="shared" ref="C95:I95" si="32">SUM(C96:C98)</f>
        <v>450</v>
      </c>
      <c r="D95" s="99">
        <f t="shared" si="32"/>
        <v>530</v>
      </c>
      <c r="E95" s="99">
        <f t="shared" si="32"/>
        <v>530</v>
      </c>
      <c r="F95" s="99">
        <f t="shared" si="32"/>
        <v>530</v>
      </c>
      <c r="G95" s="357">
        <f t="shared" si="32"/>
        <v>620</v>
      </c>
      <c r="H95" s="538">
        <f t="shared" ref="H95" si="33">SUM(H96:H98)</f>
        <v>820</v>
      </c>
      <c r="I95" s="461">
        <f t="shared" si="32"/>
        <v>420</v>
      </c>
      <c r="J95" s="484">
        <f t="shared" si="17"/>
        <v>0.51219512195121952</v>
      </c>
    </row>
    <row r="96" spans="1:10" x14ac:dyDescent="0.25">
      <c r="A96" s="76" t="s">
        <v>100</v>
      </c>
      <c r="B96" s="85" t="s">
        <v>101</v>
      </c>
      <c r="C96" s="100">
        <v>50</v>
      </c>
      <c r="D96" s="100">
        <v>50</v>
      </c>
      <c r="E96" s="100">
        <v>50</v>
      </c>
      <c r="F96" s="100">
        <v>50</v>
      </c>
      <c r="G96" s="353">
        <v>50</v>
      </c>
      <c r="H96" s="539">
        <v>50</v>
      </c>
      <c r="I96" s="457">
        <v>50</v>
      </c>
      <c r="J96" s="484">
        <f t="shared" si="17"/>
        <v>1</v>
      </c>
    </row>
    <row r="97" spans="1:10" x14ac:dyDescent="0.25">
      <c r="A97" s="93" t="s">
        <v>102</v>
      </c>
      <c r="B97" s="42" t="s">
        <v>103</v>
      </c>
      <c r="C97" s="94">
        <v>50</v>
      </c>
      <c r="D97" s="382">
        <f>50+80</f>
        <v>130</v>
      </c>
      <c r="E97" s="94">
        <f>50+80</f>
        <v>130</v>
      </c>
      <c r="F97" s="94">
        <f>50+80</f>
        <v>130</v>
      </c>
      <c r="G97" s="346">
        <f>50+80</f>
        <v>130</v>
      </c>
      <c r="H97" s="441">
        <f>50+80</f>
        <v>130</v>
      </c>
      <c r="I97" s="452">
        <v>81</v>
      </c>
      <c r="J97" s="484">
        <f t="shared" si="17"/>
        <v>0.62307692307692308</v>
      </c>
    </row>
    <row r="98" spans="1:10" ht="15.75" thickBot="1" x14ac:dyDescent="0.3">
      <c r="A98" s="95" t="s">
        <v>104</v>
      </c>
      <c r="B98" s="90" t="s">
        <v>105</v>
      </c>
      <c r="C98" s="96">
        <v>350</v>
      </c>
      <c r="D98" s="96">
        <v>350</v>
      </c>
      <c r="E98" s="96">
        <v>350</v>
      </c>
      <c r="F98" s="96">
        <v>350</v>
      </c>
      <c r="G98" s="476">
        <f>350+90</f>
        <v>440</v>
      </c>
      <c r="H98" s="476">
        <f>350+90+200</f>
        <v>640</v>
      </c>
      <c r="I98" s="459">
        <v>289</v>
      </c>
      <c r="J98" s="484">
        <f t="shared" si="17"/>
        <v>0.45156249999999998</v>
      </c>
    </row>
    <row r="99" spans="1:10" ht="15.75" thickBot="1" x14ac:dyDescent="0.3">
      <c r="A99" s="101" t="s">
        <v>106</v>
      </c>
      <c r="B99" s="102"/>
      <c r="C99" s="103">
        <f t="shared" ref="C99:I99" si="34">SUM(C100:C104)</f>
        <v>108100</v>
      </c>
      <c r="D99" s="103">
        <f t="shared" si="34"/>
        <v>108100</v>
      </c>
      <c r="E99" s="103">
        <f t="shared" si="34"/>
        <v>113100</v>
      </c>
      <c r="F99" s="103">
        <f t="shared" si="34"/>
        <v>121150</v>
      </c>
      <c r="G99" s="358">
        <f t="shared" si="34"/>
        <v>126750</v>
      </c>
      <c r="H99" s="540">
        <f t="shared" ref="H99" si="35">SUM(H100:H104)</f>
        <v>122750</v>
      </c>
      <c r="I99" s="462">
        <f t="shared" si="34"/>
        <v>91242</v>
      </c>
      <c r="J99" s="484">
        <f t="shared" si="17"/>
        <v>0.74331568228105904</v>
      </c>
    </row>
    <row r="100" spans="1:10" x14ac:dyDescent="0.25">
      <c r="A100" s="84" t="s">
        <v>107</v>
      </c>
      <c r="B100" s="85" t="s">
        <v>108</v>
      </c>
      <c r="C100" s="86">
        <f>9300+7300</f>
        <v>16600</v>
      </c>
      <c r="D100" s="86">
        <f t="shared" ref="D100:H100" si="36">9300+7300</f>
        <v>16600</v>
      </c>
      <c r="E100" s="86">
        <f t="shared" si="36"/>
        <v>16600</v>
      </c>
      <c r="F100" s="86">
        <f t="shared" si="36"/>
        <v>16600</v>
      </c>
      <c r="G100" s="353">
        <f t="shared" si="36"/>
        <v>16600</v>
      </c>
      <c r="H100" s="539">
        <f t="shared" si="36"/>
        <v>16600</v>
      </c>
      <c r="I100" s="457">
        <v>10982</v>
      </c>
      <c r="J100" s="484">
        <f t="shared" si="17"/>
        <v>0.66156626506024097</v>
      </c>
    </row>
    <row r="101" spans="1:10" x14ac:dyDescent="0.25">
      <c r="A101" s="104" t="s">
        <v>109</v>
      </c>
      <c r="B101" s="105" t="s">
        <v>351</v>
      </c>
      <c r="C101" s="31">
        <f>12600+1800+2000+48600</f>
        <v>65000</v>
      </c>
      <c r="D101" s="31">
        <f t="shared" ref="D101" si="37">12600+1800+2000+48600</f>
        <v>65000</v>
      </c>
      <c r="E101" s="383">
        <f>12600+1800+2000+48600+5820</f>
        <v>70820</v>
      </c>
      <c r="F101" s="383">
        <f>12600+1800+2000+48600+5820+2100+5950</f>
        <v>78870</v>
      </c>
      <c r="G101" s="448">
        <f>12600+1800+2000+48600+5820+2100+5950+5750-3950+600+3200</f>
        <v>84470</v>
      </c>
      <c r="H101" s="448">
        <f>12600+1800+2000+48600+5820+2100+5950+5750-3950+600+3200-2000</f>
        <v>82470</v>
      </c>
      <c r="I101" s="432">
        <v>67955</v>
      </c>
      <c r="J101" s="484">
        <f t="shared" si="17"/>
        <v>0.82399660482599735</v>
      </c>
    </row>
    <row r="102" spans="1:10" x14ac:dyDescent="0.25">
      <c r="A102" s="104" t="s">
        <v>111</v>
      </c>
      <c r="B102" s="65" t="s">
        <v>112</v>
      </c>
      <c r="C102" s="66">
        <f>2800+700</f>
        <v>3500</v>
      </c>
      <c r="D102" s="66">
        <f t="shared" ref="D102:H102" si="38">2800+700</f>
        <v>3500</v>
      </c>
      <c r="E102" s="66">
        <f t="shared" si="38"/>
        <v>3500</v>
      </c>
      <c r="F102" s="66">
        <f t="shared" si="38"/>
        <v>3500</v>
      </c>
      <c r="G102" s="345">
        <f t="shared" si="38"/>
        <v>3500</v>
      </c>
      <c r="H102" s="447">
        <f t="shared" si="38"/>
        <v>3500</v>
      </c>
      <c r="I102" s="451">
        <v>2860</v>
      </c>
      <c r="J102" s="484">
        <f t="shared" si="17"/>
        <v>0.81714285714285717</v>
      </c>
    </row>
    <row r="103" spans="1:10" x14ac:dyDescent="0.25">
      <c r="A103" s="104" t="s">
        <v>113</v>
      </c>
      <c r="B103" s="65" t="s">
        <v>114</v>
      </c>
      <c r="C103" s="66">
        <f>7400+3000+2600</f>
        <v>13000</v>
      </c>
      <c r="D103" s="66">
        <f t="shared" ref="D103:G103" si="39">7400+3000+2600</f>
        <v>13000</v>
      </c>
      <c r="E103" s="66">
        <f t="shared" si="39"/>
        <v>13000</v>
      </c>
      <c r="F103" s="66">
        <f t="shared" si="39"/>
        <v>13000</v>
      </c>
      <c r="G103" s="345">
        <f t="shared" si="39"/>
        <v>13000</v>
      </c>
      <c r="H103" s="449">
        <f>7400+3000+2600-2000</f>
        <v>11000</v>
      </c>
      <c r="I103" s="451">
        <v>4788</v>
      </c>
      <c r="J103" s="484">
        <f t="shared" si="17"/>
        <v>0.43527272727272726</v>
      </c>
    </row>
    <row r="104" spans="1:10" ht="15.75" thickBot="1" x14ac:dyDescent="0.3">
      <c r="A104" s="89" t="s">
        <v>115</v>
      </c>
      <c r="B104" s="90" t="s">
        <v>203</v>
      </c>
      <c r="C104" s="91">
        <v>10000</v>
      </c>
      <c r="D104" s="91">
        <v>10000</v>
      </c>
      <c r="E104" s="384">
        <f>10000-820</f>
        <v>9180</v>
      </c>
      <c r="F104" s="91">
        <f>10000-820</f>
        <v>9180</v>
      </c>
      <c r="G104" s="446">
        <f>10000-820</f>
        <v>9180</v>
      </c>
      <c r="H104" s="446">
        <f>10000-820</f>
        <v>9180</v>
      </c>
      <c r="I104" s="459">
        <v>4657</v>
      </c>
      <c r="J104" s="484">
        <f t="shared" si="17"/>
        <v>0.50729847494553382</v>
      </c>
    </row>
    <row r="105" spans="1:10" ht="15.75" thickBot="1" x14ac:dyDescent="0.3">
      <c r="A105" s="72" t="s">
        <v>116</v>
      </c>
      <c r="B105" s="73"/>
      <c r="C105" s="63">
        <f t="shared" ref="C105:D105" si="40">SUM(C106:C112)</f>
        <v>384700</v>
      </c>
      <c r="D105" s="63">
        <f t="shared" si="40"/>
        <v>385624</v>
      </c>
      <c r="E105" s="63">
        <f t="shared" ref="E105:I105" si="41">SUM(E106:E112)</f>
        <v>385624</v>
      </c>
      <c r="F105" s="63">
        <f t="shared" si="41"/>
        <v>385624</v>
      </c>
      <c r="G105" s="344">
        <f t="shared" si="41"/>
        <v>386124</v>
      </c>
      <c r="H105" s="536">
        <f t="shared" ref="H105" si="42">SUM(H106:H112)</f>
        <v>328024</v>
      </c>
      <c r="I105" s="450">
        <f t="shared" si="41"/>
        <v>248549</v>
      </c>
      <c r="J105" s="484">
        <f t="shared" si="17"/>
        <v>0.75771589883667045</v>
      </c>
    </row>
    <row r="106" spans="1:10" x14ac:dyDescent="0.25">
      <c r="A106" s="106" t="s">
        <v>117</v>
      </c>
      <c r="B106" s="107" t="s">
        <v>118</v>
      </c>
      <c r="C106" s="78">
        <v>118000</v>
      </c>
      <c r="D106" s="372">
        <f>118000+404</f>
        <v>118404</v>
      </c>
      <c r="E106" s="78">
        <f>118000+404</f>
        <v>118404</v>
      </c>
      <c r="F106" s="78">
        <f>118000+404</f>
        <v>118404</v>
      </c>
      <c r="G106" s="350">
        <f>118000+404</f>
        <v>118404</v>
      </c>
      <c r="H106" s="546">
        <f>118000+404-3600</f>
        <v>114804</v>
      </c>
      <c r="I106" s="455">
        <v>69587</v>
      </c>
      <c r="J106" s="484">
        <f t="shared" si="17"/>
        <v>0.60613741681474509</v>
      </c>
    </row>
    <row r="107" spans="1:10" x14ac:dyDescent="0.25">
      <c r="A107" s="108" t="s">
        <v>119</v>
      </c>
      <c r="B107" s="33" t="s">
        <v>187</v>
      </c>
      <c r="C107" s="34">
        <f>177000+2600</f>
        <v>179600</v>
      </c>
      <c r="D107" s="374">
        <f>177000+2600+520</f>
        <v>180120</v>
      </c>
      <c r="E107" s="34">
        <f>177000+2600+520</f>
        <v>180120</v>
      </c>
      <c r="F107" s="34">
        <f>177000+2600+520</f>
        <v>180120</v>
      </c>
      <c r="G107" s="442">
        <f>177000+2600+520+500</f>
        <v>180620</v>
      </c>
      <c r="H107" s="442">
        <f>177000+2600+520+500-59000+400</f>
        <v>122020</v>
      </c>
      <c r="I107" s="433">
        <v>118396</v>
      </c>
      <c r="J107" s="484">
        <f t="shared" si="17"/>
        <v>0.97029995082773313</v>
      </c>
    </row>
    <row r="108" spans="1:10" x14ac:dyDescent="0.25">
      <c r="A108" s="108" t="s">
        <v>120</v>
      </c>
      <c r="B108" s="33" t="s">
        <v>121</v>
      </c>
      <c r="C108" s="34">
        <v>11800</v>
      </c>
      <c r="D108" s="34">
        <v>11800</v>
      </c>
      <c r="E108" s="34">
        <v>11800</v>
      </c>
      <c r="F108" s="34">
        <v>11800</v>
      </c>
      <c r="G108" s="347">
        <v>11800</v>
      </c>
      <c r="H108" s="442">
        <f>11800+100+900</f>
        <v>12800</v>
      </c>
      <c r="I108" s="433">
        <v>7631</v>
      </c>
      <c r="J108" s="484">
        <f t="shared" si="17"/>
        <v>0.59617187500000002</v>
      </c>
    </row>
    <row r="109" spans="1:10" x14ac:dyDescent="0.25">
      <c r="A109" s="108" t="s">
        <v>122</v>
      </c>
      <c r="B109" s="33" t="s">
        <v>123</v>
      </c>
      <c r="C109" s="34">
        <v>17200</v>
      </c>
      <c r="D109" s="34">
        <v>17200</v>
      </c>
      <c r="E109" s="34">
        <v>17200</v>
      </c>
      <c r="F109" s="34">
        <v>17200</v>
      </c>
      <c r="G109" s="347">
        <v>17200</v>
      </c>
      <c r="H109" s="442">
        <f>17200+200+1200</f>
        <v>18600</v>
      </c>
      <c r="I109" s="433">
        <v>11451</v>
      </c>
      <c r="J109" s="484">
        <f t="shared" si="17"/>
        <v>0.61564516129032254</v>
      </c>
    </row>
    <row r="110" spans="1:10" x14ac:dyDescent="0.25">
      <c r="A110" s="108" t="s">
        <v>124</v>
      </c>
      <c r="B110" s="33" t="s">
        <v>125</v>
      </c>
      <c r="C110" s="34">
        <v>17200</v>
      </c>
      <c r="D110" s="34">
        <v>17200</v>
      </c>
      <c r="E110" s="34">
        <v>17200</v>
      </c>
      <c r="F110" s="34">
        <v>17200</v>
      </c>
      <c r="G110" s="347">
        <v>17200</v>
      </c>
      <c r="H110" s="442">
        <f>17200+200+1200</f>
        <v>18600</v>
      </c>
      <c r="I110" s="433">
        <v>11451</v>
      </c>
      <c r="J110" s="484">
        <f t="shared" si="17"/>
        <v>0.61564516129032254</v>
      </c>
    </row>
    <row r="111" spans="1:10" x14ac:dyDescent="0.25">
      <c r="A111" s="109" t="s">
        <v>126</v>
      </c>
      <c r="B111" s="33" t="s">
        <v>127</v>
      </c>
      <c r="C111" s="110">
        <f>11800+4400+21800+300</f>
        <v>38300</v>
      </c>
      <c r="D111" s="110">
        <f t="shared" ref="D111:G111" si="43">11800+4400+21800+300</f>
        <v>38300</v>
      </c>
      <c r="E111" s="110">
        <f t="shared" si="43"/>
        <v>38300</v>
      </c>
      <c r="F111" s="110">
        <f t="shared" si="43"/>
        <v>38300</v>
      </c>
      <c r="G111" s="359">
        <f t="shared" si="43"/>
        <v>38300</v>
      </c>
      <c r="H111" s="541">
        <f>11800+4400+21800+300+100-500+700</f>
        <v>38600</v>
      </c>
      <c r="I111" s="463">
        <v>27439</v>
      </c>
      <c r="J111" s="484">
        <f t="shared" si="17"/>
        <v>0.71085492227979274</v>
      </c>
    </row>
    <row r="112" spans="1:10" ht="15.75" thickBot="1" x14ac:dyDescent="0.3">
      <c r="A112" s="108" t="s">
        <v>128</v>
      </c>
      <c r="B112" s="33" t="s">
        <v>129</v>
      </c>
      <c r="C112" s="110">
        <v>2600</v>
      </c>
      <c r="D112" s="110">
        <v>2600</v>
      </c>
      <c r="E112" s="110">
        <v>2600</v>
      </c>
      <c r="F112" s="110">
        <v>2600</v>
      </c>
      <c r="G112" s="359">
        <v>2600</v>
      </c>
      <c r="H112" s="359">
        <v>2600</v>
      </c>
      <c r="I112" s="463">
        <v>2594</v>
      </c>
      <c r="J112" s="484">
        <f t="shared" si="17"/>
        <v>0.99769230769230766</v>
      </c>
    </row>
    <row r="113" spans="1:11" ht="15.75" thickBot="1" x14ac:dyDescent="0.3">
      <c r="A113" s="61" t="s">
        <v>130</v>
      </c>
      <c r="B113" s="62"/>
      <c r="C113" s="63">
        <f t="shared" ref="C113" si="44">SUM(C114:C118)</f>
        <v>196800</v>
      </c>
      <c r="D113" s="63">
        <f t="shared" ref="D113:I113" si="45">SUM(D114:D118)</f>
        <v>196800</v>
      </c>
      <c r="E113" s="63">
        <f t="shared" si="45"/>
        <v>196800</v>
      </c>
      <c r="F113" s="63">
        <f t="shared" si="45"/>
        <v>196800</v>
      </c>
      <c r="G113" s="344">
        <f t="shared" si="45"/>
        <v>197110</v>
      </c>
      <c r="H113" s="344">
        <f t="shared" ref="H113" si="46">SUM(H114:H118)</f>
        <v>216110</v>
      </c>
      <c r="I113" s="450">
        <f t="shared" si="45"/>
        <v>96238</v>
      </c>
      <c r="J113" s="484">
        <f t="shared" si="17"/>
        <v>0.44531951321086483</v>
      </c>
    </row>
    <row r="114" spans="1:11" x14ac:dyDescent="0.25">
      <c r="A114" s="104" t="s">
        <v>131</v>
      </c>
      <c r="B114" s="65" t="s">
        <v>132</v>
      </c>
      <c r="C114" s="66">
        <f>100000+15600</f>
        <v>115600</v>
      </c>
      <c r="D114" s="66">
        <f t="shared" ref="D114:F114" si="47">100000+15600</f>
        <v>115600</v>
      </c>
      <c r="E114" s="66">
        <f t="shared" si="47"/>
        <v>115600</v>
      </c>
      <c r="F114" s="66">
        <f t="shared" si="47"/>
        <v>115600</v>
      </c>
      <c r="G114" s="449">
        <f>100000+15600+350-90</f>
        <v>115860</v>
      </c>
      <c r="H114" s="449">
        <f>100000+15600+350-90+7000</f>
        <v>122860</v>
      </c>
      <c r="I114" s="451">
        <v>79129</v>
      </c>
      <c r="J114" s="484">
        <f t="shared" si="17"/>
        <v>0.64405827771447177</v>
      </c>
    </row>
    <row r="115" spans="1:11" x14ac:dyDescent="0.25">
      <c r="A115" s="104" t="s">
        <v>133</v>
      </c>
      <c r="B115" s="65" t="s">
        <v>201</v>
      </c>
      <c r="C115" s="66">
        <f>7200+3000</f>
        <v>10200</v>
      </c>
      <c r="D115" s="66">
        <f t="shared" ref="D115:H115" si="48">7200+3000</f>
        <v>10200</v>
      </c>
      <c r="E115" s="66">
        <f t="shared" si="48"/>
        <v>10200</v>
      </c>
      <c r="F115" s="66">
        <f t="shared" si="48"/>
        <v>10200</v>
      </c>
      <c r="G115" s="345">
        <f t="shared" si="48"/>
        <v>10200</v>
      </c>
      <c r="H115" s="345">
        <f t="shared" si="48"/>
        <v>10200</v>
      </c>
      <c r="I115" s="451">
        <v>4136</v>
      </c>
      <c r="J115" s="484">
        <f t="shared" si="17"/>
        <v>0.4054901960784314</v>
      </c>
    </row>
    <row r="116" spans="1:11" x14ac:dyDescent="0.25">
      <c r="A116" s="69" t="s">
        <v>134</v>
      </c>
      <c r="B116" s="42" t="s">
        <v>202</v>
      </c>
      <c r="C116" s="68">
        <f>12000+49000+9000</f>
        <v>70000</v>
      </c>
      <c r="D116" s="68">
        <f t="shared" ref="D116:F116" si="49">12000+49000+9000</f>
        <v>70000</v>
      </c>
      <c r="E116" s="68">
        <f t="shared" si="49"/>
        <v>70000</v>
      </c>
      <c r="F116" s="68">
        <f t="shared" si="49"/>
        <v>70000</v>
      </c>
      <c r="G116" s="444">
        <f>12000+49000+9000+50</f>
        <v>70050</v>
      </c>
      <c r="H116" s="444">
        <f>12000+49000+9000+50+12000</f>
        <v>82050</v>
      </c>
      <c r="I116" s="452">
        <v>12973</v>
      </c>
      <c r="J116" s="484">
        <f t="shared" si="17"/>
        <v>0.15811090798293723</v>
      </c>
    </row>
    <row r="117" spans="1:11" x14ac:dyDescent="0.25">
      <c r="A117" s="69" t="s">
        <v>135</v>
      </c>
      <c r="B117" s="42" t="s">
        <v>136</v>
      </c>
      <c r="C117" s="68">
        <v>500</v>
      </c>
      <c r="D117" s="68">
        <v>500</v>
      </c>
      <c r="E117" s="68">
        <v>500</v>
      </c>
      <c r="F117" s="68">
        <v>500</v>
      </c>
      <c r="G117" s="346">
        <v>500</v>
      </c>
      <c r="H117" s="346">
        <v>500</v>
      </c>
      <c r="I117" s="452">
        <v>0</v>
      </c>
      <c r="J117" s="484">
        <f t="shared" si="17"/>
        <v>0</v>
      </c>
    </row>
    <row r="118" spans="1:11" ht="15.75" thickBot="1" x14ac:dyDescent="0.3">
      <c r="A118" s="89" t="s">
        <v>137</v>
      </c>
      <c r="B118" s="90" t="s">
        <v>138</v>
      </c>
      <c r="C118" s="91">
        <v>500</v>
      </c>
      <c r="D118" s="91">
        <v>500</v>
      </c>
      <c r="E118" s="91">
        <v>500</v>
      </c>
      <c r="F118" s="91">
        <v>500</v>
      </c>
      <c r="G118" s="355">
        <v>500</v>
      </c>
      <c r="H118" s="355">
        <v>500</v>
      </c>
      <c r="I118" s="459">
        <v>0</v>
      </c>
      <c r="J118" s="484">
        <f t="shared" si="17"/>
        <v>0</v>
      </c>
    </row>
    <row r="119" spans="1:11" ht="16.5" thickBot="1" x14ac:dyDescent="0.3">
      <c r="A119" s="111" t="s">
        <v>139</v>
      </c>
      <c r="B119" s="98"/>
      <c r="C119" s="112">
        <f t="shared" ref="C119:I119" si="50">SUM(C70+C76+C78+C81+C86+C91+C95+C99+C105+C113)</f>
        <v>1180700</v>
      </c>
      <c r="D119" s="112">
        <f t="shared" si="50"/>
        <v>1182896</v>
      </c>
      <c r="E119" s="112">
        <f t="shared" si="50"/>
        <v>1187896</v>
      </c>
      <c r="F119" s="112">
        <f t="shared" si="50"/>
        <v>1205896</v>
      </c>
      <c r="G119" s="360">
        <f t="shared" si="50"/>
        <v>1224096</v>
      </c>
      <c r="H119" s="360">
        <f t="shared" ref="H119" si="51">SUM(H70+H76+H78+H81+H86+H91+H95+H99+H105+H113)</f>
        <v>1183846</v>
      </c>
      <c r="I119" s="464">
        <f t="shared" si="50"/>
        <v>712321</v>
      </c>
      <c r="J119" s="484">
        <f t="shared" si="17"/>
        <v>0.60170072796630647</v>
      </c>
      <c r="K119" s="171">
        <f>H119-G119</f>
        <v>-40250</v>
      </c>
    </row>
    <row r="120" spans="1:11" ht="16.5" customHeight="1" x14ac:dyDescent="0.25">
      <c r="A120" s="513" t="s">
        <v>140</v>
      </c>
      <c r="B120" s="514" t="s">
        <v>141</v>
      </c>
      <c r="C120" s="515">
        <f>C60+C62</f>
        <v>409440</v>
      </c>
      <c r="D120" s="515">
        <f t="shared" ref="D120:I120" si="52">D60+D62</f>
        <v>431827</v>
      </c>
      <c r="E120" s="515">
        <f t="shared" si="52"/>
        <v>431827</v>
      </c>
      <c r="F120" s="515">
        <f t="shared" si="52"/>
        <v>431827</v>
      </c>
      <c r="G120" s="515">
        <f t="shared" si="52"/>
        <v>434657</v>
      </c>
      <c r="H120" s="543">
        <f t="shared" si="52"/>
        <v>441057</v>
      </c>
      <c r="I120" s="515">
        <f t="shared" si="52"/>
        <v>329671</v>
      </c>
      <c r="J120" s="484">
        <f t="shared" si="17"/>
        <v>0.74745667793505144</v>
      </c>
    </row>
    <row r="121" spans="1:11" ht="18.75" customHeight="1" thickBot="1" x14ac:dyDescent="0.3">
      <c r="A121" s="516" t="s">
        <v>142</v>
      </c>
      <c r="B121" s="517" t="s">
        <v>143</v>
      </c>
      <c r="C121" s="518">
        <v>19000</v>
      </c>
      <c r="D121" s="518">
        <v>19000</v>
      </c>
      <c r="E121" s="518">
        <v>19000</v>
      </c>
      <c r="F121" s="518">
        <v>19000</v>
      </c>
      <c r="G121" s="519">
        <v>19000</v>
      </c>
      <c r="H121" s="519">
        <v>19000</v>
      </c>
      <c r="I121" s="520">
        <f>4750*3</f>
        <v>14250</v>
      </c>
      <c r="J121" s="484">
        <f t="shared" si="17"/>
        <v>0.75</v>
      </c>
    </row>
    <row r="122" spans="1:11" ht="18.75" customHeight="1" thickBot="1" x14ac:dyDescent="0.3">
      <c r="A122" s="510"/>
      <c r="B122" s="511" t="s">
        <v>394</v>
      </c>
      <c r="C122" s="512">
        <f>SUM(C120:C121)</f>
        <v>428440</v>
      </c>
      <c r="D122" s="512">
        <f t="shared" ref="D122:I122" si="53">SUM(D120:D121)</f>
        <v>450827</v>
      </c>
      <c r="E122" s="512">
        <f t="shared" si="53"/>
        <v>450827</v>
      </c>
      <c r="F122" s="512">
        <f t="shared" si="53"/>
        <v>450827</v>
      </c>
      <c r="G122" s="512">
        <f t="shared" si="53"/>
        <v>453657</v>
      </c>
      <c r="H122" s="512">
        <f t="shared" si="53"/>
        <v>460057</v>
      </c>
      <c r="I122" s="512">
        <f t="shared" si="53"/>
        <v>343921</v>
      </c>
      <c r="J122" s="484">
        <f t="shared" si="17"/>
        <v>0.74756171517877135</v>
      </c>
    </row>
    <row r="123" spans="1:11" ht="18.75" customHeight="1" x14ac:dyDescent="0.25">
      <c r="A123" s="181" t="s">
        <v>119</v>
      </c>
      <c r="B123" s="514" t="s">
        <v>392</v>
      </c>
      <c r="C123" s="515">
        <f>C63+0</f>
        <v>0</v>
      </c>
      <c r="D123" s="515">
        <f t="shared" ref="D123:G123" si="54">D63+0</f>
        <v>0</v>
      </c>
      <c r="E123" s="515">
        <f t="shared" si="54"/>
        <v>0</v>
      </c>
      <c r="F123" s="515">
        <f t="shared" si="54"/>
        <v>0</v>
      </c>
      <c r="G123" s="515">
        <f t="shared" si="54"/>
        <v>0</v>
      </c>
      <c r="H123" s="543">
        <v>69000</v>
      </c>
      <c r="I123" s="515">
        <v>17500</v>
      </c>
      <c r="J123" s="484">
        <f t="shared" si="17"/>
        <v>0.25362318840579712</v>
      </c>
    </row>
    <row r="124" spans="1:11" ht="19.5" customHeight="1" thickBot="1" x14ac:dyDescent="0.3">
      <c r="A124" s="116" t="s">
        <v>393</v>
      </c>
      <c r="B124" s="117"/>
      <c r="C124" s="118">
        <f>C122+C123</f>
        <v>428440</v>
      </c>
      <c r="D124" s="118">
        <f t="shared" ref="D124:I124" si="55">D122+D123</f>
        <v>450827</v>
      </c>
      <c r="E124" s="118">
        <f t="shared" si="55"/>
        <v>450827</v>
      </c>
      <c r="F124" s="118">
        <f t="shared" si="55"/>
        <v>450827</v>
      </c>
      <c r="G124" s="118">
        <f t="shared" si="55"/>
        <v>453657</v>
      </c>
      <c r="H124" s="118">
        <f t="shared" si="55"/>
        <v>529057</v>
      </c>
      <c r="I124" s="118">
        <f t="shared" si="55"/>
        <v>361421</v>
      </c>
      <c r="J124" s="484">
        <f t="shared" si="17"/>
        <v>0.68314189208346165</v>
      </c>
      <c r="K124" s="171">
        <f>H124-G124</f>
        <v>75400</v>
      </c>
    </row>
    <row r="125" spans="1:11" ht="26.25" customHeight="1" thickBot="1" x14ac:dyDescent="0.3">
      <c r="A125" s="119" t="s">
        <v>395</v>
      </c>
      <c r="B125" s="82"/>
      <c r="C125" s="120">
        <f>C119+C124</f>
        <v>1609140</v>
      </c>
      <c r="D125" s="120">
        <f t="shared" ref="D125:I125" si="56">D119+D124</f>
        <v>1633723</v>
      </c>
      <c r="E125" s="120">
        <f t="shared" si="56"/>
        <v>1638723</v>
      </c>
      <c r="F125" s="120">
        <f t="shared" si="56"/>
        <v>1656723</v>
      </c>
      <c r="G125" s="120">
        <f t="shared" si="56"/>
        <v>1677753</v>
      </c>
      <c r="H125" s="120">
        <f t="shared" si="56"/>
        <v>1712903</v>
      </c>
      <c r="I125" s="120">
        <f t="shared" si="56"/>
        <v>1073742</v>
      </c>
      <c r="J125" s="484">
        <f t="shared" si="17"/>
        <v>0.62685511088485457</v>
      </c>
    </row>
    <row r="126" spans="1:11" ht="20.25" customHeight="1" x14ac:dyDescent="0.25"/>
    <row r="127" spans="1:11" ht="16.5" customHeight="1" x14ac:dyDescent="0.25"/>
    <row r="128" spans="1:11" ht="18.75" thickBot="1" x14ac:dyDescent="0.3">
      <c r="A128" s="1008" t="s">
        <v>146</v>
      </c>
      <c r="B128" s="1009"/>
      <c r="C128" s="1009"/>
      <c r="D128" s="1009"/>
      <c r="E128" s="1009"/>
      <c r="F128" s="1009"/>
      <c r="G128" s="1009"/>
      <c r="H128" s="1009"/>
      <c r="I128" s="1009"/>
      <c r="J128" s="1009"/>
    </row>
    <row r="129" spans="1:14" ht="15" customHeight="1" x14ac:dyDescent="0.25">
      <c r="A129" s="992" t="s">
        <v>1</v>
      </c>
      <c r="B129" s="993"/>
      <c r="C129" s="996">
        <v>2017</v>
      </c>
      <c r="D129" s="996" t="s">
        <v>235</v>
      </c>
      <c r="E129" s="996" t="s">
        <v>279</v>
      </c>
      <c r="F129" s="996" t="s">
        <v>310</v>
      </c>
      <c r="G129" s="996" t="s">
        <v>348</v>
      </c>
      <c r="H129" s="996" t="s">
        <v>386</v>
      </c>
      <c r="I129" s="998" t="s">
        <v>436</v>
      </c>
      <c r="J129" s="418" t="s">
        <v>280</v>
      </c>
    </row>
    <row r="130" spans="1:14" ht="15.75" thickBot="1" x14ac:dyDescent="0.3">
      <c r="A130" s="994"/>
      <c r="B130" s="995"/>
      <c r="C130" s="997"/>
      <c r="D130" s="997"/>
      <c r="E130" s="997"/>
      <c r="F130" s="997"/>
      <c r="G130" s="997"/>
      <c r="H130" s="997"/>
      <c r="I130" s="999"/>
      <c r="J130" s="419" t="s">
        <v>281</v>
      </c>
    </row>
    <row r="131" spans="1:14" ht="16.5" thickBot="1" x14ac:dyDescent="0.3">
      <c r="A131" s="1010" t="s">
        <v>147</v>
      </c>
      <c r="B131" s="1011"/>
      <c r="C131" s="121">
        <f t="shared" ref="C131:I131" si="57">SUM(C132:C140)</f>
        <v>1669100</v>
      </c>
      <c r="D131" s="121">
        <f t="shared" si="57"/>
        <v>1653200</v>
      </c>
      <c r="E131" s="121">
        <f t="shared" si="57"/>
        <v>1748000</v>
      </c>
      <c r="F131" s="121">
        <f t="shared" si="57"/>
        <v>1748000</v>
      </c>
      <c r="G131" s="121">
        <f t="shared" si="57"/>
        <v>1778000</v>
      </c>
      <c r="H131" s="121">
        <f t="shared" ref="H131" si="58">SUM(H132:H140)</f>
        <v>18800</v>
      </c>
      <c r="I131" s="478">
        <f t="shared" si="57"/>
        <v>12503</v>
      </c>
      <c r="J131" s="477">
        <f>I131/H131</f>
        <v>0.66505319148936171</v>
      </c>
      <c r="K131" s="171">
        <f>H131-G131</f>
        <v>-1759200</v>
      </c>
    </row>
    <row r="132" spans="1:14" x14ac:dyDescent="0.25">
      <c r="A132" s="122">
        <v>231</v>
      </c>
      <c r="B132" s="85" t="s">
        <v>148</v>
      </c>
      <c r="C132" s="123">
        <v>0</v>
      </c>
      <c r="D132" s="123">
        <v>0</v>
      </c>
      <c r="E132" s="123">
        <v>0</v>
      </c>
      <c r="F132" s="123">
        <v>0</v>
      </c>
      <c r="G132" s="410">
        <v>0</v>
      </c>
      <c r="H132" s="542">
        <v>0</v>
      </c>
      <c r="I132" s="479">
        <v>0</v>
      </c>
      <c r="J132" s="477">
        <v>0</v>
      </c>
    </row>
    <row r="133" spans="1:14" x14ac:dyDescent="0.25">
      <c r="A133" s="46">
        <v>233</v>
      </c>
      <c r="B133" s="42" t="s">
        <v>149</v>
      </c>
      <c r="C133" s="124">
        <v>1000</v>
      </c>
      <c r="D133" s="124">
        <v>1000</v>
      </c>
      <c r="E133" s="124">
        <v>1000</v>
      </c>
      <c r="F133" s="124">
        <v>1000</v>
      </c>
      <c r="G133" s="124">
        <v>1000</v>
      </c>
      <c r="H133" s="498">
        <f>1000+5300</f>
        <v>6300</v>
      </c>
      <c r="I133" s="480">
        <v>3</v>
      </c>
      <c r="J133" s="477">
        <f t="shared" ref="J133" si="59">I133/H133</f>
        <v>4.7619047619047619E-4</v>
      </c>
      <c r="N133" s="178"/>
    </row>
    <row r="134" spans="1:14" x14ac:dyDescent="0.25">
      <c r="A134" s="174">
        <v>322</v>
      </c>
      <c r="B134" s="42" t="s">
        <v>192</v>
      </c>
      <c r="C134" s="176">
        <v>134200</v>
      </c>
      <c r="D134" s="176">
        <v>134200</v>
      </c>
      <c r="E134" s="385">
        <f>134200+65800</f>
        <v>200000</v>
      </c>
      <c r="F134" s="176">
        <f>134200+65800</f>
        <v>200000</v>
      </c>
      <c r="G134" s="176">
        <f>134200+65800</f>
        <v>200000</v>
      </c>
      <c r="H134" s="385">
        <v>0</v>
      </c>
      <c r="I134" s="480">
        <v>0</v>
      </c>
      <c r="J134" s="477">
        <v>0</v>
      </c>
    </row>
    <row r="135" spans="1:14" x14ac:dyDescent="0.25">
      <c r="A135" s="174">
        <v>322</v>
      </c>
      <c r="B135" s="42" t="s">
        <v>193</v>
      </c>
      <c r="C135" s="176">
        <v>155400</v>
      </c>
      <c r="D135" s="176">
        <v>155400</v>
      </c>
      <c r="E135" s="176">
        <v>155400</v>
      </c>
      <c r="F135" s="176">
        <v>155400</v>
      </c>
      <c r="G135" s="176">
        <v>155400</v>
      </c>
      <c r="H135" s="385">
        <v>0</v>
      </c>
      <c r="I135" s="480">
        <v>0</v>
      </c>
      <c r="J135" s="477">
        <v>0</v>
      </c>
    </row>
    <row r="136" spans="1:14" x14ac:dyDescent="0.25">
      <c r="A136" s="174">
        <v>322</v>
      </c>
      <c r="B136" s="42" t="s">
        <v>194</v>
      </c>
      <c r="C136" s="176">
        <v>39900</v>
      </c>
      <c r="D136" s="385">
        <f>39900-15900</f>
        <v>24000</v>
      </c>
      <c r="E136" s="176">
        <f>39900-15900</f>
        <v>24000</v>
      </c>
      <c r="F136" s="176">
        <f>39900-15900</f>
        <v>24000</v>
      </c>
      <c r="G136" s="176">
        <f>39900-15900</f>
        <v>24000</v>
      </c>
      <c r="H136" s="385">
        <v>0</v>
      </c>
      <c r="I136" s="480">
        <v>0</v>
      </c>
      <c r="J136" s="477">
        <v>0</v>
      </c>
    </row>
    <row r="137" spans="1:14" x14ac:dyDescent="0.25">
      <c r="A137" s="174">
        <v>322</v>
      </c>
      <c r="B137" s="42" t="s">
        <v>195</v>
      </c>
      <c r="C137" s="176">
        <v>1222600</v>
      </c>
      <c r="D137" s="176">
        <v>1222600</v>
      </c>
      <c r="E137" s="176">
        <v>1222600</v>
      </c>
      <c r="F137" s="176">
        <v>1222600</v>
      </c>
      <c r="G137" s="176">
        <v>1222600</v>
      </c>
      <c r="H137" s="385">
        <v>0</v>
      </c>
      <c r="I137" s="480">
        <v>0</v>
      </c>
      <c r="J137" s="477">
        <v>0</v>
      </c>
    </row>
    <row r="138" spans="1:14" x14ac:dyDescent="0.25">
      <c r="A138" s="174">
        <v>322</v>
      </c>
      <c r="B138" s="42" t="s">
        <v>196</v>
      </c>
      <c r="C138" s="176">
        <v>103500</v>
      </c>
      <c r="D138" s="176">
        <v>103500</v>
      </c>
      <c r="E138" s="385">
        <f>103500+29000</f>
        <v>132500</v>
      </c>
      <c r="F138" s="176">
        <f>103500+29000</f>
        <v>132500</v>
      </c>
      <c r="G138" s="176">
        <f>103500+29000</f>
        <v>132500</v>
      </c>
      <c r="H138" s="385">
        <v>0</v>
      </c>
      <c r="I138" s="480">
        <v>0</v>
      </c>
      <c r="J138" s="477">
        <v>0</v>
      </c>
    </row>
    <row r="139" spans="1:14" x14ac:dyDescent="0.25">
      <c r="A139" s="174">
        <v>322</v>
      </c>
      <c r="B139" s="42" t="s">
        <v>352</v>
      </c>
      <c r="C139" s="176">
        <v>0</v>
      </c>
      <c r="D139" s="176">
        <v>0</v>
      </c>
      <c r="E139" s="411">
        <v>0</v>
      </c>
      <c r="F139" s="176">
        <v>0</v>
      </c>
      <c r="G139" s="385">
        <v>30000</v>
      </c>
      <c r="H139" s="385">
        <v>0</v>
      </c>
      <c r="I139" s="480">
        <v>0</v>
      </c>
      <c r="J139" s="477">
        <v>0</v>
      </c>
    </row>
    <row r="140" spans="1:14" ht="15.75" thickBot="1" x14ac:dyDescent="0.3">
      <c r="A140" s="125">
        <v>322</v>
      </c>
      <c r="B140" s="155" t="s">
        <v>150</v>
      </c>
      <c r="C140" s="127">
        <v>12500</v>
      </c>
      <c r="D140" s="127">
        <v>12500</v>
      </c>
      <c r="E140" s="127">
        <v>12500</v>
      </c>
      <c r="F140" s="127">
        <v>12500</v>
      </c>
      <c r="G140" s="127">
        <v>12500</v>
      </c>
      <c r="H140" s="127">
        <v>12500</v>
      </c>
      <c r="I140" s="481">
        <v>12500</v>
      </c>
      <c r="J140" s="477">
        <f t="shared" ref="J140:J166" si="60">I140/H140</f>
        <v>1</v>
      </c>
    </row>
    <row r="141" spans="1:14" ht="16.5" thickBot="1" x14ac:dyDescent="0.3">
      <c r="A141" s="1010" t="s">
        <v>151</v>
      </c>
      <c r="B141" s="1011"/>
      <c r="C141" s="121">
        <f t="shared" ref="C141:I141" si="61">SUM(C142:C166)</f>
        <v>2481900</v>
      </c>
      <c r="D141" s="121">
        <f t="shared" si="61"/>
        <v>2481900</v>
      </c>
      <c r="E141" s="121">
        <f t="shared" si="61"/>
        <v>2595700</v>
      </c>
      <c r="F141" s="121">
        <f t="shared" si="61"/>
        <v>2606700</v>
      </c>
      <c r="G141" s="121">
        <f t="shared" si="61"/>
        <v>2665600</v>
      </c>
      <c r="H141" s="121">
        <f t="shared" ref="H141" si="62">SUM(H142:H166)</f>
        <v>257900</v>
      </c>
      <c r="I141" s="478">
        <f t="shared" si="61"/>
        <v>119440</v>
      </c>
      <c r="J141" s="477">
        <f t="shared" si="60"/>
        <v>0.46312524234199304</v>
      </c>
      <c r="K141" s="171">
        <f>H141-G141</f>
        <v>-2407700</v>
      </c>
    </row>
    <row r="142" spans="1:14" x14ac:dyDescent="0.25">
      <c r="A142" s="128" t="s">
        <v>59</v>
      </c>
      <c r="B142" s="129" t="s">
        <v>185</v>
      </c>
      <c r="C142" s="135">
        <v>3000</v>
      </c>
      <c r="D142" s="135">
        <v>3000</v>
      </c>
      <c r="E142" s="135">
        <v>3000</v>
      </c>
      <c r="F142" s="135">
        <v>3000</v>
      </c>
      <c r="G142" s="135">
        <v>3000</v>
      </c>
      <c r="H142" s="544">
        <v>0</v>
      </c>
      <c r="I142" s="401">
        <v>0</v>
      </c>
      <c r="J142" s="477">
        <v>0</v>
      </c>
    </row>
    <row r="143" spans="1:14" ht="15.75" thickBot="1" x14ac:dyDescent="0.3">
      <c r="A143" s="200" t="s">
        <v>59</v>
      </c>
      <c r="B143" s="201" t="s">
        <v>184</v>
      </c>
      <c r="C143" s="210">
        <v>108200</v>
      </c>
      <c r="D143" s="210">
        <v>108200</v>
      </c>
      <c r="E143" s="386">
        <f>108200+31800</f>
        <v>140000</v>
      </c>
      <c r="F143" s="210">
        <f>108200+31800</f>
        <v>140000</v>
      </c>
      <c r="G143" s="210">
        <f>108200+31800</f>
        <v>140000</v>
      </c>
      <c r="H143" s="545">
        <v>0</v>
      </c>
      <c r="I143" s="403">
        <v>0</v>
      </c>
      <c r="J143" s="477">
        <v>0</v>
      </c>
      <c r="L143" s="171"/>
    </row>
    <row r="144" spans="1:14" x14ac:dyDescent="0.25">
      <c r="A144" s="469" t="s">
        <v>71</v>
      </c>
      <c r="B144" s="131" t="s">
        <v>353</v>
      </c>
      <c r="C144" s="133">
        <v>0</v>
      </c>
      <c r="D144" s="133">
        <v>0</v>
      </c>
      <c r="E144" s="133">
        <v>0</v>
      </c>
      <c r="F144" s="133">
        <v>0</v>
      </c>
      <c r="G144" s="387">
        <v>32000</v>
      </c>
      <c r="H144" s="387">
        <v>0</v>
      </c>
      <c r="I144" s="474">
        <v>0</v>
      </c>
      <c r="J144" s="477">
        <v>0</v>
      </c>
      <c r="L144" s="171"/>
      <c r="N144" s="142"/>
    </row>
    <row r="145" spans="1:14" ht="15.75" thickBot="1" x14ac:dyDescent="0.3">
      <c r="A145" s="204" t="s">
        <v>73</v>
      </c>
      <c r="B145" s="412" t="s">
        <v>152</v>
      </c>
      <c r="C145" s="182">
        <v>14800</v>
      </c>
      <c r="D145" s="182">
        <v>14800</v>
      </c>
      <c r="E145" s="182">
        <v>14800</v>
      </c>
      <c r="F145" s="182">
        <v>14800</v>
      </c>
      <c r="G145" s="182">
        <v>14800</v>
      </c>
      <c r="H145" s="182">
        <v>14800</v>
      </c>
      <c r="I145" s="482">
        <v>11867</v>
      </c>
      <c r="J145" s="477">
        <f t="shared" si="60"/>
        <v>0.80182432432432438</v>
      </c>
      <c r="L145" s="171"/>
      <c r="N145" s="142"/>
    </row>
    <row r="146" spans="1:14" x14ac:dyDescent="0.25">
      <c r="A146" s="190" t="s">
        <v>78</v>
      </c>
      <c r="B146" s="185" t="s">
        <v>301</v>
      </c>
      <c r="C146" s="133">
        <v>0</v>
      </c>
      <c r="D146" s="133">
        <v>0</v>
      </c>
      <c r="E146" s="387">
        <v>5000</v>
      </c>
      <c r="F146" s="387">
        <f>5000+2000</f>
        <v>7000</v>
      </c>
      <c r="G146" s="133">
        <f>5000+2000</f>
        <v>7000</v>
      </c>
      <c r="H146" s="387">
        <v>0</v>
      </c>
      <c r="I146" s="474">
        <v>0</v>
      </c>
      <c r="J146" s="477">
        <v>0</v>
      </c>
      <c r="M146" s="140"/>
    </row>
    <row r="147" spans="1:14" x14ac:dyDescent="0.25">
      <c r="A147" s="190" t="s">
        <v>80</v>
      </c>
      <c r="B147" s="185" t="s">
        <v>153</v>
      </c>
      <c r="C147" s="133">
        <v>10000</v>
      </c>
      <c r="D147" s="133">
        <v>10000</v>
      </c>
      <c r="E147" s="133">
        <v>10000</v>
      </c>
      <c r="F147" s="133">
        <v>10000</v>
      </c>
      <c r="G147" s="387">
        <v>0</v>
      </c>
      <c r="H147" s="133">
        <v>0</v>
      </c>
      <c r="I147" s="474">
        <v>0</v>
      </c>
      <c r="J147" s="477">
        <v>0</v>
      </c>
      <c r="M147" s="140"/>
    </row>
    <row r="148" spans="1:14" ht="15.75" thickBot="1" x14ac:dyDescent="0.3">
      <c r="A148" s="391" t="s">
        <v>80</v>
      </c>
      <c r="B148" s="392" t="s">
        <v>197</v>
      </c>
      <c r="C148" s="210">
        <v>40000</v>
      </c>
      <c r="D148" s="210">
        <v>40000</v>
      </c>
      <c r="E148" s="210">
        <v>40000</v>
      </c>
      <c r="F148" s="386">
        <v>0</v>
      </c>
      <c r="G148" s="210">
        <v>0</v>
      </c>
      <c r="H148" s="210">
        <v>0</v>
      </c>
      <c r="I148" s="474">
        <v>0</v>
      </c>
      <c r="J148" s="477">
        <v>0</v>
      </c>
    </row>
    <row r="149" spans="1:14" x14ac:dyDescent="0.25">
      <c r="A149" s="470" t="s">
        <v>87</v>
      </c>
      <c r="B149" s="471" t="s">
        <v>318</v>
      </c>
      <c r="C149" s="398">
        <v>0</v>
      </c>
      <c r="D149" s="398">
        <v>0</v>
      </c>
      <c r="E149" s="398">
        <v>0</v>
      </c>
      <c r="F149" s="399">
        <v>2000</v>
      </c>
      <c r="G149" s="398">
        <v>2000</v>
      </c>
      <c r="H149" s="398">
        <v>2000</v>
      </c>
      <c r="I149" s="472">
        <v>1498</v>
      </c>
      <c r="J149" s="477">
        <f t="shared" si="60"/>
        <v>0.749</v>
      </c>
    </row>
    <row r="150" spans="1:14" ht="15.75" thickBot="1" x14ac:dyDescent="0.3">
      <c r="A150" s="473" t="s">
        <v>87</v>
      </c>
      <c r="B150" s="392" t="s">
        <v>198</v>
      </c>
      <c r="C150" s="210">
        <v>1287000</v>
      </c>
      <c r="D150" s="210">
        <v>1287000</v>
      </c>
      <c r="E150" s="210">
        <v>1287000</v>
      </c>
      <c r="F150" s="210">
        <v>1287000</v>
      </c>
      <c r="G150" s="210">
        <v>1287000</v>
      </c>
      <c r="H150" s="386">
        <v>0</v>
      </c>
      <c r="I150" s="403">
        <v>0</v>
      </c>
      <c r="J150" s="477">
        <v>0</v>
      </c>
    </row>
    <row r="151" spans="1:14" ht="16.5" customHeight="1" x14ac:dyDescent="0.25">
      <c r="A151" s="396" t="s">
        <v>154</v>
      </c>
      <c r="B151" s="397" t="s">
        <v>190</v>
      </c>
      <c r="C151" s="398">
        <v>0</v>
      </c>
      <c r="D151" s="398">
        <v>0</v>
      </c>
      <c r="E151" s="398">
        <v>0</v>
      </c>
      <c r="F151" s="399">
        <v>7000</v>
      </c>
      <c r="G151" s="398">
        <f>10000-3000</f>
        <v>7000</v>
      </c>
      <c r="H151" s="398">
        <f>10000-3000</f>
        <v>7000</v>
      </c>
      <c r="I151" s="483">
        <v>1891</v>
      </c>
      <c r="J151" s="477">
        <f t="shared" si="60"/>
        <v>0.27014285714285713</v>
      </c>
      <c r="M151" s="141"/>
    </row>
    <row r="152" spans="1:14" x14ac:dyDescent="0.25">
      <c r="A152" s="193" t="s">
        <v>154</v>
      </c>
      <c r="B152" s="189" t="s">
        <v>295</v>
      </c>
      <c r="C152" s="177">
        <v>50000</v>
      </c>
      <c r="D152" s="177">
        <v>50000</v>
      </c>
      <c r="E152" s="408">
        <f>50000+4000</f>
        <v>54000</v>
      </c>
      <c r="F152" s="177">
        <f>50000+4000</f>
        <v>54000</v>
      </c>
      <c r="G152" s="408">
        <f>50000+4000+10500</f>
        <v>64500</v>
      </c>
      <c r="H152" s="177">
        <f>50000+4000+10500</f>
        <v>64500</v>
      </c>
      <c r="I152" s="475">
        <f>612+33598</f>
        <v>34210</v>
      </c>
      <c r="J152" s="477">
        <f t="shared" si="60"/>
        <v>0.53038759689922477</v>
      </c>
    </row>
    <row r="153" spans="1:14" ht="15.75" thickBot="1" x14ac:dyDescent="0.3">
      <c r="A153" s="202" t="s">
        <v>154</v>
      </c>
      <c r="B153" s="203" t="s">
        <v>323</v>
      </c>
      <c r="C153" s="210">
        <v>0</v>
      </c>
      <c r="D153" s="210">
        <v>0</v>
      </c>
      <c r="E153" s="210">
        <v>0</v>
      </c>
      <c r="F153" s="386">
        <v>40000</v>
      </c>
      <c r="G153" s="210">
        <v>40000</v>
      </c>
      <c r="H153" s="386">
        <f>40000-4000</f>
        <v>36000</v>
      </c>
      <c r="I153" s="403">
        <v>323</v>
      </c>
      <c r="J153" s="477">
        <f t="shared" si="60"/>
        <v>8.9722222222222217E-3</v>
      </c>
      <c r="N153" s="157"/>
    </row>
    <row r="154" spans="1:14" x14ac:dyDescent="0.25">
      <c r="A154" s="326" t="s">
        <v>93</v>
      </c>
      <c r="B154" s="327" t="s">
        <v>293</v>
      </c>
      <c r="C154" s="136">
        <v>0</v>
      </c>
      <c r="D154" s="136">
        <v>0</v>
      </c>
      <c r="E154" s="389">
        <v>1000</v>
      </c>
      <c r="F154" s="136">
        <v>1000</v>
      </c>
      <c r="G154" s="136">
        <v>1000</v>
      </c>
      <c r="H154" s="136">
        <v>1000</v>
      </c>
      <c r="I154" s="402">
        <v>869</v>
      </c>
      <c r="J154" s="477">
        <f t="shared" si="60"/>
        <v>0.86899999999999999</v>
      </c>
      <c r="N154" s="138"/>
    </row>
    <row r="155" spans="1:14" ht="16.5" customHeight="1" x14ac:dyDescent="0.25">
      <c r="A155" s="198" t="s">
        <v>93</v>
      </c>
      <c r="B155" s="199" t="s">
        <v>343</v>
      </c>
      <c r="C155" s="133">
        <v>0</v>
      </c>
      <c r="D155" s="133">
        <v>0</v>
      </c>
      <c r="E155" s="133">
        <v>0</v>
      </c>
      <c r="F155" s="133">
        <v>0</v>
      </c>
      <c r="G155" s="387">
        <v>4500</v>
      </c>
      <c r="H155" s="133">
        <v>4500</v>
      </c>
      <c r="I155" s="474">
        <v>0</v>
      </c>
      <c r="J155" s="477">
        <f t="shared" si="60"/>
        <v>0</v>
      </c>
    </row>
    <row r="156" spans="1:14" ht="15.75" customHeight="1" thickBot="1" x14ac:dyDescent="0.3">
      <c r="A156" s="323" t="s">
        <v>97</v>
      </c>
      <c r="B156" s="324" t="s">
        <v>334</v>
      </c>
      <c r="C156" s="182">
        <v>163600</v>
      </c>
      <c r="D156" s="182">
        <v>163600</v>
      </c>
      <c r="E156" s="182">
        <v>163600</v>
      </c>
      <c r="F156" s="182">
        <v>163600</v>
      </c>
      <c r="G156" s="182">
        <v>163600</v>
      </c>
      <c r="H156" s="534">
        <v>0</v>
      </c>
      <c r="I156" s="403">
        <v>0</v>
      </c>
      <c r="J156" s="477">
        <v>0</v>
      </c>
      <c r="K156" s="140"/>
    </row>
    <row r="157" spans="1:14" ht="15" customHeight="1" x14ac:dyDescent="0.25">
      <c r="A157" s="198" t="s">
        <v>107</v>
      </c>
      <c r="B157" s="199" t="s">
        <v>207</v>
      </c>
      <c r="C157" s="133">
        <v>42000</v>
      </c>
      <c r="D157" s="133">
        <v>42000</v>
      </c>
      <c r="E157" s="133">
        <v>42000</v>
      </c>
      <c r="F157" s="133">
        <v>42000</v>
      </c>
      <c r="G157" s="387">
        <f>42000-4500</f>
        <v>37500</v>
      </c>
      <c r="H157" s="387">
        <v>0</v>
      </c>
      <c r="I157" s="483">
        <v>0</v>
      </c>
      <c r="J157" s="477">
        <v>0</v>
      </c>
      <c r="K157" s="140"/>
    </row>
    <row r="158" spans="1:14" x14ac:dyDescent="0.25">
      <c r="A158" s="193" t="s">
        <v>107</v>
      </c>
      <c r="B158" s="189" t="s">
        <v>205</v>
      </c>
      <c r="C158" s="177">
        <v>56400</v>
      </c>
      <c r="D158" s="177">
        <v>56400</v>
      </c>
      <c r="E158" s="177">
        <v>56400</v>
      </c>
      <c r="F158" s="177">
        <v>56400</v>
      </c>
      <c r="G158" s="408">
        <f>56400-4400</f>
        <v>52000</v>
      </c>
      <c r="H158" s="177">
        <f>56400-4400</f>
        <v>52000</v>
      </c>
      <c r="I158" s="475">
        <v>51725</v>
      </c>
      <c r="J158" s="477">
        <f t="shared" si="60"/>
        <v>0.99471153846153848</v>
      </c>
      <c r="K158" s="140"/>
      <c r="L158" s="138"/>
      <c r="M158" s="157"/>
    </row>
    <row r="159" spans="1:14" x14ac:dyDescent="0.25">
      <c r="A159" s="193" t="s">
        <v>107</v>
      </c>
      <c r="B159" s="189" t="s">
        <v>188</v>
      </c>
      <c r="C159" s="177">
        <v>10000</v>
      </c>
      <c r="D159" s="177">
        <v>10000</v>
      </c>
      <c r="E159" s="177">
        <v>10000</v>
      </c>
      <c r="F159" s="177">
        <v>10000</v>
      </c>
      <c r="G159" s="177">
        <v>10000</v>
      </c>
      <c r="H159" s="408">
        <v>0</v>
      </c>
      <c r="I159" s="475">
        <v>0</v>
      </c>
      <c r="J159" s="477">
        <v>0</v>
      </c>
      <c r="K159" s="140"/>
      <c r="L159" s="157"/>
      <c r="M159" s="157"/>
    </row>
    <row r="160" spans="1:14" x14ac:dyDescent="0.25">
      <c r="A160" s="193" t="s">
        <v>107</v>
      </c>
      <c r="B160" s="189" t="s">
        <v>189</v>
      </c>
      <c r="C160" s="177">
        <v>10000</v>
      </c>
      <c r="D160" s="177">
        <v>10000</v>
      </c>
      <c r="E160" s="177">
        <v>10000</v>
      </c>
      <c r="F160" s="177">
        <v>10000</v>
      </c>
      <c r="G160" s="177">
        <v>10000</v>
      </c>
      <c r="H160" s="177">
        <v>10000</v>
      </c>
      <c r="I160" s="475">
        <v>0</v>
      </c>
      <c r="J160" s="477">
        <f t="shared" si="60"/>
        <v>0</v>
      </c>
      <c r="K160" s="140"/>
      <c r="M160" s="157"/>
    </row>
    <row r="161" spans="1:14" x14ac:dyDescent="0.25">
      <c r="A161" s="193" t="s">
        <v>107</v>
      </c>
      <c r="B161" s="189" t="s">
        <v>183</v>
      </c>
      <c r="C161" s="177">
        <v>30000</v>
      </c>
      <c r="D161" s="177">
        <v>30000</v>
      </c>
      <c r="E161" s="177">
        <v>30000</v>
      </c>
      <c r="F161" s="177">
        <v>30000</v>
      </c>
      <c r="G161" s="408">
        <f>30000+27000</f>
        <v>57000</v>
      </c>
      <c r="H161" s="408">
        <f>30000+27000-8000</f>
        <v>49000</v>
      </c>
      <c r="I161" s="475">
        <v>0</v>
      </c>
      <c r="J161" s="477">
        <f t="shared" si="60"/>
        <v>0</v>
      </c>
      <c r="K161" s="140"/>
      <c r="L161" s="138"/>
    </row>
    <row r="162" spans="1:14" x14ac:dyDescent="0.25">
      <c r="A162" s="193" t="s">
        <v>109</v>
      </c>
      <c r="B162" s="189" t="s">
        <v>182</v>
      </c>
      <c r="C162" s="177">
        <v>500000</v>
      </c>
      <c r="D162" s="177">
        <v>500000</v>
      </c>
      <c r="E162" s="177">
        <v>500000</v>
      </c>
      <c r="F162" s="177">
        <v>500000</v>
      </c>
      <c r="G162" s="177">
        <v>500000</v>
      </c>
      <c r="H162" s="408">
        <v>0</v>
      </c>
      <c r="I162" s="475">
        <v>0</v>
      </c>
      <c r="J162" s="477">
        <v>0</v>
      </c>
      <c r="K162" s="143"/>
    </row>
    <row r="163" spans="1:14" ht="15.75" thickBot="1" x14ac:dyDescent="0.3">
      <c r="A163" s="329" t="s">
        <v>111</v>
      </c>
      <c r="B163" s="203" t="s">
        <v>156</v>
      </c>
      <c r="C163" s="210">
        <v>2700</v>
      </c>
      <c r="D163" s="210">
        <v>2700</v>
      </c>
      <c r="E163" s="210">
        <v>2700</v>
      </c>
      <c r="F163" s="210">
        <v>2700</v>
      </c>
      <c r="G163" s="210">
        <v>2700</v>
      </c>
      <c r="H163" s="210">
        <v>2700</v>
      </c>
      <c r="I163" s="403">
        <v>2698</v>
      </c>
      <c r="J163" s="477">
        <f t="shared" si="60"/>
        <v>0.99925925925925929</v>
      </c>
      <c r="K163" s="143"/>
    </row>
    <row r="164" spans="1:14" x14ac:dyDescent="0.25">
      <c r="A164" s="197" t="s">
        <v>117</v>
      </c>
      <c r="B164" s="185" t="s">
        <v>199</v>
      </c>
      <c r="C164" s="133">
        <v>141200</v>
      </c>
      <c r="D164" s="133">
        <v>141200</v>
      </c>
      <c r="E164" s="387">
        <f>141200+72000</f>
        <v>213200</v>
      </c>
      <c r="F164" s="133">
        <f>141200+72000</f>
        <v>213200</v>
      </c>
      <c r="G164" s="133">
        <f>141200+72000</f>
        <v>213200</v>
      </c>
      <c r="H164" s="387">
        <v>0</v>
      </c>
      <c r="I164" s="474">
        <v>0</v>
      </c>
      <c r="J164" s="477">
        <v>0</v>
      </c>
      <c r="K164" s="143"/>
    </row>
    <row r="165" spans="1:14" x14ac:dyDescent="0.25">
      <c r="A165" s="194" t="s">
        <v>140</v>
      </c>
      <c r="B165" s="195" t="s">
        <v>349</v>
      </c>
      <c r="C165" s="136">
        <v>0</v>
      </c>
      <c r="D165" s="136">
        <v>0</v>
      </c>
      <c r="E165" s="136">
        <v>0</v>
      </c>
      <c r="F165" s="136">
        <v>0</v>
      </c>
      <c r="G165" s="389">
        <v>3800</v>
      </c>
      <c r="H165" s="136">
        <v>3800</v>
      </c>
      <c r="I165" s="402">
        <v>3759</v>
      </c>
      <c r="J165" s="477">
        <f t="shared" si="60"/>
        <v>0.98921052631578943</v>
      </c>
      <c r="K165" s="143"/>
    </row>
    <row r="166" spans="1:14" ht="15" customHeight="1" thickBot="1" x14ac:dyDescent="0.3">
      <c r="A166" s="306" t="s">
        <v>126</v>
      </c>
      <c r="B166" s="307" t="s">
        <v>314</v>
      </c>
      <c r="C166" s="182">
        <v>13000</v>
      </c>
      <c r="D166" s="182">
        <v>13000</v>
      </c>
      <c r="E166" s="182">
        <v>13000</v>
      </c>
      <c r="F166" s="182">
        <v>13000</v>
      </c>
      <c r="G166" s="182">
        <v>13000</v>
      </c>
      <c r="H166" s="534">
        <f>13000-2400</f>
        <v>10600</v>
      </c>
      <c r="I166" s="482">
        <v>10600</v>
      </c>
      <c r="J166" s="477">
        <f t="shared" si="60"/>
        <v>1</v>
      </c>
      <c r="K166" s="141"/>
    </row>
    <row r="167" spans="1:14" ht="23.25" customHeight="1" x14ac:dyDescent="0.25">
      <c r="A167" s="137"/>
      <c r="B167" s="138"/>
      <c r="C167" s="140"/>
      <c r="D167" s="140"/>
      <c r="E167" s="140"/>
      <c r="F167" s="140"/>
      <c r="G167" s="140"/>
      <c r="H167" s="140"/>
    </row>
    <row r="168" spans="1:14" ht="18.75" customHeight="1" x14ac:dyDescent="0.25">
      <c r="A168" s="141"/>
      <c r="B168" s="142"/>
      <c r="C168" s="143" t="s">
        <v>157</v>
      </c>
      <c r="D168" s="143"/>
      <c r="E168" s="143"/>
      <c r="F168" s="143"/>
      <c r="G168" s="143"/>
      <c r="H168" s="143"/>
    </row>
    <row r="169" spans="1:14" ht="18.75" thickBot="1" x14ac:dyDescent="0.3">
      <c r="A169" s="1012" t="s">
        <v>158</v>
      </c>
      <c r="B169" s="1013"/>
      <c r="C169" s="1013"/>
      <c r="D169" s="1013"/>
      <c r="E169" s="1013"/>
      <c r="F169" s="1013"/>
      <c r="G169" s="1013"/>
      <c r="H169" s="1013"/>
      <c r="I169" s="1013"/>
      <c r="J169" s="1013"/>
    </row>
    <row r="170" spans="1:14" ht="15" customHeight="1" x14ac:dyDescent="0.25">
      <c r="A170" s="992" t="s">
        <v>1</v>
      </c>
      <c r="B170" s="993"/>
      <c r="C170" s="996">
        <v>2017</v>
      </c>
      <c r="D170" s="996" t="s">
        <v>235</v>
      </c>
      <c r="E170" s="996" t="s">
        <v>279</v>
      </c>
      <c r="F170" s="996" t="s">
        <v>310</v>
      </c>
      <c r="G170" s="996" t="s">
        <v>348</v>
      </c>
      <c r="H170" s="996" t="s">
        <v>386</v>
      </c>
      <c r="I170" s="998" t="s">
        <v>436</v>
      </c>
      <c r="J170" s="338" t="s">
        <v>280</v>
      </c>
    </row>
    <row r="171" spans="1:14" ht="15.75" thickBot="1" x14ac:dyDescent="0.3">
      <c r="A171" s="994"/>
      <c r="B171" s="995"/>
      <c r="C171" s="997"/>
      <c r="D171" s="997"/>
      <c r="E171" s="997"/>
      <c r="F171" s="997"/>
      <c r="G171" s="997"/>
      <c r="H171" s="997"/>
      <c r="I171" s="999"/>
      <c r="J171" s="417" t="s">
        <v>281</v>
      </c>
    </row>
    <row r="172" spans="1:14" ht="16.5" thickBot="1" x14ac:dyDescent="0.3">
      <c r="A172" s="144" t="s">
        <v>159</v>
      </c>
      <c r="B172" s="145"/>
      <c r="C172" s="146">
        <f t="shared" ref="C172:D172" si="63">SUM(C173:C175)</f>
        <v>714200</v>
      </c>
      <c r="D172" s="146">
        <f t="shared" si="63"/>
        <v>730100</v>
      </c>
      <c r="E172" s="146">
        <f t="shared" ref="E172:I172" si="64">SUM(E173:E175)</f>
        <v>749100</v>
      </c>
      <c r="F172" s="146">
        <f t="shared" si="64"/>
        <v>749100</v>
      </c>
      <c r="G172" s="146">
        <f t="shared" si="64"/>
        <v>767100</v>
      </c>
      <c r="H172" s="146">
        <f t="shared" ref="H172" si="65">SUM(H173:H175)</f>
        <v>87400</v>
      </c>
      <c r="I172" s="486">
        <f t="shared" si="64"/>
        <v>51764</v>
      </c>
      <c r="J172" s="489">
        <f>I172/H172</f>
        <v>0.59226544622425625</v>
      </c>
      <c r="K172" s="171">
        <f>H172-G172</f>
        <v>-679700</v>
      </c>
    </row>
    <row r="173" spans="1:14" ht="15.75" thickBot="1" x14ac:dyDescent="0.3">
      <c r="A173" s="147">
        <v>454</v>
      </c>
      <c r="B173" s="47" t="s">
        <v>160</v>
      </c>
      <c r="C173" s="148">
        <f>312800</f>
        <v>312800</v>
      </c>
      <c r="D173" s="393">
        <f>312800+15900</f>
        <v>328700</v>
      </c>
      <c r="E173" s="393">
        <f>312800+15900-11000</f>
        <v>317700</v>
      </c>
      <c r="F173" s="148">
        <f>312800+15900-11000</f>
        <v>317700</v>
      </c>
      <c r="G173" s="148">
        <f>312800+15900-11000</f>
        <v>317700</v>
      </c>
      <c r="H173" s="393">
        <f>312800+15900-11000-246200+14400</f>
        <v>85900</v>
      </c>
      <c r="I173" s="487">
        <v>51725</v>
      </c>
      <c r="J173" s="489">
        <f t="shared" ref="J173:J178" si="66">I173/H173</f>
        <v>0.60215366705471474</v>
      </c>
    </row>
    <row r="174" spans="1:14" ht="15.75" thickBot="1" x14ac:dyDescent="0.3">
      <c r="A174" s="149">
        <v>453</v>
      </c>
      <c r="B174" s="150" t="s">
        <v>161</v>
      </c>
      <c r="C174" s="151">
        <v>1500</v>
      </c>
      <c r="D174" s="151">
        <v>1500</v>
      </c>
      <c r="E174" s="151">
        <v>1500</v>
      </c>
      <c r="F174" s="151">
        <v>1500</v>
      </c>
      <c r="G174" s="151">
        <v>1500</v>
      </c>
      <c r="H174" s="151">
        <v>1500</v>
      </c>
      <c r="I174" s="488">
        <v>39</v>
      </c>
      <c r="J174" s="489">
        <f t="shared" si="66"/>
        <v>2.5999999999999999E-2</v>
      </c>
    </row>
    <row r="175" spans="1:14" ht="15.75" thickBot="1" x14ac:dyDescent="0.3">
      <c r="A175" s="149">
        <v>513</v>
      </c>
      <c r="B175" s="150" t="s">
        <v>162</v>
      </c>
      <c r="C175" s="151">
        <f>500000-100100</f>
        <v>399900</v>
      </c>
      <c r="D175" s="151">
        <f t="shared" ref="D175" si="67">500000-100100</f>
        <v>399900</v>
      </c>
      <c r="E175" s="394">
        <f>500000-100100+11000+19000</f>
        <v>429900</v>
      </c>
      <c r="F175" s="151">
        <f>500000-100100+11000+19000</f>
        <v>429900</v>
      </c>
      <c r="G175" s="394">
        <f>500000-100100+11000+19000+18000</f>
        <v>447900</v>
      </c>
      <c r="H175" s="394">
        <v>0</v>
      </c>
      <c r="I175" s="488">
        <v>0</v>
      </c>
      <c r="J175" s="489">
        <v>0</v>
      </c>
      <c r="K175" s="312"/>
      <c r="N175" s="172"/>
    </row>
    <row r="176" spans="1:14" ht="16.5" thickBot="1" x14ac:dyDescent="0.3">
      <c r="A176" s="144" t="s">
        <v>163</v>
      </c>
      <c r="B176" s="145"/>
      <c r="C176" s="146">
        <f t="shared" ref="C176:D176" si="68">SUM(C177:C178)</f>
        <v>53800</v>
      </c>
      <c r="D176" s="146">
        <f t="shared" si="68"/>
        <v>53800</v>
      </c>
      <c r="E176" s="146">
        <f t="shared" ref="E176:I176" si="69">SUM(E177:E178)</f>
        <v>53800</v>
      </c>
      <c r="F176" s="146">
        <f t="shared" si="69"/>
        <v>53800</v>
      </c>
      <c r="G176" s="146">
        <f t="shared" si="69"/>
        <v>53800</v>
      </c>
      <c r="H176" s="146">
        <f t="shared" ref="H176" si="70">SUM(H177:H178)</f>
        <v>800</v>
      </c>
      <c r="I176" s="486">
        <f t="shared" si="69"/>
        <v>582</v>
      </c>
      <c r="J176" s="489">
        <f t="shared" si="66"/>
        <v>0.72750000000000004</v>
      </c>
      <c r="K176" s="157">
        <f>H176-G176</f>
        <v>-53000</v>
      </c>
    </row>
    <row r="177" spans="1:13" ht="15.75" thickBot="1" x14ac:dyDescent="0.3">
      <c r="A177" s="152">
        <v>821</v>
      </c>
      <c r="B177" s="153" t="s">
        <v>164</v>
      </c>
      <c r="C177" s="154">
        <v>53000</v>
      </c>
      <c r="D177" s="154">
        <v>53000</v>
      </c>
      <c r="E177" s="154">
        <v>53000</v>
      </c>
      <c r="F177" s="154">
        <v>53000</v>
      </c>
      <c r="G177" s="154">
        <v>53000</v>
      </c>
      <c r="H177" s="372">
        <v>0</v>
      </c>
      <c r="I177" s="443">
        <v>0</v>
      </c>
      <c r="J177" s="489">
        <v>0</v>
      </c>
      <c r="K177" s="138"/>
    </row>
    <row r="178" spans="1:13" ht="15" customHeight="1" thickBot="1" x14ac:dyDescent="0.3">
      <c r="A178" s="27">
        <v>821</v>
      </c>
      <c r="B178" s="155" t="s">
        <v>165</v>
      </c>
      <c r="C178" s="71">
        <v>800</v>
      </c>
      <c r="D178" s="71">
        <v>800</v>
      </c>
      <c r="E178" s="71">
        <v>800</v>
      </c>
      <c r="F178" s="71">
        <v>800</v>
      </c>
      <c r="G178" s="71">
        <v>800</v>
      </c>
      <c r="H178" s="71">
        <v>800</v>
      </c>
      <c r="I178" s="348">
        <v>582</v>
      </c>
      <c r="J178" s="489">
        <f t="shared" si="66"/>
        <v>0.72750000000000004</v>
      </c>
    </row>
    <row r="179" spans="1:13" ht="63" customHeight="1" x14ac:dyDescent="0.25">
      <c r="A179" s="141"/>
      <c r="B179" s="156"/>
      <c r="C179" s="157"/>
      <c r="D179" s="157"/>
      <c r="E179" s="157"/>
      <c r="F179" s="157"/>
      <c r="G179" s="157"/>
      <c r="H179" s="157"/>
      <c r="I179" s="157"/>
    </row>
    <row r="180" spans="1:13" ht="65.25" customHeight="1" thickBot="1" x14ac:dyDescent="0.3">
      <c r="A180" s="58"/>
      <c r="B180" s="138"/>
      <c r="C180" s="138"/>
      <c r="D180" s="138"/>
      <c r="E180" s="138"/>
      <c r="F180" s="138"/>
      <c r="G180" s="138"/>
      <c r="H180" s="138"/>
      <c r="I180" s="138"/>
      <c r="L180" s="172"/>
    </row>
    <row r="181" spans="1:13" ht="18.75" thickBot="1" x14ac:dyDescent="0.3">
      <c r="A181" s="1018" t="s">
        <v>166</v>
      </c>
      <c r="B181" s="1019"/>
      <c r="C181" s="1019"/>
      <c r="D181" s="1019"/>
      <c r="E181" s="1019"/>
      <c r="F181" s="1019"/>
      <c r="G181" s="1019"/>
      <c r="H181" s="1019"/>
      <c r="I181" s="1020"/>
      <c r="M181" s="172"/>
    </row>
    <row r="182" spans="1:13" ht="15" customHeight="1" x14ac:dyDescent="0.25">
      <c r="A182" s="992" t="s">
        <v>1</v>
      </c>
      <c r="B182" s="993"/>
      <c r="C182" s="996">
        <v>2017</v>
      </c>
      <c r="D182" s="996" t="s">
        <v>235</v>
      </c>
      <c r="E182" s="996" t="s">
        <v>279</v>
      </c>
      <c r="F182" s="996" t="s">
        <v>310</v>
      </c>
      <c r="G182" s="996" t="s">
        <v>348</v>
      </c>
      <c r="H182" s="996" t="s">
        <v>386</v>
      </c>
      <c r="I182" s="998" t="s">
        <v>436</v>
      </c>
    </row>
    <row r="183" spans="1:13" ht="15.75" thickBot="1" x14ac:dyDescent="0.3">
      <c r="A183" s="994"/>
      <c r="B183" s="995"/>
      <c r="C183" s="997"/>
      <c r="D183" s="997"/>
      <c r="E183" s="997"/>
      <c r="F183" s="997"/>
      <c r="G183" s="997"/>
      <c r="H183" s="997"/>
      <c r="I183" s="999"/>
    </row>
    <row r="184" spans="1:13" ht="15.75" x14ac:dyDescent="0.25">
      <c r="A184" s="158" t="s">
        <v>167</v>
      </c>
      <c r="B184" s="16"/>
      <c r="C184" s="159">
        <f t="shared" ref="C184:I184" si="71">C65</f>
        <v>1761540</v>
      </c>
      <c r="D184" s="159">
        <f t="shared" si="71"/>
        <v>1786123</v>
      </c>
      <c r="E184" s="159">
        <f t="shared" si="71"/>
        <v>1791123</v>
      </c>
      <c r="F184" s="159">
        <f t="shared" si="71"/>
        <v>1820123</v>
      </c>
      <c r="G184" s="159">
        <f t="shared" si="71"/>
        <v>1852053</v>
      </c>
      <c r="H184" s="159">
        <f t="shared" si="71"/>
        <v>1865403</v>
      </c>
      <c r="I184" s="159">
        <f t="shared" si="71"/>
        <v>1339535</v>
      </c>
      <c r="K184" s="171"/>
      <c r="L184" s="171">
        <f>H184-G184</f>
        <v>13350</v>
      </c>
    </row>
    <row r="185" spans="1:13" ht="15.75" x14ac:dyDescent="0.25">
      <c r="A185" s="160" t="s">
        <v>168</v>
      </c>
      <c r="B185" s="10"/>
      <c r="C185" s="161">
        <f t="shared" ref="C185:I185" si="72">C125</f>
        <v>1609140</v>
      </c>
      <c r="D185" s="161">
        <f t="shared" si="72"/>
        <v>1633723</v>
      </c>
      <c r="E185" s="161">
        <f t="shared" si="72"/>
        <v>1638723</v>
      </c>
      <c r="F185" s="161">
        <f t="shared" si="72"/>
        <v>1656723</v>
      </c>
      <c r="G185" s="161">
        <f t="shared" si="72"/>
        <v>1677753</v>
      </c>
      <c r="H185" s="161">
        <f t="shared" si="72"/>
        <v>1712903</v>
      </c>
      <c r="I185" s="161">
        <f t="shared" si="72"/>
        <v>1073742</v>
      </c>
      <c r="K185" s="171"/>
      <c r="L185" s="171">
        <f t="shared" ref="L185:L193" si="73">H185-G185</f>
        <v>35150</v>
      </c>
    </row>
    <row r="186" spans="1:13" ht="15.75" x14ac:dyDescent="0.25">
      <c r="A186" s="1014" t="s">
        <v>169</v>
      </c>
      <c r="B186" s="1015"/>
      <c r="C186" s="162">
        <f t="shared" ref="C186:I186" si="74">C184-C185</f>
        <v>152400</v>
      </c>
      <c r="D186" s="162">
        <f t="shared" si="74"/>
        <v>152400</v>
      </c>
      <c r="E186" s="162">
        <f t="shared" si="74"/>
        <v>152400</v>
      </c>
      <c r="F186" s="162">
        <f t="shared" si="74"/>
        <v>163400</v>
      </c>
      <c r="G186" s="162">
        <f t="shared" si="74"/>
        <v>174300</v>
      </c>
      <c r="H186" s="162">
        <f t="shared" ref="H186" si="75">H184-H185</f>
        <v>152500</v>
      </c>
      <c r="I186" s="162">
        <f t="shared" si="74"/>
        <v>265793</v>
      </c>
      <c r="K186" s="171"/>
      <c r="L186" s="171">
        <f t="shared" si="73"/>
        <v>-21800</v>
      </c>
    </row>
    <row r="187" spans="1:13" ht="15.75" x14ac:dyDescent="0.25">
      <c r="A187" s="160" t="s">
        <v>170</v>
      </c>
      <c r="B187" s="10"/>
      <c r="C187" s="161">
        <f t="shared" ref="C187:I187" si="76">C131</f>
        <v>1669100</v>
      </c>
      <c r="D187" s="161">
        <f t="shared" si="76"/>
        <v>1653200</v>
      </c>
      <c r="E187" s="161">
        <f t="shared" si="76"/>
        <v>1748000</v>
      </c>
      <c r="F187" s="161">
        <f t="shared" si="76"/>
        <v>1748000</v>
      </c>
      <c r="G187" s="161">
        <f t="shared" si="76"/>
        <v>1778000</v>
      </c>
      <c r="H187" s="161">
        <f t="shared" ref="H187" si="77">H131</f>
        <v>18800</v>
      </c>
      <c r="I187" s="161">
        <f t="shared" si="76"/>
        <v>12503</v>
      </c>
      <c r="K187" s="171"/>
      <c r="L187" s="171">
        <f t="shared" si="73"/>
        <v>-1759200</v>
      </c>
    </row>
    <row r="188" spans="1:13" ht="15.75" x14ac:dyDescent="0.25">
      <c r="A188" s="160" t="s">
        <v>171</v>
      </c>
      <c r="B188" s="10"/>
      <c r="C188" s="11">
        <f t="shared" ref="C188:I188" si="78">C141</f>
        <v>2481900</v>
      </c>
      <c r="D188" s="11">
        <f t="shared" si="78"/>
        <v>2481900</v>
      </c>
      <c r="E188" s="11">
        <f t="shared" si="78"/>
        <v>2595700</v>
      </c>
      <c r="F188" s="11">
        <f t="shared" si="78"/>
        <v>2606700</v>
      </c>
      <c r="G188" s="11">
        <f t="shared" si="78"/>
        <v>2665600</v>
      </c>
      <c r="H188" s="11">
        <f t="shared" ref="H188" si="79">H141</f>
        <v>257900</v>
      </c>
      <c r="I188" s="11">
        <f t="shared" si="78"/>
        <v>119440</v>
      </c>
      <c r="K188" s="171"/>
      <c r="L188" s="171">
        <f t="shared" si="73"/>
        <v>-2407700</v>
      </c>
    </row>
    <row r="189" spans="1:13" ht="15.75" x14ac:dyDescent="0.25">
      <c r="A189" s="1014" t="s">
        <v>172</v>
      </c>
      <c r="B189" s="1015"/>
      <c r="C189" s="162">
        <f t="shared" ref="C189:I189" si="80">C187-C188</f>
        <v>-812800</v>
      </c>
      <c r="D189" s="162">
        <f t="shared" si="80"/>
        <v>-828700</v>
      </c>
      <c r="E189" s="162">
        <f t="shared" si="80"/>
        <v>-847700</v>
      </c>
      <c r="F189" s="162">
        <f t="shared" si="80"/>
        <v>-858700</v>
      </c>
      <c r="G189" s="162">
        <f t="shared" si="80"/>
        <v>-887600</v>
      </c>
      <c r="H189" s="162">
        <f t="shared" ref="H189" si="81">H187-H188</f>
        <v>-239100</v>
      </c>
      <c r="I189" s="162">
        <f t="shared" si="80"/>
        <v>-106937</v>
      </c>
      <c r="K189" s="171"/>
      <c r="L189" s="171">
        <f t="shared" si="73"/>
        <v>648500</v>
      </c>
    </row>
    <row r="190" spans="1:13" ht="15.75" x14ac:dyDescent="0.25">
      <c r="A190" s="163" t="s">
        <v>173</v>
      </c>
      <c r="B190" s="164"/>
      <c r="C190" s="165">
        <f t="shared" ref="C190:I190" si="82">C172</f>
        <v>714200</v>
      </c>
      <c r="D190" s="165">
        <f t="shared" si="82"/>
        <v>730100</v>
      </c>
      <c r="E190" s="165">
        <f t="shared" si="82"/>
        <v>749100</v>
      </c>
      <c r="F190" s="165">
        <f t="shared" si="82"/>
        <v>749100</v>
      </c>
      <c r="G190" s="165">
        <f t="shared" si="82"/>
        <v>767100</v>
      </c>
      <c r="H190" s="165">
        <f t="shared" ref="H190" si="83">H172</f>
        <v>87400</v>
      </c>
      <c r="I190" s="165">
        <f t="shared" si="82"/>
        <v>51764</v>
      </c>
      <c r="J190" s="208"/>
      <c r="K190" s="171"/>
      <c r="L190" s="171">
        <f t="shared" si="73"/>
        <v>-679700</v>
      </c>
    </row>
    <row r="191" spans="1:13" ht="15.75" x14ac:dyDescent="0.25">
      <c r="A191" s="163" t="s">
        <v>174</v>
      </c>
      <c r="B191" s="164"/>
      <c r="C191" s="165">
        <f t="shared" ref="C191:I191" si="84">C176</f>
        <v>53800</v>
      </c>
      <c r="D191" s="165">
        <f t="shared" si="84"/>
        <v>53800</v>
      </c>
      <c r="E191" s="165">
        <f t="shared" si="84"/>
        <v>53800</v>
      </c>
      <c r="F191" s="165">
        <f t="shared" si="84"/>
        <v>53800</v>
      </c>
      <c r="G191" s="165">
        <f t="shared" si="84"/>
        <v>53800</v>
      </c>
      <c r="H191" s="165">
        <f t="shared" ref="H191" si="85">H176</f>
        <v>800</v>
      </c>
      <c r="I191" s="165">
        <f t="shared" si="84"/>
        <v>582</v>
      </c>
      <c r="K191" s="171"/>
      <c r="L191" s="171">
        <f t="shared" si="73"/>
        <v>-53000</v>
      </c>
    </row>
    <row r="192" spans="1:13" ht="16.5" thickBot="1" x14ac:dyDescent="0.3">
      <c r="A192" s="1016" t="s">
        <v>175</v>
      </c>
      <c r="B192" s="1017"/>
      <c r="C192" s="166">
        <f t="shared" ref="C192:I192" si="86">C190-C191</f>
        <v>660400</v>
      </c>
      <c r="D192" s="166">
        <f t="shared" si="86"/>
        <v>676300</v>
      </c>
      <c r="E192" s="166">
        <f t="shared" si="86"/>
        <v>695300</v>
      </c>
      <c r="F192" s="166">
        <f t="shared" si="86"/>
        <v>695300</v>
      </c>
      <c r="G192" s="166">
        <f t="shared" si="86"/>
        <v>713300</v>
      </c>
      <c r="H192" s="166">
        <f t="shared" ref="H192" si="87">H190-H191</f>
        <v>86600</v>
      </c>
      <c r="I192" s="166">
        <f t="shared" si="86"/>
        <v>51182</v>
      </c>
      <c r="K192" s="171"/>
      <c r="L192" s="171">
        <f t="shared" si="73"/>
        <v>-626700</v>
      </c>
    </row>
    <row r="193" spans="1:12" ht="16.5" thickBot="1" x14ac:dyDescent="0.3">
      <c r="A193" s="167" t="s">
        <v>176</v>
      </c>
      <c r="B193" s="168"/>
      <c r="C193" s="169">
        <f t="shared" ref="C193:I193" si="88">C186+C189+C192</f>
        <v>0</v>
      </c>
      <c r="D193" s="169">
        <f t="shared" si="88"/>
        <v>0</v>
      </c>
      <c r="E193" s="169">
        <f t="shared" si="88"/>
        <v>0</v>
      </c>
      <c r="F193" s="169">
        <f t="shared" si="88"/>
        <v>0</v>
      </c>
      <c r="G193" s="169">
        <f t="shared" si="88"/>
        <v>0</v>
      </c>
      <c r="H193" s="169">
        <f t="shared" ref="H193" si="89">H186+H189+H192</f>
        <v>0</v>
      </c>
      <c r="I193" s="169">
        <f t="shared" si="88"/>
        <v>210038</v>
      </c>
      <c r="K193" s="171"/>
      <c r="L193" s="171">
        <f t="shared" si="73"/>
        <v>0</v>
      </c>
    </row>
    <row r="195" spans="1:12" x14ac:dyDescent="0.25">
      <c r="B195" s="170" t="s">
        <v>177</v>
      </c>
      <c r="C195" s="171">
        <f t="shared" ref="C195:I196" si="90">C184+C187+C190</f>
        <v>4144840</v>
      </c>
      <c r="D195" s="171">
        <f t="shared" si="90"/>
        <v>4169423</v>
      </c>
      <c r="E195" s="171">
        <f t="shared" si="90"/>
        <v>4288223</v>
      </c>
      <c r="F195" s="171">
        <f t="shared" si="90"/>
        <v>4317223</v>
      </c>
      <c r="G195" s="171">
        <f t="shared" si="90"/>
        <v>4397153</v>
      </c>
      <c r="H195" s="171">
        <f t="shared" ref="H195" si="91">H184+H187+H190</f>
        <v>1971603</v>
      </c>
      <c r="I195" s="171">
        <f t="shared" si="90"/>
        <v>1403802</v>
      </c>
      <c r="K195" s="171"/>
      <c r="L195" s="171">
        <f>H195-G195</f>
        <v>-2425550</v>
      </c>
    </row>
    <row r="196" spans="1:12" x14ac:dyDescent="0.25">
      <c r="B196" s="170" t="s">
        <v>178</v>
      </c>
      <c r="C196" s="171">
        <f t="shared" si="90"/>
        <v>4144840</v>
      </c>
      <c r="D196" s="171">
        <f t="shared" si="90"/>
        <v>4169423</v>
      </c>
      <c r="E196" s="171">
        <f t="shared" si="90"/>
        <v>4288223</v>
      </c>
      <c r="F196" s="171">
        <f t="shared" si="90"/>
        <v>4317223</v>
      </c>
      <c r="G196" s="171">
        <f t="shared" si="90"/>
        <v>4397153</v>
      </c>
      <c r="H196" s="171">
        <f t="shared" ref="H196" si="92">H185+H188+H191</f>
        <v>1971603</v>
      </c>
      <c r="I196" s="171">
        <f t="shared" si="90"/>
        <v>1193764</v>
      </c>
      <c r="K196" s="171"/>
      <c r="L196" s="171">
        <f t="shared" ref="L196:L199" si="93">H196-G196</f>
        <v>-2425550</v>
      </c>
    </row>
    <row r="197" spans="1:12" x14ac:dyDescent="0.25">
      <c r="B197" s="170"/>
      <c r="C197" s="171"/>
      <c r="D197" s="171"/>
      <c r="E197" s="171"/>
      <c r="F197" s="171"/>
      <c r="G197" s="171"/>
      <c r="H197" s="171"/>
      <c r="I197" s="171"/>
      <c r="K197" s="171"/>
      <c r="L197" s="171">
        <f t="shared" si="93"/>
        <v>0</v>
      </c>
    </row>
    <row r="198" spans="1:12" x14ac:dyDescent="0.25">
      <c r="B198" s="170" t="s">
        <v>179</v>
      </c>
      <c r="C198" s="171">
        <f t="shared" ref="C198:I198" si="94">C195-C64</f>
        <v>4141840</v>
      </c>
      <c r="D198" s="171">
        <f t="shared" si="94"/>
        <v>4166073</v>
      </c>
      <c r="E198" s="171">
        <f t="shared" si="94"/>
        <v>4284873</v>
      </c>
      <c r="F198" s="171">
        <f t="shared" si="94"/>
        <v>4313873</v>
      </c>
      <c r="G198" s="171">
        <f t="shared" si="94"/>
        <v>4391033</v>
      </c>
      <c r="H198" s="171">
        <f t="shared" si="94"/>
        <v>1960578</v>
      </c>
      <c r="I198" s="171">
        <f t="shared" si="94"/>
        <v>1399856</v>
      </c>
      <c r="J198" s="172"/>
      <c r="K198" s="171">
        <f>H195-H198</f>
        <v>11025</v>
      </c>
      <c r="L198" s="171">
        <f t="shared" si="93"/>
        <v>-2430455</v>
      </c>
    </row>
    <row r="199" spans="1:12" x14ac:dyDescent="0.25">
      <c r="B199" s="170" t="s">
        <v>180</v>
      </c>
      <c r="C199" s="171">
        <f t="shared" ref="C199:I199" si="95">C196-C124</f>
        <v>3716400</v>
      </c>
      <c r="D199" s="171">
        <f t="shared" si="95"/>
        <v>3718596</v>
      </c>
      <c r="E199" s="171">
        <f t="shared" si="95"/>
        <v>3837396</v>
      </c>
      <c r="F199" s="171">
        <f t="shared" si="95"/>
        <v>3866396</v>
      </c>
      <c r="G199" s="171">
        <f t="shared" si="95"/>
        <v>3943496</v>
      </c>
      <c r="H199" s="171">
        <f t="shared" si="95"/>
        <v>1442546</v>
      </c>
      <c r="I199" s="171">
        <f t="shared" si="95"/>
        <v>832343</v>
      </c>
      <c r="K199" s="171">
        <f>H196-H199</f>
        <v>529057</v>
      </c>
      <c r="L199" s="171">
        <f t="shared" si="93"/>
        <v>-2500950</v>
      </c>
    </row>
    <row r="200" spans="1:12" x14ac:dyDescent="0.25">
      <c r="B200" s="170"/>
      <c r="C200" s="171"/>
      <c r="D200" s="171"/>
      <c r="E200" s="171"/>
      <c r="F200" s="171"/>
      <c r="G200" s="171"/>
      <c r="H200" s="171"/>
      <c r="I200" s="171"/>
      <c r="K200" s="171"/>
      <c r="L200" s="171"/>
    </row>
    <row r="202" spans="1:12" x14ac:dyDescent="0.25">
      <c r="B202" t="s">
        <v>181</v>
      </c>
    </row>
    <row r="204" spans="1:12" x14ac:dyDescent="0.25">
      <c r="B204" s="172" t="s">
        <v>315</v>
      </c>
      <c r="C204" s="172"/>
      <c r="D204" s="172"/>
      <c r="E204" s="172"/>
      <c r="F204" s="172"/>
      <c r="G204" s="172"/>
      <c r="H204" s="172"/>
      <c r="I204" s="172"/>
    </row>
    <row r="205" spans="1:12" x14ac:dyDescent="0.25">
      <c r="B205" s="172" t="s">
        <v>316</v>
      </c>
    </row>
    <row r="206" spans="1:12" x14ac:dyDescent="0.25">
      <c r="B206" s="172" t="s">
        <v>317</v>
      </c>
    </row>
    <row r="207" spans="1:12" x14ac:dyDescent="0.25">
      <c r="B207" s="172" t="s">
        <v>324</v>
      </c>
    </row>
    <row r="208" spans="1:12" x14ac:dyDescent="0.25">
      <c r="B208" s="172" t="s">
        <v>381</v>
      </c>
    </row>
    <row r="209" spans="2:2" x14ac:dyDescent="0.25">
      <c r="B209" s="172" t="s">
        <v>435</v>
      </c>
    </row>
    <row r="210" spans="2:2" x14ac:dyDescent="0.25">
      <c r="B210" s="172"/>
    </row>
    <row r="211" spans="2:2" x14ac:dyDescent="0.25">
      <c r="B211" s="261" t="s">
        <v>434</v>
      </c>
    </row>
  </sheetData>
  <mergeCells count="53">
    <mergeCell ref="A186:B186"/>
    <mergeCell ref="A189:B189"/>
    <mergeCell ref="A192:B192"/>
    <mergeCell ref="H2:H3"/>
    <mergeCell ref="H68:H69"/>
    <mergeCell ref="H129:H130"/>
    <mergeCell ref="H170:H171"/>
    <mergeCell ref="H182:H183"/>
    <mergeCell ref="A181:I181"/>
    <mergeCell ref="A182:B183"/>
    <mergeCell ref="C182:C183"/>
    <mergeCell ref="D182:D183"/>
    <mergeCell ref="E182:E183"/>
    <mergeCell ref="F182:F183"/>
    <mergeCell ref="G182:G183"/>
    <mergeCell ref="I182:I183"/>
    <mergeCell ref="A131:B131"/>
    <mergeCell ref="A141:B141"/>
    <mergeCell ref="A169:J169"/>
    <mergeCell ref="A170:B171"/>
    <mergeCell ref="C170:C171"/>
    <mergeCell ref="D170:D171"/>
    <mergeCell ref="E170:E171"/>
    <mergeCell ref="F170:F171"/>
    <mergeCell ref="G170:G171"/>
    <mergeCell ref="I170:I171"/>
    <mergeCell ref="A86:B86"/>
    <mergeCell ref="A128:J128"/>
    <mergeCell ref="A129:B130"/>
    <mergeCell ref="C129:C130"/>
    <mergeCell ref="D129:D130"/>
    <mergeCell ref="E129:E130"/>
    <mergeCell ref="F129:F130"/>
    <mergeCell ref="G129:G130"/>
    <mergeCell ref="I129:I130"/>
    <mergeCell ref="A4:B4"/>
    <mergeCell ref="A12:B12"/>
    <mergeCell ref="A67:J67"/>
    <mergeCell ref="A68:B69"/>
    <mergeCell ref="C68:C69"/>
    <mergeCell ref="D68:D69"/>
    <mergeCell ref="E68:E69"/>
    <mergeCell ref="F68:F69"/>
    <mergeCell ref="G68:G69"/>
    <mergeCell ref="I68:I69"/>
    <mergeCell ref="A1:J1"/>
    <mergeCell ref="A2:B3"/>
    <mergeCell ref="C2:C3"/>
    <mergeCell ref="D2:D3"/>
    <mergeCell ref="E2:E3"/>
    <mergeCell ref="F2:F3"/>
    <mergeCell ref="G2:G3"/>
    <mergeCell ref="I2:I3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&amp;C&amp;"-,Tučné"&amp;12Rozpočet obce Heľpa na rok 2017
5. zmena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5"/>
  <sheetViews>
    <sheetView zoomScale="106" zoomScaleNormal="106" workbookViewId="0">
      <selection sqref="A1:I1"/>
    </sheetView>
  </sheetViews>
  <sheetFormatPr defaultRowHeight="15" x14ac:dyDescent="0.25"/>
  <cols>
    <col min="2" max="2" width="60.5703125" customWidth="1"/>
    <col min="3" max="3" width="12.85546875" customWidth="1"/>
    <col min="4" max="7" width="12.7109375" customWidth="1"/>
    <col min="8" max="8" width="12" customWidth="1"/>
    <col min="9" max="9" width="8.5703125" customWidth="1"/>
    <col min="13" max="13" width="12.140625" bestFit="1" customWidth="1"/>
  </cols>
  <sheetData>
    <row r="1" spans="1:10" ht="23.25" customHeight="1" thickBot="1" x14ac:dyDescent="0.3">
      <c r="A1" s="956" t="s">
        <v>0</v>
      </c>
      <c r="B1" s="957"/>
      <c r="C1" s="957"/>
      <c r="D1" s="957"/>
      <c r="E1" s="957"/>
      <c r="F1" s="957"/>
      <c r="G1" s="957"/>
      <c r="H1" s="957"/>
      <c r="I1" s="957"/>
    </row>
    <row r="2" spans="1:10" ht="15" customHeight="1" x14ac:dyDescent="0.25">
      <c r="A2" s="992" t="s">
        <v>1</v>
      </c>
      <c r="B2" s="993"/>
      <c r="C2" s="996">
        <v>2017</v>
      </c>
      <c r="D2" s="996" t="s">
        <v>235</v>
      </c>
      <c r="E2" s="996" t="s">
        <v>279</v>
      </c>
      <c r="F2" s="996" t="s">
        <v>310</v>
      </c>
      <c r="G2" s="996" t="s">
        <v>348</v>
      </c>
      <c r="H2" s="998" t="s">
        <v>383</v>
      </c>
      <c r="I2" s="418" t="s">
        <v>280</v>
      </c>
    </row>
    <row r="3" spans="1:10" ht="15.75" thickBot="1" x14ac:dyDescent="0.3">
      <c r="A3" s="994"/>
      <c r="B3" s="995"/>
      <c r="C3" s="997"/>
      <c r="D3" s="997"/>
      <c r="E3" s="997"/>
      <c r="F3" s="997"/>
      <c r="G3" s="997"/>
      <c r="H3" s="999"/>
      <c r="I3" s="419" t="s">
        <v>281</v>
      </c>
    </row>
    <row r="4" spans="1:10" ht="15.75" thickBot="1" x14ac:dyDescent="0.3">
      <c r="A4" s="1000" t="s">
        <v>2</v>
      </c>
      <c r="B4" s="1001"/>
      <c r="C4" s="1">
        <f t="shared" ref="C4:H4" si="0">SUM(C5:C11)</f>
        <v>1009400</v>
      </c>
      <c r="D4" s="1">
        <f t="shared" si="0"/>
        <v>1009400</v>
      </c>
      <c r="E4" s="1">
        <f t="shared" si="0"/>
        <v>1009400</v>
      </c>
      <c r="F4" s="1">
        <f t="shared" si="0"/>
        <v>1014400</v>
      </c>
      <c r="G4" s="1">
        <f t="shared" ref="G4" si="1">SUM(G5:G11)</f>
        <v>1021400</v>
      </c>
      <c r="H4" s="420">
        <f t="shared" si="0"/>
        <v>510909</v>
      </c>
      <c r="I4" s="485">
        <f>H4/G4</f>
        <v>0.50020462110828279</v>
      </c>
    </row>
    <row r="5" spans="1:10" ht="15.75" thickBot="1" x14ac:dyDescent="0.3">
      <c r="A5" s="2">
        <v>111</v>
      </c>
      <c r="B5" s="3" t="s">
        <v>3</v>
      </c>
      <c r="C5" s="4">
        <v>950000</v>
      </c>
      <c r="D5" s="4">
        <v>950000</v>
      </c>
      <c r="E5" s="4">
        <v>950000</v>
      </c>
      <c r="F5" s="376">
        <f>950000+5000</f>
        <v>955000</v>
      </c>
      <c r="G5" s="376">
        <f>950000+5000+7000</f>
        <v>962000</v>
      </c>
      <c r="H5" s="421">
        <v>475715</v>
      </c>
      <c r="I5" s="485">
        <f t="shared" ref="I5:I63" si="2">H5/G5</f>
        <v>0.49450623700623703</v>
      </c>
    </row>
    <row r="6" spans="1:10" ht="15.75" thickBot="1" x14ac:dyDescent="0.3">
      <c r="A6" s="5">
        <v>121</v>
      </c>
      <c r="B6" s="6" t="s">
        <v>4</v>
      </c>
      <c r="C6" s="173">
        <v>32000</v>
      </c>
      <c r="D6" s="173">
        <v>32000</v>
      </c>
      <c r="E6" s="173">
        <v>32000</v>
      </c>
      <c r="F6" s="173">
        <v>32000</v>
      </c>
      <c r="G6" s="173">
        <v>32000</v>
      </c>
      <c r="H6" s="422">
        <v>19850</v>
      </c>
      <c r="I6" s="485">
        <f t="shared" si="2"/>
        <v>0.62031250000000004</v>
      </c>
    </row>
    <row r="7" spans="1:10" x14ac:dyDescent="0.25">
      <c r="A7" s="7">
        <v>133</v>
      </c>
      <c r="B7" s="8" t="s">
        <v>5</v>
      </c>
      <c r="C7" s="18">
        <v>1000</v>
      </c>
      <c r="D7" s="18">
        <v>1000</v>
      </c>
      <c r="E7" s="18">
        <v>1000</v>
      </c>
      <c r="F7" s="18">
        <v>1000</v>
      </c>
      <c r="G7" s="18">
        <v>1000</v>
      </c>
      <c r="H7" s="423">
        <v>873</v>
      </c>
      <c r="I7" s="485">
        <f t="shared" si="2"/>
        <v>0.873</v>
      </c>
    </row>
    <row r="8" spans="1:10" x14ac:dyDescent="0.25">
      <c r="A8" s="9">
        <v>133</v>
      </c>
      <c r="B8" s="10" t="s">
        <v>6</v>
      </c>
      <c r="C8" s="19">
        <v>400</v>
      </c>
      <c r="D8" s="19">
        <v>400</v>
      </c>
      <c r="E8" s="19">
        <v>400</v>
      </c>
      <c r="F8" s="19">
        <v>400</v>
      </c>
      <c r="G8" s="19">
        <v>400</v>
      </c>
      <c r="H8" s="424">
        <v>130</v>
      </c>
      <c r="I8" s="485">
        <f t="shared" si="2"/>
        <v>0.32500000000000001</v>
      </c>
    </row>
    <row r="9" spans="1:10" x14ac:dyDescent="0.25">
      <c r="A9" s="9">
        <v>133</v>
      </c>
      <c r="B9" s="10" t="s">
        <v>7</v>
      </c>
      <c r="C9" s="19">
        <v>2000</v>
      </c>
      <c r="D9" s="19">
        <v>2000</v>
      </c>
      <c r="E9" s="19">
        <v>2000</v>
      </c>
      <c r="F9" s="19">
        <v>2000</v>
      </c>
      <c r="G9" s="19">
        <v>2000</v>
      </c>
      <c r="H9" s="424">
        <v>648</v>
      </c>
      <c r="I9" s="485">
        <f t="shared" si="2"/>
        <v>0.32400000000000001</v>
      </c>
    </row>
    <row r="10" spans="1:10" x14ac:dyDescent="0.25">
      <c r="A10" s="9">
        <v>133</v>
      </c>
      <c r="B10" s="10" t="s">
        <v>8</v>
      </c>
      <c r="C10" s="19">
        <v>5000</v>
      </c>
      <c r="D10" s="19">
        <v>5000</v>
      </c>
      <c r="E10" s="19">
        <v>5000</v>
      </c>
      <c r="F10" s="19">
        <v>5000</v>
      </c>
      <c r="G10" s="19">
        <v>5000</v>
      </c>
      <c r="H10" s="424">
        <v>2280</v>
      </c>
      <c r="I10" s="485">
        <f t="shared" si="2"/>
        <v>0.45600000000000002</v>
      </c>
    </row>
    <row r="11" spans="1:10" ht="15.75" thickBot="1" x14ac:dyDescent="0.3">
      <c r="A11" s="12">
        <v>133</v>
      </c>
      <c r="B11" s="13" t="s">
        <v>9</v>
      </c>
      <c r="C11" s="14">
        <v>19000</v>
      </c>
      <c r="D11" s="14">
        <v>19000</v>
      </c>
      <c r="E11" s="14">
        <v>19000</v>
      </c>
      <c r="F11" s="14">
        <v>19000</v>
      </c>
      <c r="G11" s="14">
        <v>19000</v>
      </c>
      <c r="H11" s="425">
        <v>11413</v>
      </c>
      <c r="I11" s="485">
        <f t="shared" si="2"/>
        <v>0.60068421052631582</v>
      </c>
    </row>
    <row r="12" spans="1:10" ht="15.75" thickBot="1" x14ac:dyDescent="0.3">
      <c r="A12" s="1000" t="s">
        <v>10</v>
      </c>
      <c r="B12" s="1001"/>
      <c r="C12" s="1">
        <f t="shared" ref="C12:H12" si="3">SUM(C13:C31)</f>
        <v>159850</v>
      </c>
      <c r="D12" s="1">
        <f t="shared" si="3"/>
        <v>159882</v>
      </c>
      <c r="E12" s="1">
        <f t="shared" si="3"/>
        <v>159882</v>
      </c>
      <c r="F12" s="1">
        <f t="shared" si="3"/>
        <v>159882</v>
      </c>
      <c r="G12" s="1">
        <f t="shared" si="3"/>
        <v>172932</v>
      </c>
      <c r="H12" s="420">
        <f t="shared" si="3"/>
        <v>100573</v>
      </c>
      <c r="I12" s="485">
        <f t="shared" si="2"/>
        <v>0.58157541692688453</v>
      </c>
    </row>
    <row r="13" spans="1:10" x14ac:dyDescent="0.25">
      <c r="A13" s="15">
        <v>212</v>
      </c>
      <c r="B13" s="16" t="s">
        <v>11</v>
      </c>
      <c r="C13" s="17">
        <v>2282</v>
      </c>
      <c r="D13" s="17">
        <v>2282</v>
      </c>
      <c r="E13" s="17">
        <v>2282</v>
      </c>
      <c r="F13" s="17">
        <v>2282</v>
      </c>
      <c r="G13" s="17">
        <v>2282</v>
      </c>
      <c r="H13" s="426">
        <v>1051</v>
      </c>
      <c r="I13" s="485">
        <f t="shared" si="2"/>
        <v>0.46056091148115685</v>
      </c>
    </row>
    <row r="14" spans="1:10" x14ac:dyDescent="0.25">
      <c r="A14" s="7">
        <v>212</v>
      </c>
      <c r="B14" s="8" t="s">
        <v>12</v>
      </c>
      <c r="C14" s="18">
        <v>500</v>
      </c>
      <c r="D14" s="18">
        <v>500</v>
      </c>
      <c r="E14" s="18">
        <v>500</v>
      </c>
      <c r="F14" s="18">
        <v>500</v>
      </c>
      <c r="G14" s="18">
        <v>500</v>
      </c>
      <c r="H14" s="423">
        <v>99</v>
      </c>
      <c r="I14" s="485">
        <f t="shared" si="2"/>
        <v>0.19800000000000001</v>
      </c>
      <c r="J14" t="s">
        <v>384</v>
      </c>
    </row>
    <row r="15" spans="1:10" x14ac:dyDescent="0.25">
      <c r="A15" s="9">
        <v>212</v>
      </c>
      <c r="B15" s="10" t="s">
        <v>13</v>
      </c>
      <c r="C15" s="19">
        <v>3943</v>
      </c>
      <c r="D15" s="377">
        <f>3943+32</f>
        <v>3975</v>
      </c>
      <c r="E15" s="19">
        <f>3943+32</f>
        <v>3975</v>
      </c>
      <c r="F15" s="19">
        <f>3943+32</f>
        <v>3975</v>
      </c>
      <c r="G15" s="19">
        <f>3943+32</f>
        <v>3975</v>
      </c>
      <c r="H15" s="424">
        <v>2306</v>
      </c>
      <c r="I15" s="485">
        <f t="shared" si="2"/>
        <v>0.58012578616352206</v>
      </c>
    </row>
    <row r="16" spans="1:10" x14ac:dyDescent="0.25">
      <c r="A16" s="9">
        <v>212</v>
      </c>
      <c r="B16" s="10" t="s">
        <v>14</v>
      </c>
      <c r="C16" s="20">
        <v>15075</v>
      </c>
      <c r="D16" s="20">
        <f>15075</f>
        <v>15075</v>
      </c>
      <c r="E16" s="20">
        <f>15075</f>
        <v>15075</v>
      </c>
      <c r="F16" s="20">
        <f>15075</f>
        <v>15075</v>
      </c>
      <c r="G16" s="381">
        <f>15075+1300</f>
        <v>16375</v>
      </c>
      <c r="H16" s="427">
        <v>7370</v>
      </c>
      <c r="I16" s="485">
        <f t="shared" si="2"/>
        <v>0.45007633587786261</v>
      </c>
    </row>
    <row r="17" spans="1:12" ht="15.75" thickBot="1" x14ac:dyDescent="0.3">
      <c r="A17" s="21">
        <v>212</v>
      </c>
      <c r="B17" s="22" t="s">
        <v>15</v>
      </c>
      <c r="C17" s="23">
        <v>200</v>
      </c>
      <c r="D17" s="23">
        <v>200</v>
      </c>
      <c r="E17" s="23">
        <v>200</v>
      </c>
      <c r="F17" s="23">
        <v>200</v>
      </c>
      <c r="G17" s="23">
        <v>200</v>
      </c>
      <c r="H17" s="428">
        <v>0</v>
      </c>
      <c r="I17" s="485">
        <f t="shared" si="2"/>
        <v>0</v>
      </c>
      <c r="J17" s="171">
        <f>SUM(H13:H17)</f>
        <v>10826</v>
      </c>
      <c r="K17" s="171">
        <f>SUM(G13:G17)</f>
        <v>23332</v>
      </c>
      <c r="L17" s="171"/>
    </row>
    <row r="18" spans="1:12" ht="15.75" thickBot="1" x14ac:dyDescent="0.3">
      <c r="A18" s="5">
        <v>221</v>
      </c>
      <c r="B18" s="6" t="s">
        <v>16</v>
      </c>
      <c r="C18" s="24">
        <v>11000</v>
      </c>
      <c r="D18" s="24">
        <v>11000</v>
      </c>
      <c r="E18" s="24">
        <v>11000</v>
      </c>
      <c r="F18" s="24">
        <v>11000</v>
      </c>
      <c r="G18" s="24">
        <v>11000</v>
      </c>
      <c r="H18" s="429">
        <v>2180</v>
      </c>
      <c r="I18" s="485">
        <f t="shared" si="2"/>
        <v>0.19818181818181818</v>
      </c>
    </row>
    <row r="19" spans="1:12" ht="15.75" thickBot="1" x14ac:dyDescent="0.3">
      <c r="A19" s="21">
        <v>222</v>
      </c>
      <c r="B19" s="22" t="s">
        <v>17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428">
        <v>0</v>
      </c>
      <c r="I19" s="485">
        <v>0</v>
      </c>
    </row>
    <row r="20" spans="1:12" x14ac:dyDescent="0.25">
      <c r="A20" s="7">
        <v>223</v>
      </c>
      <c r="B20" s="8" t="s">
        <v>18</v>
      </c>
      <c r="C20" s="18">
        <v>900</v>
      </c>
      <c r="D20" s="18">
        <v>900</v>
      </c>
      <c r="E20" s="18">
        <v>900</v>
      </c>
      <c r="F20" s="18">
        <v>900</v>
      </c>
      <c r="G20" s="18">
        <v>900</v>
      </c>
      <c r="H20" s="423">
        <v>427</v>
      </c>
      <c r="I20" s="485">
        <f t="shared" si="2"/>
        <v>0.47444444444444445</v>
      </c>
    </row>
    <row r="21" spans="1:12" x14ac:dyDescent="0.25">
      <c r="A21" s="9">
        <v>223</v>
      </c>
      <c r="B21" s="10" t="s">
        <v>19</v>
      </c>
      <c r="C21" s="19">
        <v>18000</v>
      </c>
      <c r="D21" s="19">
        <v>18000</v>
      </c>
      <c r="E21" s="19">
        <v>18000</v>
      </c>
      <c r="F21" s="19">
        <v>18000</v>
      </c>
      <c r="G21" s="19">
        <v>18000</v>
      </c>
      <c r="H21" s="424">
        <v>8479</v>
      </c>
      <c r="I21" s="485">
        <f t="shared" si="2"/>
        <v>0.47105555555555556</v>
      </c>
    </row>
    <row r="22" spans="1:12" x14ac:dyDescent="0.25">
      <c r="A22" s="9">
        <v>223</v>
      </c>
      <c r="B22" s="10" t="s">
        <v>380</v>
      </c>
      <c r="C22" s="19">
        <v>30000</v>
      </c>
      <c r="D22" s="19">
        <v>30000</v>
      </c>
      <c r="E22" s="19">
        <v>30000</v>
      </c>
      <c r="F22" s="19">
        <v>30000</v>
      </c>
      <c r="G22" s="377">
        <f>30000+1000+5750</f>
        <v>36750</v>
      </c>
      <c r="H22" s="424">
        <v>32586</v>
      </c>
      <c r="I22" s="485">
        <f t="shared" si="2"/>
        <v>0.88669387755102036</v>
      </c>
    </row>
    <row r="23" spans="1:12" x14ac:dyDescent="0.25">
      <c r="A23" s="9">
        <v>223</v>
      </c>
      <c r="B23" s="10" t="s">
        <v>21</v>
      </c>
      <c r="C23" s="19">
        <v>1000</v>
      </c>
      <c r="D23" s="19">
        <v>1000</v>
      </c>
      <c r="E23" s="19">
        <v>1000</v>
      </c>
      <c r="F23" s="19">
        <v>1000</v>
      </c>
      <c r="G23" s="19">
        <v>1000</v>
      </c>
      <c r="H23" s="424">
        <v>248</v>
      </c>
      <c r="I23" s="485">
        <f t="shared" si="2"/>
        <v>0.248</v>
      </c>
    </row>
    <row r="24" spans="1:12" x14ac:dyDescent="0.25">
      <c r="A24" s="9">
        <v>223</v>
      </c>
      <c r="B24" s="10" t="s">
        <v>365</v>
      </c>
      <c r="C24" s="19">
        <v>0</v>
      </c>
      <c r="D24" s="19">
        <v>0</v>
      </c>
      <c r="E24" s="19">
        <v>0</v>
      </c>
      <c r="F24" s="19">
        <v>0</v>
      </c>
      <c r="G24" s="377">
        <v>5000</v>
      </c>
      <c r="H24" s="424">
        <v>5000</v>
      </c>
      <c r="I24" s="485">
        <f t="shared" si="2"/>
        <v>1</v>
      </c>
    </row>
    <row r="25" spans="1:12" x14ac:dyDescent="0.25">
      <c r="A25" s="9">
        <v>223</v>
      </c>
      <c r="B25" s="10" t="s">
        <v>22</v>
      </c>
      <c r="C25" s="19">
        <v>700</v>
      </c>
      <c r="D25" s="19">
        <v>700</v>
      </c>
      <c r="E25" s="19">
        <v>700</v>
      </c>
      <c r="F25" s="19">
        <v>700</v>
      </c>
      <c r="G25" s="19">
        <v>700</v>
      </c>
      <c r="H25" s="424">
        <v>305</v>
      </c>
      <c r="I25" s="485">
        <f t="shared" si="2"/>
        <v>0.43571428571428572</v>
      </c>
    </row>
    <row r="26" spans="1:12" x14ac:dyDescent="0.25">
      <c r="A26" s="9">
        <v>223</v>
      </c>
      <c r="B26" s="10" t="s">
        <v>23</v>
      </c>
      <c r="C26" s="19">
        <v>24000</v>
      </c>
      <c r="D26" s="19">
        <v>24000</v>
      </c>
      <c r="E26" s="19">
        <v>24000</v>
      </c>
      <c r="F26" s="19">
        <v>24000</v>
      </c>
      <c r="G26" s="19">
        <v>24000</v>
      </c>
      <c r="H26" s="424">
        <v>16373</v>
      </c>
      <c r="I26" s="485">
        <f t="shared" si="2"/>
        <v>0.68220833333333331</v>
      </c>
    </row>
    <row r="27" spans="1:12" x14ac:dyDescent="0.25">
      <c r="A27" s="9">
        <v>223</v>
      </c>
      <c r="B27" s="10" t="s">
        <v>24</v>
      </c>
      <c r="C27" s="19">
        <v>21650</v>
      </c>
      <c r="D27" s="19">
        <v>21650</v>
      </c>
      <c r="E27" s="19">
        <v>21650</v>
      </c>
      <c r="F27" s="19">
        <v>21650</v>
      </c>
      <c r="G27" s="19">
        <v>21650</v>
      </c>
      <c r="H27" s="424">
        <v>9541</v>
      </c>
      <c r="I27" s="485">
        <f t="shared" si="2"/>
        <v>0.44069284064665126</v>
      </c>
      <c r="J27" t="s">
        <v>384</v>
      </c>
    </row>
    <row r="28" spans="1:12" x14ac:dyDescent="0.25">
      <c r="A28" s="9">
        <v>223</v>
      </c>
      <c r="B28" s="10" t="s">
        <v>25</v>
      </c>
      <c r="C28" s="19">
        <v>18000</v>
      </c>
      <c r="D28" s="19">
        <v>18000</v>
      </c>
      <c r="E28" s="19">
        <v>18000</v>
      </c>
      <c r="F28" s="19">
        <v>18000</v>
      </c>
      <c r="G28" s="19">
        <v>18000</v>
      </c>
      <c r="H28" s="424">
        <v>8668</v>
      </c>
      <c r="I28" s="485">
        <f t="shared" si="2"/>
        <v>0.48155555555555557</v>
      </c>
    </row>
    <row r="29" spans="1:12" x14ac:dyDescent="0.25">
      <c r="A29" s="9">
        <v>223</v>
      </c>
      <c r="B29" s="10" t="s">
        <v>26</v>
      </c>
      <c r="C29" s="25">
        <v>10000</v>
      </c>
      <c r="D29" s="25">
        <v>10000</v>
      </c>
      <c r="E29" s="25">
        <v>10000</v>
      </c>
      <c r="F29" s="25">
        <v>10000</v>
      </c>
      <c r="G29" s="25">
        <v>10000</v>
      </c>
      <c r="H29" s="430">
        <v>5065</v>
      </c>
      <c r="I29" s="485">
        <f t="shared" si="2"/>
        <v>0.50649999999999995</v>
      </c>
    </row>
    <row r="30" spans="1:12" x14ac:dyDescent="0.25">
      <c r="A30" s="9">
        <v>223</v>
      </c>
      <c r="B30" s="10" t="s">
        <v>27</v>
      </c>
      <c r="C30" s="19">
        <v>2500</v>
      </c>
      <c r="D30" s="19">
        <v>2500</v>
      </c>
      <c r="E30" s="19">
        <v>2500</v>
      </c>
      <c r="F30" s="19">
        <v>2500</v>
      </c>
      <c r="G30" s="19">
        <v>2500</v>
      </c>
      <c r="H30" s="424">
        <v>873</v>
      </c>
      <c r="I30" s="485">
        <f t="shared" si="2"/>
        <v>0.34920000000000001</v>
      </c>
    </row>
    <row r="31" spans="1:12" ht="15.75" thickBot="1" x14ac:dyDescent="0.3">
      <c r="A31" s="12">
        <v>223</v>
      </c>
      <c r="B31" s="13" t="s">
        <v>28</v>
      </c>
      <c r="C31" s="26">
        <v>100</v>
      </c>
      <c r="D31" s="26">
        <v>100</v>
      </c>
      <c r="E31" s="26">
        <v>100</v>
      </c>
      <c r="F31" s="26">
        <v>100</v>
      </c>
      <c r="G31" s="26">
        <v>100</v>
      </c>
      <c r="H31" s="431">
        <v>2</v>
      </c>
      <c r="I31" s="485">
        <f t="shared" si="2"/>
        <v>0.02</v>
      </c>
      <c r="J31" s="171">
        <f>SUM(H18:H31)</f>
        <v>89747</v>
      </c>
      <c r="K31" s="171">
        <f>SUM(G18:G31)</f>
        <v>149600</v>
      </c>
      <c r="L31" s="171"/>
    </row>
    <row r="32" spans="1:12" ht="15.75" thickBot="1" x14ac:dyDescent="0.3">
      <c r="A32" s="404" t="s">
        <v>29</v>
      </c>
      <c r="B32" s="405"/>
      <c r="C32" s="1">
        <f t="shared" ref="C32:H32" si="4">SUM(C33)</f>
        <v>600</v>
      </c>
      <c r="D32" s="1">
        <f t="shared" si="4"/>
        <v>600</v>
      </c>
      <c r="E32" s="1">
        <f t="shared" si="4"/>
        <v>600</v>
      </c>
      <c r="F32" s="1">
        <f t="shared" si="4"/>
        <v>600</v>
      </c>
      <c r="G32" s="1">
        <f t="shared" si="4"/>
        <v>600</v>
      </c>
      <c r="H32" s="420">
        <f t="shared" si="4"/>
        <v>151</v>
      </c>
      <c r="I32" s="485">
        <f t="shared" si="2"/>
        <v>0.25166666666666665</v>
      </c>
    </row>
    <row r="33" spans="1:9" ht="15.75" thickBot="1" x14ac:dyDescent="0.3">
      <c r="A33" s="27">
        <v>240</v>
      </c>
      <c r="B33" s="28" t="s">
        <v>30</v>
      </c>
      <c r="C33" s="23">
        <v>600</v>
      </c>
      <c r="D33" s="23">
        <v>600</v>
      </c>
      <c r="E33" s="23">
        <v>600</v>
      </c>
      <c r="F33" s="23">
        <v>600</v>
      </c>
      <c r="G33" s="23">
        <v>600</v>
      </c>
      <c r="H33" s="428">
        <v>151</v>
      </c>
      <c r="I33" s="485">
        <f t="shared" si="2"/>
        <v>0.25166666666666665</v>
      </c>
    </row>
    <row r="34" spans="1:9" ht="15.75" thickBot="1" x14ac:dyDescent="0.3">
      <c r="A34" s="404" t="s">
        <v>31</v>
      </c>
      <c r="B34" s="405"/>
      <c r="C34" s="1">
        <f t="shared" ref="C34:H34" si="5">SUM(C35:C41)</f>
        <v>39730</v>
      </c>
      <c r="D34" s="1">
        <f t="shared" si="5"/>
        <v>41710</v>
      </c>
      <c r="E34" s="1">
        <f t="shared" si="5"/>
        <v>41710</v>
      </c>
      <c r="F34" s="1">
        <f t="shared" si="5"/>
        <v>42960</v>
      </c>
      <c r="G34" s="1">
        <f t="shared" si="5"/>
        <v>42960</v>
      </c>
      <c r="H34" s="420">
        <f t="shared" si="5"/>
        <v>12611</v>
      </c>
      <c r="I34" s="485">
        <f t="shared" si="2"/>
        <v>0.29355214152700188</v>
      </c>
    </row>
    <row r="35" spans="1:9" x14ac:dyDescent="0.25">
      <c r="A35" s="29">
        <v>292</v>
      </c>
      <c r="B35" s="30" t="s">
        <v>32</v>
      </c>
      <c r="C35" s="31">
        <v>200</v>
      </c>
      <c r="D35" s="31">
        <v>200</v>
      </c>
      <c r="E35" s="31">
        <v>200</v>
      </c>
      <c r="F35" s="31">
        <v>200</v>
      </c>
      <c r="G35" s="31">
        <v>200</v>
      </c>
      <c r="H35" s="432">
        <v>0</v>
      </c>
      <c r="I35" s="485">
        <f t="shared" si="2"/>
        <v>0</v>
      </c>
    </row>
    <row r="36" spans="1:9" x14ac:dyDescent="0.25">
      <c r="A36" s="29">
        <v>292</v>
      </c>
      <c r="B36" s="30" t="s">
        <v>33</v>
      </c>
      <c r="C36" s="31">
        <v>300</v>
      </c>
      <c r="D36" s="31">
        <v>300</v>
      </c>
      <c r="E36" s="31">
        <v>300</v>
      </c>
      <c r="F36" s="383">
        <f>300+250</f>
        <v>550</v>
      </c>
      <c r="G36" s="31">
        <v>550</v>
      </c>
      <c r="H36" s="432">
        <v>255</v>
      </c>
      <c r="I36" s="485">
        <f t="shared" si="2"/>
        <v>0.46363636363636362</v>
      </c>
    </row>
    <row r="37" spans="1:9" x14ac:dyDescent="0.25">
      <c r="A37" s="32">
        <v>292</v>
      </c>
      <c r="B37" s="33" t="s">
        <v>276</v>
      </c>
      <c r="C37" s="34">
        <v>0</v>
      </c>
      <c r="D37" s="374">
        <v>2000</v>
      </c>
      <c r="E37" s="34">
        <v>2000</v>
      </c>
      <c r="F37" s="34">
        <v>2000</v>
      </c>
      <c r="G37" s="34">
        <v>2000</v>
      </c>
      <c r="H37" s="433">
        <v>1998</v>
      </c>
      <c r="I37" s="485">
        <f t="shared" si="2"/>
        <v>0.999</v>
      </c>
    </row>
    <row r="38" spans="1:9" x14ac:dyDescent="0.25">
      <c r="A38" s="32">
        <v>292</v>
      </c>
      <c r="B38" s="33" t="s">
        <v>277</v>
      </c>
      <c r="C38" s="34">
        <v>15000</v>
      </c>
      <c r="D38" s="34">
        <v>15000</v>
      </c>
      <c r="E38" s="34">
        <v>15000</v>
      </c>
      <c r="F38" s="34">
        <v>15000</v>
      </c>
      <c r="G38" s="34">
        <v>15000</v>
      </c>
      <c r="H38" s="433">
        <v>1688</v>
      </c>
      <c r="I38" s="485">
        <f t="shared" si="2"/>
        <v>0.11253333333333333</v>
      </c>
    </row>
    <row r="39" spans="1:9" x14ac:dyDescent="0.25">
      <c r="A39" s="32">
        <v>292</v>
      </c>
      <c r="B39" s="10" t="s">
        <v>35</v>
      </c>
      <c r="C39" s="35">
        <v>230</v>
      </c>
      <c r="D39" s="378">
        <f>230-20</f>
        <v>210</v>
      </c>
      <c r="E39" s="35">
        <f>230-20</f>
        <v>210</v>
      </c>
      <c r="F39" s="35">
        <f>230-20</f>
        <v>210</v>
      </c>
      <c r="G39" s="35">
        <f>230-20</f>
        <v>210</v>
      </c>
      <c r="H39" s="434">
        <v>0</v>
      </c>
      <c r="I39" s="485">
        <f t="shared" si="2"/>
        <v>0</v>
      </c>
    </row>
    <row r="40" spans="1:9" x14ac:dyDescent="0.25">
      <c r="A40" s="32">
        <v>292</v>
      </c>
      <c r="B40" s="33" t="s">
        <v>36</v>
      </c>
      <c r="C40" s="34">
        <v>21000</v>
      </c>
      <c r="D40" s="34">
        <v>21000</v>
      </c>
      <c r="E40" s="34">
        <v>21000</v>
      </c>
      <c r="F40" s="374">
        <f>21000+1000</f>
        <v>22000</v>
      </c>
      <c r="G40" s="413">
        <v>22000</v>
      </c>
      <c r="H40" s="433">
        <v>8612</v>
      </c>
      <c r="I40" s="485">
        <f t="shared" si="2"/>
        <v>0.39145454545454544</v>
      </c>
    </row>
    <row r="41" spans="1:9" ht="15.75" thickBot="1" x14ac:dyDescent="0.3">
      <c r="A41" s="32">
        <v>292</v>
      </c>
      <c r="B41" s="33" t="s">
        <v>37</v>
      </c>
      <c r="C41" s="34">
        <v>3000</v>
      </c>
      <c r="D41" s="34">
        <v>3000</v>
      </c>
      <c r="E41" s="34">
        <v>3000</v>
      </c>
      <c r="F41" s="34">
        <v>3000</v>
      </c>
      <c r="G41" s="34">
        <v>3000</v>
      </c>
      <c r="H41" s="433">
        <v>58</v>
      </c>
      <c r="I41" s="485">
        <f t="shared" si="2"/>
        <v>1.9333333333333334E-2</v>
      </c>
    </row>
    <row r="42" spans="1:9" ht="15.75" thickBot="1" x14ac:dyDescent="0.3">
      <c r="A42" s="36" t="s">
        <v>38</v>
      </c>
      <c r="B42" s="37"/>
      <c r="C42" s="1">
        <f t="shared" ref="C42:H42" si="6">SUM(C43:C60)</f>
        <v>548960</v>
      </c>
      <c r="D42" s="1">
        <f t="shared" si="6"/>
        <v>571181</v>
      </c>
      <c r="E42" s="1">
        <f t="shared" si="6"/>
        <v>576181</v>
      </c>
      <c r="F42" s="1">
        <f t="shared" si="6"/>
        <v>598931</v>
      </c>
      <c r="G42" s="1">
        <f t="shared" si="6"/>
        <v>608041</v>
      </c>
      <c r="H42" s="420">
        <f t="shared" si="6"/>
        <v>281613</v>
      </c>
      <c r="I42" s="485">
        <f t="shared" si="2"/>
        <v>0.46314804429306577</v>
      </c>
    </row>
    <row r="43" spans="1:9" x14ac:dyDescent="0.25">
      <c r="A43" s="38">
        <v>311</v>
      </c>
      <c r="B43" s="39" t="s">
        <v>330</v>
      </c>
      <c r="C43" s="40">
        <v>0</v>
      </c>
      <c r="D43" s="40">
        <v>0</v>
      </c>
      <c r="E43" s="40">
        <v>0</v>
      </c>
      <c r="F43" s="400">
        <v>5950</v>
      </c>
      <c r="G43" s="400">
        <f>5950-3950</f>
        <v>2000</v>
      </c>
      <c r="H43" s="435">
        <v>2000</v>
      </c>
      <c r="I43" s="485">
        <f t="shared" si="2"/>
        <v>1</v>
      </c>
    </row>
    <row r="44" spans="1:9" x14ac:dyDescent="0.25">
      <c r="A44" s="38">
        <v>312</v>
      </c>
      <c r="B44" s="39" t="s">
        <v>39</v>
      </c>
      <c r="C44" s="40">
        <v>3500</v>
      </c>
      <c r="D44" s="40">
        <v>3500</v>
      </c>
      <c r="E44" s="40">
        <v>3500</v>
      </c>
      <c r="F44" s="40">
        <v>3500</v>
      </c>
      <c r="G44" s="40">
        <v>3500</v>
      </c>
      <c r="H44" s="435">
        <v>0</v>
      </c>
      <c r="I44" s="485">
        <f t="shared" si="2"/>
        <v>0</v>
      </c>
    </row>
    <row r="45" spans="1:9" x14ac:dyDescent="0.25">
      <c r="A45" s="41">
        <v>312</v>
      </c>
      <c r="B45" s="10" t="s">
        <v>40</v>
      </c>
      <c r="C45" s="18">
        <v>7200</v>
      </c>
      <c r="D45" s="18">
        <v>7200</v>
      </c>
      <c r="E45" s="18">
        <v>7200</v>
      </c>
      <c r="F45" s="18">
        <v>7200</v>
      </c>
      <c r="G45" s="18">
        <v>7200</v>
      </c>
      <c r="H45" s="423">
        <v>4148</v>
      </c>
      <c r="I45" s="485">
        <f t="shared" si="2"/>
        <v>0.57611111111111113</v>
      </c>
    </row>
    <row r="46" spans="1:9" x14ac:dyDescent="0.25">
      <c r="A46" s="41">
        <v>312</v>
      </c>
      <c r="B46" s="10" t="s">
        <v>41</v>
      </c>
      <c r="C46" s="18">
        <v>3000</v>
      </c>
      <c r="D46" s="18">
        <v>3000</v>
      </c>
      <c r="E46" s="18">
        <v>3000</v>
      </c>
      <c r="F46" s="18">
        <v>3000</v>
      </c>
      <c r="G46" s="18">
        <v>3000</v>
      </c>
      <c r="H46" s="423">
        <v>94</v>
      </c>
      <c r="I46" s="485">
        <f t="shared" si="2"/>
        <v>3.1333333333333331E-2</v>
      </c>
    </row>
    <row r="47" spans="1:9" x14ac:dyDescent="0.25">
      <c r="A47" s="41">
        <v>312</v>
      </c>
      <c r="B47" s="42" t="s">
        <v>200</v>
      </c>
      <c r="C47" s="43">
        <v>61000</v>
      </c>
      <c r="D47" s="43">
        <v>61000</v>
      </c>
      <c r="E47" s="43">
        <v>61000</v>
      </c>
      <c r="F47" s="43">
        <v>61000</v>
      </c>
      <c r="G47" s="43">
        <v>61000</v>
      </c>
      <c r="H47" s="436">
        <f>2124</f>
        <v>2124</v>
      </c>
      <c r="I47" s="485">
        <f t="shared" si="2"/>
        <v>3.481967213114754E-2</v>
      </c>
    </row>
    <row r="48" spans="1:9" x14ac:dyDescent="0.25">
      <c r="A48" s="41">
        <v>312</v>
      </c>
      <c r="B48" s="42" t="s">
        <v>42</v>
      </c>
      <c r="C48" s="18">
        <v>12800</v>
      </c>
      <c r="D48" s="18">
        <v>12800</v>
      </c>
      <c r="E48" s="18">
        <v>12800</v>
      </c>
      <c r="F48" s="18">
        <v>12800</v>
      </c>
      <c r="G48" s="18">
        <v>12800</v>
      </c>
      <c r="H48" s="423">
        <v>6032</v>
      </c>
      <c r="I48" s="485">
        <f t="shared" si="2"/>
        <v>0.47125</v>
      </c>
    </row>
    <row r="49" spans="1:12" x14ac:dyDescent="0.25">
      <c r="A49" s="41">
        <v>312</v>
      </c>
      <c r="B49" s="42" t="s">
        <v>43</v>
      </c>
      <c r="C49" s="18">
        <v>21800</v>
      </c>
      <c r="D49" s="18">
        <v>21800</v>
      </c>
      <c r="E49" s="18">
        <v>21800</v>
      </c>
      <c r="F49" s="18">
        <v>21800</v>
      </c>
      <c r="G49" s="18">
        <v>21800</v>
      </c>
      <c r="H49" s="423">
        <v>10900</v>
      </c>
      <c r="I49" s="485">
        <f t="shared" si="2"/>
        <v>0.5</v>
      </c>
    </row>
    <row r="50" spans="1:12" x14ac:dyDescent="0.25">
      <c r="A50" s="41">
        <v>312</v>
      </c>
      <c r="B50" s="42" t="s">
        <v>44</v>
      </c>
      <c r="C50" s="18">
        <v>7700</v>
      </c>
      <c r="D50" s="18">
        <v>7700</v>
      </c>
      <c r="E50" s="18">
        <v>7700</v>
      </c>
      <c r="F50" s="18">
        <v>7700</v>
      </c>
      <c r="G50" s="416">
        <f>7700-120</f>
        <v>7580</v>
      </c>
      <c r="H50" s="423">
        <v>1911</v>
      </c>
      <c r="I50" s="485">
        <f t="shared" si="2"/>
        <v>0.2521108179419525</v>
      </c>
    </row>
    <row r="51" spans="1:12" x14ac:dyDescent="0.25">
      <c r="A51" s="41">
        <v>312</v>
      </c>
      <c r="B51" s="42" t="s">
        <v>329</v>
      </c>
      <c r="C51" s="18">
        <v>0</v>
      </c>
      <c r="D51" s="18">
        <v>0</v>
      </c>
      <c r="E51" s="18">
        <v>0</v>
      </c>
      <c r="F51" s="379">
        <v>2100</v>
      </c>
      <c r="G51" s="414">
        <v>2100</v>
      </c>
      <c r="H51" s="423">
        <v>2100</v>
      </c>
      <c r="I51" s="485">
        <f t="shared" si="2"/>
        <v>1</v>
      </c>
    </row>
    <row r="52" spans="1:12" x14ac:dyDescent="0.25">
      <c r="A52" s="41">
        <v>312</v>
      </c>
      <c r="B52" s="42" t="s">
        <v>350</v>
      </c>
      <c r="C52" s="18">
        <v>0</v>
      </c>
      <c r="D52" s="18">
        <v>0</v>
      </c>
      <c r="E52" s="18">
        <v>0</v>
      </c>
      <c r="F52" s="18">
        <v>0</v>
      </c>
      <c r="G52" s="379">
        <v>10000</v>
      </c>
      <c r="H52" s="423">
        <v>0</v>
      </c>
      <c r="I52" s="485">
        <f t="shared" si="2"/>
        <v>0</v>
      </c>
    </row>
    <row r="53" spans="1:12" x14ac:dyDescent="0.25">
      <c r="A53" s="41">
        <v>312</v>
      </c>
      <c r="B53" s="42" t="s">
        <v>47</v>
      </c>
      <c r="C53" s="18">
        <v>700</v>
      </c>
      <c r="D53" s="18">
        <v>700</v>
      </c>
      <c r="E53" s="18">
        <v>700</v>
      </c>
      <c r="F53" s="379">
        <v>1400</v>
      </c>
      <c r="G53" s="414">
        <v>1400</v>
      </c>
      <c r="H53" s="423">
        <v>1400</v>
      </c>
      <c r="I53" s="485">
        <f t="shared" si="2"/>
        <v>1</v>
      </c>
    </row>
    <row r="54" spans="1:12" x14ac:dyDescent="0.25">
      <c r="A54" s="44">
        <v>312</v>
      </c>
      <c r="B54" s="39" t="s">
        <v>292</v>
      </c>
      <c r="C54" s="45">
        <v>0</v>
      </c>
      <c r="D54" s="45">
        <v>0</v>
      </c>
      <c r="E54" s="380">
        <v>5000</v>
      </c>
      <c r="F54" s="45">
        <v>5000</v>
      </c>
      <c r="G54" s="380">
        <f>5000+3000</f>
        <v>8000</v>
      </c>
      <c r="H54" s="437">
        <v>5000</v>
      </c>
      <c r="I54" s="485">
        <f t="shared" si="2"/>
        <v>0.625</v>
      </c>
    </row>
    <row r="55" spans="1:12" ht="15" customHeight="1" x14ac:dyDescent="0.25">
      <c r="A55" s="41">
        <v>312</v>
      </c>
      <c r="B55" s="42" t="s">
        <v>46</v>
      </c>
      <c r="C55" s="18">
        <v>15500</v>
      </c>
      <c r="D55" s="18">
        <v>15500</v>
      </c>
      <c r="E55" s="18">
        <v>15500</v>
      </c>
      <c r="F55" s="18">
        <v>15500</v>
      </c>
      <c r="G55" s="18">
        <v>15500</v>
      </c>
      <c r="H55" s="423">
        <v>15485</v>
      </c>
      <c r="I55" s="485">
        <f t="shared" si="2"/>
        <v>0.99903225806451612</v>
      </c>
    </row>
    <row r="56" spans="1:12" x14ac:dyDescent="0.25">
      <c r="A56" s="46">
        <v>312</v>
      </c>
      <c r="B56" s="10" t="s">
        <v>49</v>
      </c>
      <c r="C56" s="19">
        <f t="shared" ref="C56" si="7">3900+220</f>
        <v>4120</v>
      </c>
      <c r="D56" s="377">
        <f>3900+220-220</f>
        <v>3900</v>
      </c>
      <c r="E56" s="19">
        <f>3900+220-220</f>
        <v>3900</v>
      </c>
      <c r="F56" s="19">
        <f>3900+220-220</f>
        <v>3900</v>
      </c>
      <c r="G56" s="377">
        <f>3900+220-220+100</f>
        <v>4000</v>
      </c>
      <c r="H56" s="424">
        <v>3856</v>
      </c>
      <c r="I56" s="485">
        <f t="shared" si="2"/>
        <v>0.96399999999999997</v>
      </c>
    </row>
    <row r="57" spans="1:12" ht="16.5" customHeight="1" x14ac:dyDescent="0.25">
      <c r="A57" s="46">
        <v>312</v>
      </c>
      <c r="B57" s="47" t="s">
        <v>50</v>
      </c>
      <c r="C57" s="20">
        <v>3000</v>
      </c>
      <c r="D57" s="20">
        <v>3000</v>
      </c>
      <c r="E57" s="20">
        <v>3000</v>
      </c>
      <c r="F57" s="20">
        <v>3000</v>
      </c>
      <c r="G57" s="381">
        <f>3000+20</f>
        <v>3020</v>
      </c>
      <c r="H57" s="427">
        <v>3018</v>
      </c>
      <c r="I57" s="485">
        <f t="shared" si="2"/>
        <v>0.99933774834437084</v>
      </c>
    </row>
    <row r="58" spans="1:12" x14ac:dyDescent="0.25">
      <c r="A58" s="46">
        <v>312</v>
      </c>
      <c r="B58" s="48" t="s">
        <v>51</v>
      </c>
      <c r="C58" s="20">
        <v>2200</v>
      </c>
      <c r="D58" s="381">
        <f>2200+404</f>
        <v>2604</v>
      </c>
      <c r="E58" s="20">
        <f>2200+404</f>
        <v>2604</v>
      </c>
      <c r="F58" s="20">
        <f>2200+404</f>
        <v>2604</v>
      </c>
      <c r="G58" s="20">
        <f>2200+404</f>
        <v>2604</v>
      </c>
      <c r="H58" s="427">
        <v>1736</v>
      </c>
      <c r="I58" s="485">
        <f t="shared" si="2"/>
        <v>0.66666666666666663</v>
      </c>
    </row>
    <row r="59" spans="1:12" x14ac:dyDescent="0.25">
      <c r="A59" s="41">
        <v>312</v>
      </c>
      <c r="B59" s="42" t="s">
        <v>320</v>
      </c>
      <c r="C59" s="18">
        <v>0</v>
      </c>
      <c r="D59" s="18">
        <v>0</v>
      </c>
      <c r="E59" s="18">
        <v>0</v>
      </c>
      <c r="F59" s="379">
        <v>14000</v>
      </c>
      <c r="G59" s="414">
        <v>14000</v>
      </c>
      <c r="H59" s="423">
        <v>0</v>
      </c>
      <c r="I59" s="485">
        <f t="shared" si="2"/>
        <v>0</v>
      </c>
    </row>
    <row r="60" spans="1:12" ht="15" customHeight="1" thickBot="1" x14ac:dyDescent="0.3">
      <c r="A60" s="49">
        <v>312</v>
      </c>
      <c r="B60" s="50" t="s">
        <v>52</v>
      </c>
      <c r="C60" s="51">
        <v>406440</v>
      </c>
      <c r="D60" s="407">
        <f>406440+22037</f>
        <v>428477</v>
      </c>
      <c r="E60" s="51">
        <f>406440+22037</f>
        <v>428477</v>
      </c>
      <c r="F60" s="51">
        <f>406440+22037</f>
        <v>428477</v>
      </c>
      <c r="G60" s="406">
        <f>406440+22037+60</f>
        <v>428537</v>
      </c>
      <c r="H60" s="438">
        <v>221809</v>
      </c>
      <c r="I60" s="485">
        <f t="shared" si="2"/>
        <v>0.51759591353838763</v>
      </c>
    </row>
    <row r="61" spans="1:12" ht="20.25" customHeight="1" thickBot="1" x14ac:dyDescent="0.3">
      <c r="A61" s="52" t="s">
        <v>53</v>
      </c>
      <c r="B61" s="53"/>
      <c r="C61" s="54">
        <f t="shared" ref="C61:H61" si="8">SUM(C4+C12+C32+C34+C42)</f>
        <v>1758540</v>
      </c>
      <c r="D61" s="54">
        <f t="shared" si="8"/>
        <v>1782773</v>
      </c>
      <c r="E61" s="54">
        <f t="shared" si="8"/>
        <v>1787773</v>
      </c>
      <c r="F61" s="54">
        <f t="shared" si="8"/>
        <v>1816773</v>
      </c>
      <c r="G61" s="54">
        <f t="shared" si="8"/>
        <v>1845933</v>
      </c>
      <c r="H61" s="439">
        <f t="shared" si="8"/>
        <v>905857</v>
      </c>
      <c r="I61" s="485">
        <f t="shared" si="2"/>
        <v>0.49073124539189666</v>
      </c>
      <c r="J61" s="171">
        <f>G61-F61</f>
        <v>29160</v>
      </c>
      <c r="K61" s="171"/>
    </row>
    <row r="62" spans="1:12" ht="16.5" thickBot="1" x14ac:dyDescent="0.3">
      <c r="A62" s="55" t="s">
        <v>54</v>
      </c>
      <c r="B62" s="56" t="s">
        <v>55</v>
      </c>
      <c r="C62" s="57">
        <v>3000</v>
      </c>
      <c r="D62" s="57">
        <f>3000+350</f>
        <v>3350</v>
      </c>
      <c r="E62" s="57">
        <f>3000+350</f>
        <v>3350</v>
      </c>
      <c r="F62" s="57">
        <f>3000+350</f>
        <v>3350</v>
      </c>
      <c r="G62" s="415">
        <f>3000+350+2770</f>
        <v>6120</v>
      </c>
      <c r="H62" s="440">
        <f>345+287</f>
        <v>632</v>
      </c>
      <c r="I62" s="485">
        <f t="shared" si="2"/>
        <v>0.10326797385620914</v>
      </c>
      <c r="L62" s="60"/>
    </row>
    <row r="63" spans="1:12" ht="15" customHeight="1" thickBot="1" x14ac:dyDescent="0.3">
      <c r="A63" s="52" t="s">
        <v>56</v>
      </c>
      <c r="B63" s="37"/>
      <c r="C63" s="54">
        <f t="shared" ref="C63" si="9">SUM(C61:C62)</f>
        <v>1761540</v>
      </c>
      <c r="D63" s="54">
        <f t="shared" ref="D63:H63" si="10">SUM(D61:D62)</f>
        <v>1786123</v>
      </c>
      <c r="E63" s="54">
        <f t="shared" si="10"/>
        <v>1791123</v>
      </c>
      <c r="F63" s="54">
        <f t="shared" si="10"/>
        <v>1820123</v>
      </c>
      <c r="G63" s="54">
        <f t="shared" ref="G63" si="11">SUM(G61:G62)</f>
        <v>1852053</v>
      </c>
      <c r="H63" s="439">
        <f t="shared" si="10"/>
        <v>906489</v>
      </c>
      <c r="I63" s="485">
        <f t="shared" si="2"/>
        <v>0.48945089584369345</v>
      </c>
      <c r="L63" s="59"/>
    </row>
    <row r="64" spans="1:12" ht="15.75" x14ac:dyDescent="0.25">
      <c r="A64" s="58"/>
      <c r="B64" s="59"/>
      <c r="C64" s="60"/>
      <c r="D64" s="60"/>
      <c r="E64" s="60"/>
      <c r="F64" s="60"/>
      <c r="G64" s="60"/>
      <c r="H64" s="60"/>
      <c r="I64" s="60"/>
      <c r="J64" s="60"/>
      <c r="K64" s="60"/>
    </row>
    <row r="65" spans="1:9" ht="18.75" thickBot="1" x14ac:dyDescent="0.3">
      <c r="A65" s="1002" t="s">
        <v>57</v>
      </c>
      <c r="B65" s="1003"/>
      <c r="C65" s="1003"/>
      <c r="D65" s="1003"/>
      <c r="E65" s="1003"/>
      <c r="F65" s="1003"/>
      <c r="G65" s="1003"/>
      <c r="H65" s="1003"/>
      <c r="I65" s="1003"/>
    </row>
    <row r="66" spans="1:9" ht="15" customHeight="1" x14ac:dyDescent="0.25">
      <c r="A66" s="992" t="s">
        <v>1</v>
      </c>
      <c r="B66" s="993"/>
      <c r="C66" s="996">
        <v>2017</v>
      </c>
      <c r="D66" s="996" t="s">
        <v>235</v>
      </c>
      <c r="E66" s="996" t="s">
        <v>279</v>
      </c>
      <c r="F66" s="996" t="s">
        <v>310</v>
      </c>
      <c r="G66" s="1004" t="s">
        <v>348</v>
      </c>
      <c r="H66" s="998" t="s">
        <v>383</v>
      </c>
      <c r="I66" s="418" t="s">
        <v>280</v>
      </c>
    </row>
    <row r="67" spans="1:9" ht="15.75" thickBot="1" x14ac:dyDescent="0.3">
      <c r="A67" s="994"/>
      <c r="B67" s="995"/>
      <c r="C67" s="997"/>
      <c r="D67" s="997"/>
      <c r="E67" s="997"/>
      <c r="F67" s="997"/>
      <c r="G67" s="1005"/>
      <c r="H67" s="999"/>
      <c r="I67" s="419" t="s">
        <v>281</v>
      </c>
    </row>
    <row r="68" spans="1:9" ht="15.75" thickBot="1" x14ac:dyDescent="0.3">
      <c r="A68" s="61" t="s">
        <v>58</v>
      </c>
      <c r="B68" s="62"/>
      <c r="C68" s="63">
        <f t="shared" ref="C68:H68" si="12">SUM(C69:C73)</f>
        <v>188500</v>
      </c>
      <c r="D68" s="63">
        <f t="shared" si="12"/>
        <v>188480</v>
      </c>
      <c r="E68" s="63">
        <f t="shared" si="12"/>
        <v>188480</v>
      </c>
      <c r="F68" s="63">
        <f t="shared" si="12"/>
        <v>191730</v>
      </c>
      <c r="G68" s="344">
        <f t="shared" ref="G68" si="13">SUM(G69:G73)</f>
        <v>191830</v>
      </c>
      <c r="H68" s="450">
        <f t="shared" si="12"/>
        <v>65945</v>
      </c>
      <c r="I68" s="484">
        <f>H68/G68</f>
        <v>0.34376791951206798</v>
      </c>
    </row>
    <row r="69" spans="1:9" x14ac:dyDescent="0.25">
      <c r="A69" s="64" t="s">
        <v>59</v>
      </c>
      <c r="B69" s="65" t="s">
        <v>60</v>
      </c>
      <c r="C69" s="66">
        <f>80000+16500</f>
        <v>96500</v>
      </c>
      <c r="D69" s="373">
        <f>80000+16500+200</f>
        <v>96700</v>
      </c>
      <c r="E69" s="66">
        <f>80000+16500+200</f>
        <v>96700</v>
      </c>
      <c r="F69" s="373">
        <f>80000+16500+200+250</f>
        <v>96950</v>
      </c>
      <c r="G69" s="345">
        <f>80000+16500+200+250</f>
        <v>96950</v>
      </c>
      <c r="H69" s="451">
        <v>31452</v>
      </c>
      <c r="I69" s="484">
        <f t="shared" ref="I69:I121" si="14">H69/G69</f>
        <v>0.32441464672511605</v>
      </c>
    </row>
    <row r="70" spans="1:9" x14ac:dyDescent="0.25">
      <c r="A70" s="67" t="s">
        <v>61</v>
      </c>
      <c r="B70" s="42" t="s">
        <v>209</v>
      </c>
      <c r="C70" s="68">
        <f>7100+10600+32300</f>
        <v>50000</v>
      </c>
      <c r="D70" s="68">
        <f t="shared" ref="D70:E70" si="15">7100+10600+32300</f>
        <v>50000</v>
      </c>
      <c r="E70" s="68">
        <f t="shared" si="15"/>
        <v>50000</v>
      </c>
      <c r="F70" s="409">
        <f>7100+10600+32300+3000</f>
        <v>53000</v>
      </c>
      <c r="G70" s="441">
        <f>7100+10600+32300+3000</f>
        <v>53000</v>
      </c>
      <c r="H70" s="452">
        <v>17180</v>
      </c>
      <c r="I70" s="484">
        <f t="shared" si="14"/>
        <v>0.32415094339622641</v>
      </c>
    </row>
    <row r="71" spans="1:9" x14ac:dyDescent="0.25">
      <c r="A71" s="67" t="s">
        <v>62</v>
      </c>
      <c r="B71" s="42" t="s">
        <v>208</v>
      </c>
      <c r="C71" s="68">
        <v>2000</v>
      </c>
      <c r="D71" s="68">
        <v>2000</v>
      </c>
      <c r="E71" s="68">
        <v>2000</v>
      </c>
      <c r="F71" s="68">
        <v>2000</v>
      </c>
      <c r="G71" s="346">
        <v>2000</v>
      </c>
      <c r="H71" s="452">
        <v>1655</v>
      </c>
      <c r="I71" s="484">
        <f t="shared" si="14"/>
        <v>0.82750000000000001</v>
      </c>
    </row>
    <row r="72" spans="1:9" x14ac:dyDescent="0.25">
      <c r="A72" s="69" t="s">
        <v>63</v>
      </c>
      <c r="B72" s="42" t="s">
        <v>64</v>
      </c>
      <c r="C72" s="34">
        <f>3000+900+220+32380</f>
        <v>36500</v>
      </c>
      <c r="D72" s="374">
        <f>3000+900+220+32380-220</f>
        <v>36280</v>
      </c>
      <c r="E72" s="34">
        <f>3000+900+220+32380-220</f>
        <v>36280</v>
      </c>
      <c r="F72" s="34">
        <f>3000+900+220+32380-220</f>
        <v>36280</v>
      </c>
      <c r="G72" s="442">
        <f>3000+900+220+32380-220+100</f>
        <v>36380</v>
      </c>
      <c r="H72" s="433">
        <v>15658</v>
      </c>
      <c r="I72" s="484">
        <f t="shared" si="14"/>
        <v>0.43040131940626719</v>
      </c>
    </row>
    <row r="73" spans="1:9" ht="15.75" thickBot="1" x14ac:dyDescent="0.3">
      <c r="A73" s="70" t="s">
        <v>65</v>
      </c>
      <c r="B73" s="3" t="s">
        <v>66</v>
      </c>
      <c r="C73" s="71">
        <v>3500</v>
      </c>
      <c r="D73" s="71">
        <v>3500</v>
      </c>
      <c r="E73" s="71">
        <v>3500</v>
      </c>
      <c r="F73" s="71">
        <v>3500</v>
      </c>
      <c r="G73" s="348">
        <v>3500</v>
      </c>
      <c r="H73" s="453">
        <v>0</v>
      </c>
      <c r="I73" s="484">
        <f t="shared" si="14"/>
        <v>0</v>
      </c>
    </row>
    <row r="74" spans="1:9" ht="15.75" thickBot="1" x14ac:dyDescent="0.3">
      <c r="A74" s="72" t="s">
        <v>67</v>
      </c>
      <c r="B74" s="73"/>
      <c r="C74" s="63">
        <f t="shared" ref="C74:H74" si="16">SUM(C75)</f>
        <v>1500</v>
      </c>
      <c r="D74" s="63">
        <f t="shared" si="16"/>
        <v>1480</v>
      </c>
      <c r="E74" s="63">
        <f t="shared" si="16"/>
        <v>1480</v>
      </c>
      <c r="F74" s="63">
        <f t="shared" si="16"/>
        <v>1480</v>
      </c>
      <c r="G74" s="344">
        <f t="shared" si="16"/>
        <v>1480</v>
      </c>
      <c r="H74" s="450">
        <f t="shared" si="16"/>
        <v>138</v>
      </c>
      <c r="I74" s="484">
        <f t="shared" si="14"/>
        <v>9.3243243243243248E-2</v>
      </c>
    </row>
    <row r="75" spans="1:9" ht="15.75" thickBot="1" x14ac:dyDescent="0.3">
      <c r="A75" s="74" t="s">
        <v>68</v>
      </c>
      <c r="B75" s="59" t="s">
        <v>69</v>
      </c>
      <c r="C75" s="75">
        <v>1500</v>
      </c>
      <c r="D75" s="375">
        <f>1500-20</f>
        <v>1480</v>
      </c>
      <c r="E75" s="75">
        <f>1500-20</f>
        <v>1480</v>
      </c>
      <c r="F75" s="75">
        <f>1500-20</f>
        <v>1480</v>
      </c>
      <c r="G75" s="349">
        <f>1500-20</f>
        <v>1480</v>
      </c>
      <c r="H75" s="454">
        <v>138</v>
      </c>
      <c r="I75" s="484">
        <f t="shared" si="14"/>
        <v>9.3243243243243248E-2</v>
      </c>
    </row>
    <row r="76" spans="1:9" ht="15.75" thickBot="1" x14ac:dyDescent="0.3">
      <c r="A76" s="72" t="s">
        <v>70</v>
      </c>
      <c r="B76" s="73"/>
      <c r="C76" s="63">
        <f t="shared" ref="C76:H76" si="17">SUM(C77:C78)</f>
        <v>10900</v>
      </c>
      <c r="D76" s="63">
        <f t="shared" si="17"/>
        <v>10900</v>
      </c>
      <c r="E76" s="63">
        <f t="shared" si="17"/>
        <v>10900</v>
      </c>
      <c r="F76" s="63">
        <f t="shared" si="17"/>
        <v>11600</v>
      </c>
      <c r="G76" s="344">
        <f t="shared" ref="G76" si="18">SUM(G77:G78)</f>
        <v>11600</v>
      </c>
      <c r="H76" s="450">
        <f t="shared" si="17"/>
        <v>3822</v>
      </c>
      <c r="I76" s="484">
        <f t="shared" si="14"/>
        <v>0.32948275862068965</v>
      </c>
    </row>
    <row r="77" spans="1:9" x14ac:dyDescent="0.25">
      <c r="A77" s="76" t="s">
        <v>71</v>
      </c>
      <c r="B77" s="77" t="s">
        <v>72</v>
      </c>
      <c r="C77" s="78">
        <v>10600</v>
      </c>
      <c r="D77" s="78">
        <v>10600</v>
      </c>
      <c r="E77" s="78">
        <v>10600</v>
      </c>
      <c r="F77" s="372">
        <f>10600+700</f>
        <v>11300</v>
      </c>
      <c r="G77" s="443">
        <f>10600+700</f>
        <v>11300</v>
      </c>
      <c r="H77" s="455">
        <v>3740</v>
      </c>
      <c r="I77" s="484">
        <f t="shared" si="14"/>
        <v>0.33097345132743361</v>
      </c>
    </row>
    <row r="78" spans="1:9" ht="15.75" thickBot="1" x14ac:dyDescent="0.3">
      <c r="A78" s="79" t="s">
        <v>73</v>
      </c>
      <c r="B78" s="80" t="s">
        <v>74</v>
      </c>
      <c r="C78" s="81">
        <v>300</v>
      </c>
      <c r="D78" s="81">
        <v>300</v>
      </c>
      <c r="E78" s="81">
        <v>300</v>
      </c>
      <c r="F78" s="81">
        <v>300</v>
      </c>
      <c r="G78" s="351">
        <v>300</v>
      </c>
      <c r="H78" s="456">
        <v>82</v>
      </c>
      <c r="I78" s="484">
        <f t="shared" si="14"/>
        <v>0.27333333333333332</v>
      </c>
    </row>
    <row r="79" spans="1:9" ht="15.75" thickBot="1" x14ac:dyDescent="0.3">
      <c r="A79" s="61" t="s">
        <v>75</v>
      </c>
      <c r="B79" s="82"/>
      <c r="C79" s="63">
        <f t="shared" ref="C79:H79" si="19">SUM(C80:C83)</f>
        <v>57000</v>
      </c>
      <c r="D79" s="63">
        <f t="shared" si="19"/>
        <v>57000</v>
      </c>
      <c r="E79" s="63">
        <f t="shared" si="19"/>
        <v>57000</v>
      </c>
      <c r="F79" s="63">
        <f t="shared" si="19"/>
        <v>57000</v>
      </c>
      <c r="G79" s="344">
        <f t="shared" ref="G79" si="20">SUM(G80:G83)</f>
        <v>66900</v>
      </c>
      <c r="H79" s="450">
        <f t="shared" si="19"/>
        <v>25006</v>
      </c>
      <c r="I79" s="484">
        <f t="shared" si="14"/>
        <v>0.37378176382660688</v>
      </c>
    </row>
    <row r="80" spans="1:9" x14ac:dyDescent="0.25">
      <c r="A80" s="83" t="s">
        <v>76</v>
      </c>
      <c r="B80" s="30" t="s">
        <v>77</v>
      </c>
      <c r="C80" s="31">
        <f>15900+1500+6000</f>
        <v>23400</v>
      </c>
      <c r="D80" s="31">
        <f t="shared" ref="D80:G80" si="21">15900+1500+6000</f>
        <v>23400</v>
      </c>
      <c r="E80" s="31">
        <f t="shared" si="21"/>
        <v>23400</v>
      </c>
      <c r="F80" s="31">
        <f t="shared" si="21"/>
        <v>23400</v>
      </c>
      <c r="G80" s="352">
        <f t="shared" si="21"/>
        <v>23400</v>
      </c>
      <c r="H80" s="432">
        <v>10543</v>
      </c>
      <c r="I80" s="484">
        <f t="shared" si="14"/>
        <v>0.45055555555555554</v>
      </c>
    </row>
    <row r="81" spans="1:9" x14ac:dyDescent="0.25">
      <c r="A81" s="69" t="s">
        <v>78</v>
      </c>
      <c r="B81" s="42" t="s">
        <v>79</v>
      </c>
      <c r="C81" s="68">
        <v>18500</v>
      </c>
      <c r="D81" s="68">
        <v>18500</v>
      </c>
      <c r="E81" s="68">
        <v>18500</v>
      </c>
      <c r="F81" s="68">
        <v>18500</v>
      </c>
      <c r="G81" s="444">
        <f>18500-100</f>
        <v>18400</v>
      </c>
      <c r="H81" s="452">
        <v>9468</v>
      </c>
      <c r="I81" s="484">
        <f t="shared" si="14"/>
        <v>0.51456521739130434</v>
      </c>
    </row>
    <row r="82" spans="1:9" x14ac:dyDescent="0.25">
      <c r="A82" s="69" t="s">
        <v>80</v>
      </c>
      <c r="B82" s="42" t="s">
        <v>81</v>
      </c>
      <c r="C82" s="34">
        <v>15000</v>
      </c>
      <c r="D82" s="34">
        <v>15000</v>
      </c>
      <c r="E82" s="34">
        <v>15000</v>
      </c>
      <c r="F82" s="34">
        <v>15000</v>
      </c>
      <c r="G82" s="442">
        <f>15000+10000</f>
        <v>25000</v>
      </c>
      <c r="H82" s="433">
        <v>4995</v>
      </c>
      <c r="I82" s="484">
        <f t="shared" si="14"/>
        <v>0.19980000000000001</v>
      </c>
    </row>
    <row r="83" spans="1:9" ht="15.75" thickBot="1" x14ac:dyDescent="0.3">
      <c r="A83" s="69" t="s">
        <v>82</v>
      </c>
      <c r="B83" s="42" t="s">
        <v>83</v>
      </c>
      <c r="C83" s="34">
        <v>100</v>
      </c>
      <c r="D83" s="34">
        <v>100</v>
      </c>
      <c r="E83" s="34">
        <v>100</v>
      </c>
      <c r="F83" s="34">
        <v>100</v>
      </c>
      <c r="G83" s="347">
        <v>100</v>
      </c>
      <c r="H83" s="433">
        <v>0</v>
      </c>
      <c r="I83" s="484">
        <f t="shared" si="14"/>
        <v>0</v>
      </c>
    </row>
    <row r="84" spans="1:9" ht="15.75" thickBot="1" x14ac:dyDescent="0.3">
      <c r="A84" s="1006" t="s">
        <v>84</v>
      </c>
      <c r="B84" s="1007"/>
      <c r="C84" s="63">
        <f t="shared" ref="C84:H84" si="22">SUM(C85:C88)</f>
        <v>88750</v>
      </c>
      <c r="D84" s="63">
        <f t="shared" si="22"/>
        <v>88750</v>
      </c>
      <c r="E84" s="63">
        <f t="shared" si="22"/>
        <v>88750</v>
      </c>
      <c r="F84" s="63">
        <f t="shared" si="22"/>
        <v>90050</v>
      </c>
      <c r="G84" s="344">
        <f t="shared" ref="G84" si="23">SUM(G85:G88)</f>
        <v>90950</v>
      </c>
      <c r="H84" s="450">
        <f t="shared" si="22"/>
        <v>34822</v>
      </c>
      <c r="I84" s="484">
        <f t="shared" si="14"/>
        <v>0.38286970863111602</v>
      </c>
    </row>
    <row r="85" spans="1:9" x14ac:dyDescent="0.25">
      <c r="A85" s="84" t="s">
        <v>85</v>
      </c>
      <c r="B85" s="85" t="s">
        <v>86</v>
      </c>
      <c r="C85" s="86">
        <f>25000+20000</f>
        <v>45000</v>
      </c>
      <c r="D85" s="86">
        <f t="shared" ref="D85:F85" si="24">25000+20000</f>
        <v>45000</v>
      </c>
      <c r="E85" s="86">
        <f t="shared" si="24"/>
        <v>45000</v>
      </c>
      <c r="F85" s="86">
        <f t="shared" si="24"/>
        <v>45000</v>
      </c>
      <c r="G85" s="445">
        <f>25000+20000+900</f>
        <v>45900</v>
      </c>
      <c r="H85" s="457">
        <v>18755</v>
      </c>
      <c r="I85" s="484">
        <f t="shared" si="14"/>
        <v>0.40860566448801744</v>
      </c>
    </row>
    <row r="86" spans="1:9" x14ac:dyDescent="0.25">
      <c r="A86" s="69" t="s">
        <v>87</v>
      </c>
      <c r="B86" s="42" t="s">
        <v>88</v>
      </c>
      <c r="C86" s="68">
        <v>36000</v>
      </c>
      <c r="D86" s="68">
        <v>36000</v>
      </c>
      <c r="E86" s="68">
        <v>36000</v>
      </c>
      <c r="F86" s="68">
        <v>36000</v>
      </c>
      <c r="G86" s="346">
        <v>36000</v>
      </c>
      <c r="H86" s="452">
        <v>14397</v>
      </c>
      <c r="I86" s="484">
        <f t="shared" si="14"/>
        <v>0.39991666666666664</v>
      </c>
    </row>
    <row r="87" spans="1:9" x14ac:dyDescent="0.25">
      <c r="A87" s="74" t="s">
        <v>89</v>
      </c>
      <c r="B87" s="87" t="s">
        <v>90</v>
      </c>
      <c r="C87" s="88">
        <v>950</v>
      </c>
      <c r="D87" s="88">
        <v>950</v>
      </c>
      <c r="E87" s="88">
        <v>950</v>
      </c>
      <c r="F87" s="88">
        <v>950</v>
      </c>
      <c r="G87" s="354">
        <v>950</v>
      </c>
      <c r="H87" s="458">
        <v>39</v>
      </c>
      <c r="I87" s="484">
        <f t="shared" si="14"/>
        <v>4.1052631578947368E-2</v>
      </c>
    </row>
    <row r="88" spans="1:9" ht="15.75" thickBot="1" x14ac:dyDescent="0.3">
      <c r="A88" s="89" t="s">
        <v>91</v>
      </c>
      <c r="B88" s="90" t="s">
        <v>204</v>
      </c>
      <c r="C88" s="91">
        <f>5700+1000+100</f>
        <v>6800</v>
      </c>
      <c r="D88" s="91">
        <f t="shared" ref="D88:E88" si="25">5700+1000+100</f>
        <v>6800</v>
      </c>
      <c r="E88" s="91">
        <f t="shared" si="25"/>
        <v>6800</v>
      </c>
      <c r="F88" s="384">
        <f>5700+1000+100+300+1000</f>
        <v>8100</v>
      </c>
      <c r="G88" s="446">
        <f>5700+1000+100+300+1000</f>
        <v>8100</v>
      </c>
      <c r="H88" s="459">
        <v>1631</v>
      </c>
      <c r="I88" s="484">
        <f t="shared" si="14"/>
        <v>0.20135802469135802</v>
      </c>
    </row>
    <row r="89" spans="1:9" ht="15.75" thickBot="1" x14ac:dyDescent="0.3">
      <c r="A89" s="61" t="s">
        <v>92</v>
      </c>
      <c r="B89" s="82"/>
      <c r="C89" s="63">
        <f t="shared" ref="C89:H89" si="26">SUM(C90:C92)</f>
        <v>144000</v>
      </c>
      <c r="D89" s="63">
        <f t="shared" si="26"/>
        <v>145232</v>
      </c>
      <c r="E89" s="63">
        <f t="shared" si="26"/>
        <v>145232</v>
      </c>
      <c r="F89" s="63">
        <f t="shared" si="26"/>
        <v>149932</v>
      </c>
      <c r="G89" s="344">
        <f t="shared" ref="G89" si="27">SUM(G90:G92)</f>
        <v>150732</v>
      </c>
      <c r="H89" s="450">
        <f t="shared" si="26"/>
        <v>55512</v>
      </c>
      <c r="I89" s="484">
        <f t="shared" si="14"/>
        <v>0.36828278003343684</v>
      </c>
    </row>
    <row r="90" spans="1:9" x14ac:dyDescent="0.25">
      <c r="A90" s="83" t="s">
        <v>93</v>
      </c>
      <c r="B90" s="65" t="s">
        <v>94</v>
      </c>
      <c r="C90" s="92">
        <v>108000</v>
      </c>
      <c r="D90" s="371">
        <f>108000+1232</f>
        <v>109232</v>
      </c>
      <c r="E90" s="92">
        <f>108000+1232</f>
        <v>109232</v>
      </c>
      <c r="F90" s="371">
        <f>108000+1232+4700</f>
        <v>113932</v>
      </c>
      <c r="G90" s="447">
        <f>108000+1232+4700</f>
        <v>113932</v>
      </c>
      <c r="H90" s="451">
        <v>40476</v>
      </c>
      <c r="I90" s="484">
        <f t="shared" si="14"/>
        <v>0.35526454376294631</v>
      </c>
    </row>
    <row r="91" spans="1:9" x14ac:dyDescent="0.25">
      <c r="A91" s="93" t="s">
        <v>95</v>
      </c>
      <c r="B91" s="42" t="s">
        <v>96</v>
      </c>
      <c r="C91" s="94">
        <v>19000</v>
      </c>
      <c r="D91" s="94">
        <v>19000</v>
      </c>
      <c r="E91" s="94">
        <v>19000</v>
      </c>
      <c r="F91" s="94">
        <v>19000</v>
      </c>
      <c r="G91" s="444">
        <f>19000+800</f>
        <v>19800</v>
      </c>
      <c r="H91" s="452">
        <v>9590</v>
      </c>
      <c r="I91" s="484">
        <f t="shared" si="14"/>
        <v>0.48434343434343435</v>
      </c>
    </row>
    <row r="92" spans="1:9" ht="15.75" thickBot="1" x14ac:dyDescent="0.3">
      <c r="A92" s="95" t="s">
        <v>97</v>
      </c>
      <c r="B92" s="90" t="s">
        <v>98</v>
      </c>
      <c r="C92" s="209">
        <f>2000+14000+400+600</f>
        <v>17000</v>
      </c>
      <c r="D92" s="209">
        <f t="shared" ref="D92:G92" si="28">2000+14000+400+600</f>
        <v>17000</v>
      </c>
      <c r="E92" s="209">
        <f t="shared" si="28"/>
        <v>17000</v>
      </c>
      <c r="F92" s="209">
        <f t="shared" si="28"/>
        <v>17000</v>
      </c>
      <c r="G92" s="356">
        <f t="shared" si="28"/>
        <v>17000</v>
      </c>
      <c r="H92" s="460">
        <v>5446</v>
      </c>
      <c r="I92" s="484">
        <f t="shared" si="14"/>
        <v>0.32035294117647056</v>
      </c>
    </row>
    <row r="93" spans="1:9" ht="15.75" thickBot="1" x14ac:dyDescent="0.3">
      <c r="A93" s="97" t="s">
        <v>99</v>
      </c>
      <c r="B93" s="98"/>
      <c r="C93" s="99">
        <f t="shared" ref="C93:E93" si="29">SUM(C94:C96)</f>
        <v>450</v>
      </c>
      <c r="D93" s="99">
        <f t="shared" si="29"/>
        <v>530</v>
      </c>
      <c r="E93" s="99">
        <f t="shared" si="29"/>
        <v>530</v>
      </c>
      <c r="F93" s="99">
        <f t="shared" ref="F93:H93" si="30">SUM(F94:F96)</f>
        <v>530</v>
      </c>
      <c r="G93" s="357">
        <f t="shared" ref="G93" si="31">SUM(G94:G96)</f>
        <v>620</v>
      </c>
      <c r="H93" s="461">
        <f t="shared" si="30"/>
        <v>279</v>
      </c>
      <c r="I93" s="484">
        <f t="shared" si="14"/>
        <v>0.45</v>
      </c>
    </row>
    <row r="94" spans="1:9" x14ac:dyDescent="0.25">
      <c r="A94" s="76" t="s">
        <v>100</v>
      </c>
      <c r="B94" s="85" t="s">
        <v>101</v>
      </c>
      <c r="C94" s="100">
        <v>50</v>
      </c>
      <c r="D94" s="100">
        <v>50</v>
      </c>
      <c r="E94" s="100">
        <v>50</v>
      </c>
      <c r="F94" s="100">
        <v>50</v>
      </c>
      <c r="G94" s="353">
        <v>50</v>
      </c>
      <c r="H94" s="457">
        <v>50</v>
      </c>
      <c r="I94" s="484">
        <f t="shared" si="14"/>
        <v>1</v>
      </c>
    </row>
    <row r="95" spans="1:9" x14ac:dyDescent="0.25">
      <c r="A95" s="93" t="s">
        <v>102</v>
      </c>
      <c r="B95" s="42" t="s">
        <v>103</v>
      </c>
      <c r="C95" s="94">
        <v>50</v>
      </c>
      <c r="D95" s="382">
        <f>50+80</f>
        <v>130</v>
      </c>
      <c r="E95" s="94">
        <f>50+80</f>
        <v>130</v>
      </c>
      <c r="F95" s="94">
        <f>50+80</f>
        <v>130</v>
      </c>
      <c r="G95" s="346">
        <f>50+80</f>
        <v>130</v>
      </c>
      <c r="H95" s="452">
        <v>78</v>
      </c>
      <c r="I95" s="484">
        <f t="shared" si="14"/>
        <v>0.6</v>
      </c>
    </row>
    <row r="96" spans="1:9" ht="15.75" thickBot="1" x14ac:dyDescent="0.3">
      <c r="A96" s="95" t="s">
        <v>104</v>
      </c>
      <c r="B96" s="90" t="s">
        <v>105</v>
      </c>
      <c r="C96" s="96">
        <v>350</v>
      </c>
      <c r="D96" s="96">
        <v>350</v>
      </c>
      <c r="E96" s="96">
        <v>350</v>
      </c>
      <c r="F96" s="96">
        <v>350</v>
      </c>
      <c r="G96" s="476">
        <f>350+90</f>
        <v>440</v>
      </c>
      <c r="H96" s="459">
        <v>151</v>
      </c>
      <c r="I96" s="484">
        <f t="shared" si="14"/>
        <v>0.3431818181818182</v>
      </c>
    </row>
    <row r="97" spans="1:10" ht="15.75" thickBot="1" x14ac:dyDescent="0.3">
      <c r="A97" s="101" t="s">
        <v>106</v>
      </c>
      <c r="B97" s="102"/>
      <c r="C97" s="103">
        <f t="shared" ref="C97:H97" si="32">SUM(C98:C102)</f>
        <v>108100</v>
      </c>
      <c r="D97" s="103">
        <f t="shared" si="32"/>
        <v>108100</v>
      </c>
      <c r="E97" s="103">
        <f t="shared" si="32"/>
        <v>113100</v>
      </c>
      <c r="F97" s="103">
        <f t="shared" si="32"/>
        <v>121150</v>
      </c>
      <c r="G97" s="358">
        <f t="shared" ref="G97" si="33">SUM(G98:G102)</f>
        <v>126750</v>
      </c>
      <c r="H97" s="462">
        <f t="shared" si="32"/>
        <v>76459</v>
      </c>
      <c r="I97" s="484">
        <f t="shared" si="14"/>
        <v>0.60322682445759368</v>
      </c>
    </row>
    <row r="98" spans="1:10" x14ac:dyDescent="0.25">
      <c r="A98" s="84" t="s">
        <v>107</v>
      </c>
      <c r="B98" s="85" t="s">
        <v>108</v>
      </c>
      <c r="C98" s="86">
        <f>9300+7300</f>
        <v>16600</v>
      </c>
      <c r="D98" s="86">
        <f t="shared" ref="D98:G98" si="34">9300+7300</f>
        <v>16600</v>
      </c>
      <c r="E98" s="86">
        <f t="shared" si="34"/>
        <v>16600</v>
      </c>
      <c r="F98" s="86">
        <f t="shared" si="34"/>
        <v>16600</v>
      </c>
      <c r="G98" s="353">
        <f t="shared" si="34"/>
        <v>16600</v>
      </c>
      <c r="H98" s="457">
        <v>6988</v>
      </c>
      <c r="I98" s="484">
        <f t="shared" si="14"/>
        <v>0.42096385542168674</v>
      </c>
    </row>
    <row r="99" spans="1:10" x14ac:dyDescent="0.25">
      <c r="A99" s="104" t="s">
        <v>109</v>
      </c>
      <c r="B99" s="105" t="s">
        <v>351</v>
      </c>
      <c r="C99" s="31">
        <f>12600+1800+2000+48600</f>
        <v>65000</v>
      </c>
      <c r="D99" s="31">
        <f t="shared" ref="D99" si="35">12600+1800+2000+48600</f>
        <v>65000</v>
      </c>
      <c r="E99" s="383">
        <f>12600+1800+2000+48600+5820</f>
        <v>70820</v>
      </c>
      <c r="F99" s="383">
        <f>12600+1800+2000+48600+5820+2100+5950</f>
        <v>78870</v>
      </c>
      <c r="G99" s="448">
        <f>12600+1800+2000+48600+5820+2100+5950+5750-3950+600+3200</f>
        <v>84470</v>
      </c>
      <c r="H99" s="432">
        <v>60374</v>
      </c>
      <c r="I99" s="484">
        <f t="shared" si="14"/>
        <v>0.71473896057771991</v>
      </c>
    </row>
    <row r="100" spans="1:10" x14ac:dyDescent="0.25">
      <c r="A100" s="104" t="s">
        <v>111</v>
      </c>
      <c r="B100" s="65" t="s">
        <v>112</v>
      </c>
      <c r="C100" s="66">
        <f>2800+700</f>
        <v>3500</v>
      </c>
      <c r="D100" s="66">
        <f t="shared" ref="D100:G100" si="36">2800+700</f>
        <v>3500</v>
      </c>
      <c r="E100" s="66">
        <f t="shared" si="36"/>
        <v>3500</v>
      </c>
      <c r="F100" s="66">
        <f t="shared" si="36"/>
        <v>3500</v>
      </c>
      <c r="G100" s="345">
        <f t="shared" si="36"/>
        <v>3500</v>
      </c>
      <c r="H100" s="451">
        <v>2441</v>
      </c>
      <c r="I100" s="484">
        <f t="shared" si="14"/>
        <v>0.6974285714285714</v>
      </c>
    </row>
    <row r="101" spans="1:10" x14ac:dyDescent="0.25">
      <c r="A101" s="104" t="s">
        <v>113</v>
      </c>
      <c r="B101" s="65" t="s">
        <v>114</v>
      </c>
      <c r="C101" s="66">
        <f>7400+3000+2600</f>
        <v>13000</v>
      </c>
      <c r="D101" s="66">
        <f t="shared" ref="D101:G101" si="37">7400+3000+2600</f>
        <v>13000</v>
      </c>
      <c r="E101" s="66">
        <f t="shared" si="37"/>
        <v>13000</v>
      </c>
      <c r="F101" s="66">
        <f t="shared" si="37"/>
        <v>13000</v>
      </c>
      <c r="G101" s="345">
        <f t="shared" si="37"/>
        <v>13000</v>
      </c>
      <c r="H101" s="451">
        <v>2989</v>
      </c>
      <c r="I101" s="484">
        <f t="shared" si="14"/>
        <v>0.22992307692307692</v>
      </c>
    </row>
    <row r="102" spans="1:10" ht="15.75" thickBot="1" x14ac:dyDescent="0.3">
      <c r="A102" s="89" t="s">
        <v>115</v>
      </c>
      <c r="B102" s="90" t="s">
        <v>203</v>
      </c>
      <c r="C102" s="91">
        <v>10000</v>
      </c>
      <c r="D102" s="91">
        <v>10000</v>
      </c>
      <c r="E102" s="384">
        <f>10000-820</f>
        <v>9180</v>
      </c>
      <c r="F102" s="91">
        <f>10000-820</f>
        <v>9180</v>
      </c>
      <c r="G102" s="446">
        <f>10000-820</f>
        <v>9180</v>
      </c>
      <c r="H102" s="459">
        <v>3667</v>
      </c>
      <c r="I102" s="484">
        <f t="shared" si="14"/>
        <v>0.3994553376906318</v>
      </c>
    </row>
    <row r="103" spans="1:10" ht="15.75" thickBot="1" x14ac:dyDescent="0.3">
      <c r="A103" s="72" t="s">
        <v>116</v>
      </c>
      <c r="B103" s="73"/>
      <c r="C103" s="63">
        <f t="shared" ref="C103:D103" si="38">SUM(C104:C110)</f>
        <v>384700</v>
      </c>
      <c r="D103" s="63">
        <f t="shared" si="38"/>
        <v>385624</v>
      </c>
      <c r="E103" s="63">
        <f t="shared" ref="E103:H103" si="39">SUM(E104:E110)</f>
        <v>385624</v>
      </c>
      <c r="F103" s="63">
        <f t="shared" si="39"/>
        <v>385624</v>
      </c>
      <c r="G103" s="344">
        <f t="shared" ref="G103" si="40">SUM(G104:G110)</f>
        <v>386124</v>
      </c>
      <c r="H103" s="450">
        <f t="shared" si="39"/>
        <v>165051</v>
      </c>
      <c r="I103" s="484">
        <f t="shared" si="14"/>
        <v>0.42745594679429405</v>
      </c>
    </row>
    <row r="104" spans="1:10" x14ac:dyDescent="0.25">
      <c r="A104" s="106" t="s">
        <v>117</v>
      </c>
      <c r="B104" s="107" t="s">
        <v>118</v>
      </c>
      <c r="C104" s="78">
        <v>118000</v>
      </c>
      <c r="D104" s="372">
        <f>118000+404</f>
        <v>118404</v>
      </c>
      <c r="E104" s="78">
        <f>118000+404</f>
        <v>118404</v>
      </c>
      <c r="F104" s="78">
        <f>118000+404</f>
        <v>118404</v>
      </c>
      <c r="G104" s="350">
        <f>118000+404</f>
        <v>118404</v>
      </c>
      <c r="H104" s="455">
        <v>48963</v>
      </c>
      <c r="I104" s="484">
        <f t="shared" si="14"/>
        <v>0.41352488091618528</v>
      </c>
    </row>
    <row r="105" spans="1:10" x14ac:dyDescent="0.25">
      <c r="A105" s="108" t="s">
        <v>119</v>
      </c>
      <c r="B105" s="33" t="s">
        <v>187</v>
      </c>
      <c r="C105" s="34">
        <f>177000+2600</f>
        <v>179600</v>
      </c>
      <c r="D105" s="374">
        <f>177000+2600+520</f>
        <v>180120</v>
      </c>
      <c r="E105" s="34">
        <f>177000+2600+520</f>
        <v>180120</v>
      </c>
      <c r="F105" s="34">
        <f>177000+2600+520</f>
        <v>180120</v>
      </c>
      <c r="G105" s="442">
        <f>177000+2600+520+500</f>
        <v>180620</v>
      </c>
      <c r="H105" s="433">
        <v>77360</v>
      </c>
      <c r="I105" s="484">
        <f t="shared" si="14"/>
        <v>0.42830251356438931</v>
      </c>
    </row>
    <row r="106" spans="1:10" x14ac:dyDescent="0.25">
      <c r="A106" s="108" t="s">
        <v>120</v>
      </c>
      <c r="B106" s="33" t="s">
        <v>121</v>
      </c>
      <c r="C106" s="34">
        <v>11800</v>
      </c>
      <c r="D106" s="34">
        <v>11800</v>
      </c>
      <c r="E106" s="34">
        <v>11800</v>
      </c>
      <c r="F106" s="34">
        <v>11800</v>
      </c>
      <c r="G106" s="347">
        <v>11800</v>
      </c>
      <c r="H106" s="433">
        <v>4659</v>
      </c>
      <c r="I106" s="484">
        <f t="shared" si="14"/>
        <v>0.39483050847457629</v>
      </c>
    </row>
    <row r="107" spans="1:10" x14ac:dyDescent="0.25">
      <c r="A107" s="108" t="s">
        <v>122</v>
      </c>
      <c r="B107" s="33" t="s">
        <v>123</v>
      </c>
      <c r="C107" s="34">
        <v>17200</v>
      </c>
      <c r="D107" s="34">
        <v>17200</v>
      </c>
      <c r="E107" s="34">
        <v>17200</v>
      </c>
      <c r="F107" s="34">
        <v>17200</v>
      </c>
      <c r="G107" s="347">
        <v>17200</v>
      </c>
      <c r="H107" s="433">
        <v>6995</v>
      </c>
      <c r="I107" s="484">
        <f t="shared" si="14"/>
        <v>0.40668604651162793</v>
      </c>
      <c r="J107" t="s">
        <v>384</v>
      </c>
    </row>
    <row r="108" spans="1:10" x14ac:dyDescent="0.25">
      <c r="A108" s="108" t="s">
        <v>124</v>
      </c>
      <c r="B108" s="33" t="s">
        <v>125</v>
      </c>
      <c r="C108" s="34">
        <v>17200</v>
      </c>
      <c r="D108" s="34">
        <v>17200</v>
      </c>
      <c r="E108" s="34">
        <v>17200</v>
      </c>
      <c r="F108" s="34">
        <v>17200</v>
      </c>
      <c r="G108" s="347">
        <v>17200</v>
      </c>
      <c r="H108" s="433">
        <v>6995</v>
      </c>
      <c r="I108" s="484">
        <f t="shared" si="14"/>
        <v>0.40668604651162793</v>
      </c>
      <c r="J108" t="s">
        <v>384</v>
      </c>
    </row>
    <row r="109" spans="1:10" x14ac:dyDescent="0.25">
      <c r="A109" s="109" t="s">
        <v>126</v>
      </c>
      <c r="B109" s="33" t="s">
        <v>127</v>
      </c>
      <c r="C109" s="110">
        <f>11800+4400+21800+300</f>
        <v>38300</v>
      </c>
      <c r="D109" s="110">
        <f t="shared" ref="D109:G109" si="41">11800+4400+21800+300</f>
        <v>38300</v>
      </c>
      <c r="E109" s="110">
        <f t="shared" si="41"/>
        <v>38300</v>
      </c>
      <c r="F109" s="110">
        <f t="shared" si="41"/>
        <v>38300</v>
      </c>
      <c r="G109" s="359">
        <f t="shared" si="41"/>
        <v>38300</v>
      </c>
      <c r="H109" s="463">
        <v>18105</v>
      </c>
      <c r="I109" s="484">
        <f t="shared" si="14"/>
        <v>0.47271540469973888</v>
      </c>
      <c r="J109" t="s">
        <v>384</v>
      </c>
    </row>
    <row r="110" spans="1:10" ht="15.75" thickBot="1" x14ac:dyDescent="0.3">
      <c r="A110" s="108" t="s">
        <v>128</v>
      </c>
      <c r="B110" s="33" t="s">
        <v>129</v>
      </c>
      <c r="C110" s="110">
        <v>2600</v>
      </c>
      <c r="D110" s="110">
        <v>2600</v>
      </c>
      <c r="E110" s="110">
        <v>2600</v>
      </c>
      <c r="F110" s="110">
        <v>2600</v>
      </c>
      <c r="G110" s="359">
        <v>2600</v>
      </c>
      <c r="H110" s="463">
        <v>1974</v>
      </c>
      <c r="I110" s="484">
        <f t="shared" si="14"/>
        <v>0.75923076923076926</v>
      </c>
    </row>
    <row r="111" spans="1:10" ht="15.75" thickBot="1" x14ac:dyDescent="0.3">
      <c r="A111" s="61" t="s">
        <v>130</v>
      </c>
      <c r="B111" s="62"/>
      <c r="C111" s="63">
        <f t="shared" ref="C111" si="42">SUM(C112:C116)</f>
        <v>196800</v>
      </c>
      <c r="D111" s="63">
        <f t="shared" ref="D111:H111" si="43">SUM(D112:D116)</f>
        <v>196800</v>
      </c>
      <c r="E111" s="63">
        <f t="shared" si="43"/>
        <v>196800</v>
      </c>
      <c r="F111" s="63">
        <f t="shared" si="43"/>
        <v>196800</v>
      </c>
      <c r="G111" s="344">
        <f t="shared" ref="G111" si="44">SUM(G112:G116)</f>
        <v>197110</v>
      </c>
      <c r="H111" s="450">
        <f t="shared" si="43"/>
        <v>58761</v>
      </c>
      <c r="I111" s="484">
        <f t="shared" si="14"/>
        <v>0.29811272893308305</v>
      </c>
    </row>
    <row r="112" spans="1:10" x14ac:dyDescent="0.25">
      <c r="A112" s="104" t="s">
        <v>131</v>
      </c>
      <c r="B112" s="65" t="s">
        <v>132</v>
      </c>
      <c r="C112" s="66">
        <f>100000+15600</f>
        <v>115600</v>
      </c>
      <c r="D112" s="66">
        <f t="shared" ref="D112:F112" si="45">100000+15600</f>
        <v>115600</v>
      </c>
      <c r="E112" s="66">
        <f t="shared" si="45"/>
        <v>115600</v>
      </c>
      <c r="F112" s="66">
        <f t="shared" si="45"/>
        <v>115600</v>
      </c>
      <c r="G112" s="449">
        <f>100000+15600+350-90</f>
        <v>115860</v>
      </c>
      <c r="H112" s="451">
        <v>49042</v>
      </c>
      <c r="I112" s="484">
        <f t="shared" si="14"/>
        <v>0.4232867253581909</v>
      </c>
    </row>
    <row r="113" spans="1:13" x14ac:dyDescent="0.25">
      <c r="A113" s="104" t="s">
        <v>133</v>
      </c>
      <c r="B113" s="65" t="s">
        <v>201</v>
      </c>
      <c r="C113" s="66">
        <f>7200+3000</f>
        <v>10200</v>
      </c>
      <c r="D113" s="66">
        <f t="shared" ref="D113:G113" si="46">7200+3000</f>
        <v>10200</v>
      </c>
      <c r="E113" s="66">
        <f t="shared" si="46"/>
        <v>10200</v>
      </c>
      <c r="F113" s="66">
        <f t="shared" si="46"/>
        <v>10200</v>
      </c>
      <c r="G113" s="345">
        <f t="shared" si="46"/>
        <v>10200</v>
      </c>
      <c r="H113" s="451">
        <v>3247</v>
      </c>
      <c r="I113" s="484">
        <f t="shared" si="14"/>
        <v>0.31833333333333336</v>
      </c>
    </row>
    <row r="114" spans="1:13" x14ac:dyDescent="0.25">
      <c r="A114" s="69" t="s">
        <v>134</v>
      </c>
      <c r="B114" s="42" t="s">
        <v>202</v>
      </c>
      <c r="C114" s="68">
        <f>12000+49000+9000</f>
        <v>70000</v>
      </c>
      <c r="D114" s="68">
        <f t="shared" ref="D114:F114" si="47">12000+49000+9000</f>
        <v>70000</v>
      </c>
      <c r="E114" s="68">
        <f t="shared" si="47"/>
        <v>70000</v>
      </c>
      <c r="F114" s="68">
        <f t="shared" si="47"/>
        <v>70000</v>
      </c>
      <c r="G114" s="444">
        <f>12000+49000+9000+50</f>
        <v>70050</v>
      </c>
      <c r="H114" s="452">
        <v>6472</v>
      </c>
      <c r="I114" s="484">
        <f t="shared" si="14"/>
        <v>9.239114917915775E-2</v>
      </c>
    </row>
    <row r="115" spans="1:13" x14ac:dyDescent="0.25">
      <c r="A115" s="69" t="s">
        <v>135</v>
      </c>
      <c r="B115" s="42" t="s">
        <v>136</v>
      </c>
      <c r="C115" s="68">
        <v>500</v>
      </c>
      <c r="D115" s="68">
        <v>500</v>
      </c>
      <c r="E115" s="68">
        <v>500</v>
      </c>
      <c r="F115" s="68">
        <v>500</v>
      </c>
      <c r="G115" s="346">
        <v>500</v>
      </c>
      <c r="H115" s="452">
        <v>0</v>
      </c>
      <c r="I115" s="484">
        <f t="shared" si="14"/>
        <v>0</v>
      </c>
    </row>
    <row r="116" spans="1:13" ht="15.75" thickBot="1" x14ac:dyDescent="0.3">
      <c r="A116" s="89" t="s">
        <v>137</v>
      </c>
      <c r="B116" s="90" t="s">
        <v>138</v>
      </c>
      <c r="C116" s="91">
        <v>500</v>
      </c>
      <c r="D116" s="91">
        <v>500</v>
      </c>
      <c r="E116" s="91">
        <v>500</v>
      </c>
      <c r="F116" s="91">
        <v>500</v>
      </c>
      <c r="G116" s="355">
        <v>500</v>
      </c>
      <c r="H116" s="459">
        <v>0</v>
      </c>
      <c r="I116" s="484">
        <f t="shared" si="14"/>
        <v>0</v>
      </c>
    </row>
    <row r="117" spans="1:13" ht="16.5" thickBot="1" x14ac:dyDescent="0.3">
      <c r="A117" s="111" t="s">
        <v>139</v>
      </c>
      <c r="B117" s="98"/>
      <c r="C117" s="112">
        <f t="shared" ref="C117:H117" si="48">SUM(C68+C74+C76+C79+C84+C89+C93+C97+C103+C111)</f>
        <v>1180700</v>
      </c>
      <c r="D117" s="112">
        <f t="shared" si="48"/>
        <v>1182896</v>
      </c>
      <c r="E117" s="112">
        <f t="shared" si="48"/>
        <v>1187896</v>
      </c>
      <c r="F117" s="112">
        <f t="shared" si="48"/>
        <v>1205896</v>
      </c>
      <c r="G117" s="360">
        <f t="shared" ref="G117" si="49">SUM(G68+G74+G76+G79+G84+G89+G93+G97+G103+G111)</f>
        <v>1224096</v>
      </c>
      <c r="H117" s="464">
        <f t="shared" si="48"/>
        <v>485795</v>
      </c>
      <c r="I117" s="484">
        <f t="shared" si="14"/>
        <v>0.39686021357802004</v>
      </c>
      <c r="J117" s="171">
        <f>G117-F117</f>
        <v>18200</v>
      </c>
    </row>
    <row r="118" spans="1:13" ht="16.5" customHeight="1" x14ac:dyDescent="0.25">
      <c r="A118" s="181" t="s">
        <v>140</v>
      </c>
      <c r="B118" s="113" t="s">
        <v>141</v>
      </c>
      <c r="C118" s="114">
        <f t="shared" ref="C118:H118" si="50">C60+C62</f>
        <v>409440</v>
      </c>
      <c r="D118" s="114">
        <f t="shared" si="50"/>
        <v>431827</v>
      </c>
      <c r="E118" s="114">
        <f t="shared" si="50"/>
        <v>431827</v>
      </c>
      <c r="F118" s="114">
        <f t="shared" si="50"/>
        <v>431827</v>
      </c>
      <c r="G118" s="361">
        <f t="shared" si="50"/>
        <v>434657</v>
      </c>
      <c r="H118" s="465">
        <f t="shared" si="50"/>
        <v>222441</v>
      </c>
      <c r="I118" s="484">
        <f t="shared" si="14"/>
        <v>0.51176214808458165</v>
      </c>
    </row>
    <row r="119" spans="1:13" ht="18.75" customHeight="1" x14ac:dyDescent="0.25">
      <c r="A119" s="180" t="s">
        <v>142</v>
      </c>
      <c r="B119" s="50" t="s">
        <v>143</v>
      </c>
      <c r="C119" s="115">
        <v>19000</v>
      </c>
      <c r="D119" s="115">
        <v>19000</v>
      </c>
      <c r="E119" s="115">
        <v>19000</v>
      </c>
      <c r="F119" s="115">
        <v>19000</v>
      </c>
      <c r="G119" s="362">
        <v>19000</v>
      </c>
      <c r="H119" s="466">
        <v>9500</v>
      </c>
      <c r="I119" s="484">
        <f t="shared" si="14"/>
        <v>0.5</v>
      </c>
    </row>
    <row r="120" spans="1:13" ht="15.75" thickBot="1" x14ac:dyDescent="0.3">
      <c r="A120" s="116" t="s">
        <v>144</v>
      </c>
      <c r="B120" s="117"/>
      <c r="C120" s="118">
        <f>SUM(C118:C119)</f>
        <v>428440</v>
      </c>
      <c r="D120" s="118">
        <f t="shared" ref="D120:H120" si="51">SUM(D118:D119)</f>
        <v>450827</v>
      </c>
      <c r="E120" s="118">
        <f t="shared" si="51"/>
        <v>450827</v>
      </c>
      <c r="F120" s="118">
        <f t="shared" si="51"/>
        <v>450827</v>
      </c>
      <c r="G120" s="363">
        <f t="shared" ref="G120" si="52">SUM(G118:G119)</f>
        <v>453657</v>
      </c>
      <c r="H120" s="467">
        <f t="shared" si="51"/>
        <v>231941</v>
      </c>
      <c r="I120" s="484">
        <f t="shared" si="14"/>
        <v>0.51126952741829179</v>
      </c>
    </row>
    <row r="121" spans="1:13" ht="15" customHeight="1" thickBot="1" x14ac:dyDescent="0.3">
      <c r="A121" s="119" t="s">
        <v>145</v>
      </c>
      <c r="B121" s="82"/>
      <c r="C121" s="120">
        <f>C117+C120</f>
        <v>1609140</v>
      </c>
      <c r="D121" s="120">
        <f t="shared" ref="D121:H121" si="53">D117+D120</f>
        <v>1633723</v>
      </c>
      <c r="E121" s="120">
        <f t="shared" si="53"/>
        <v>1638723</v>
      </c>
      <c r="F121" s="120">
        <f t="shared" si="53"/>
        <v>1656723</v>
      </c>
      <c r="G121" s="364">
        <f t="shared" ref="G121" si="54">G117+G120</f>
        <v>1677753</v>
      </c>
      <c r="H121" s="468">
        <f t="shared" si="53"/>
        <v>717736</v>
      </c>
      <c r="I121" s="484">
        <f t="shared" si="14"/>
        <v>0.42779598665596186</v>
      </c>
    </row>
    <row r="123" spans="1:13" ht="18.75" thickBot="1" x14ac:dyDescent="0.3">
      <c r="A123" s="1008" t="s">
        <v>146</v>
      </c>
      <c r="B123" s="1009"/>
      <c r="C123" s="1009"/>
      <c r="D123" s="1009"/>
      <c r="E123" s="1009"/>
      <c r="F123" s="1009"/>
      <c r="G123" s="1009"/>
      <c r="H123" s="1009"/>
      <c r="I123" s="1009"/>
    </row>
    <row r="124" spans="1:13" ht="15" customHeight="1" x14ac:dyDescent="0.25">
      <c r="A124" s="992" t="s">
        <v>1</v>
      </c>
      <c r="B124" s="993"/>
      <c r="C124" s="996">
        <v>2017</v>
      </c>
      <c r="D124" s="996" t="s">
        <v>235</v>
      </c>
      <c r="E124" s="996" t="s">
        <v>279</v>
      </c>
      <c r="F124" s="996" t="s">
        <v>310</v>
      </c>
      <c r="G124" s="996" t="s">
        <v>348</v>
      </c>
      <c r="H124" s="998" t="s">
        <v>383</v>
      </c>
      <c r="I124" s="418" t="s">
        <v>280</v>
      </c>
    </row>
    <row r="125" spans="1:13" ht="15.75" thickBot="1" x14ac:dyDescent="0.3">
      <c r="A125" s="994"/>
      <c r="B125" s="995"/>
      <c r="C125" s="997"/>
      <c r="D125" s="997"/>
      <c r="E125" s="997"/>
      <c r="F125" s="997"/>
      <c r="G125" s="997"/>
      <c r="H125" s="999"/>
      <c r="I125" s="419" t="s">
        <v>281</v>
      </c>
    </row>
    <row r="126" spans="1:13" ht="16.5" thickBot="1" x14ac:dyDescent="0.3">
      <c r="A126" s="1010" t="s">
        <v>147</v>
      </c>
      <c r="B126" s="1011"/>
      <c r="C126" s="121">
        <f t="shared" ref="C126:H126" si="55">SUM(C127:C135)</f>
        <v>1669100</v>
      </c>
      <c r="D126" s="121">
        <f t="shared" si="55"/>
        <v>1653200</v>
      </c>
      <c r="E126" s="121">
        <f t="shared" si="55"/>
        <v>1748000</v>
      </c>
      <c r="F126" s="121">
        <f t="shared" si="55"/>
        <v>1748000</v>
      </c>
      <c r="G126" s="121">
        <f t="shared" si="55"/>
        <v>1778000</v>
      </c>
      <c r="H126" s="478">
        <f t="shared" si="55"/>
        <v>12503</v>
      </c>
      <c r="I126" s="477">
        <f>H126/G126</f>
        <v>7.0320584926884143E-3</v>
      </c>
      <c r="J126" s="171">
        <f>G126-F126</f>
        <v>30000</v>
      </c>
    </row>
    <row r="127" spans="1:13" x14ac:dyDescent="0.25">
      <c r="A127" s="122">
        <v>231</v>
      </c>
      <c r="B127" s="85" t="s">
        <v>148</v>
      </c>
      <c r="C127" s="123">
        <v>0</v>
      </c>
      <c r="D127" s="123">
        <v>0</v>
      </c>
      <c r="E127" s="123">
        <v>0</v>
      </c>
      <c r="F127" s="123">
        <v>0</v>
      </c>
      <c r="G127" s="410">
        <v>0</v>
      </c>
      <c r="H127" s="479">
        <v>0</v>
      </c>
      <c r="I127" s="477">
        <v>0</v>
      </c>
    </row>
    <row r="128" spans="1:13" x14ac:dyDescent="0.25">
      <c r="A128" s="46">
        <v>233</v>
      </c>
      <c r="B128" s="42" t="s">
        <v>149</v>
      </c>
      <c r="C128" s="124">
        <v>1000</v>
      </c>
      <c r="D128" s="124">
        <v>1000</v>
      </c>
      <c r="E128" s="124">
        <v>1000</v>
      </c>
      <c r="F128" s="124">
        <v>1000</v>
      </c>
      <c r="G128" s="124">
        <v>1000</v>
      </c>
      <c r="H128" s="480">
        <v>3</v>
      </c>
      <c r="I128" s="477">
        <f t="shared" ref="I128:I161" si="56">H128/G128</f>
        <v>3.0000000000000001E-3</v>
      </c>
      <c r="M128" s="178"/>
    </row>
    <row r="129" spans="1:13" x14ac:dyDescent="0.25">
      <c r="A129" s="174">
        <v>322</v>
      </c>
      <c r="B129" s="175" t="s">
        <v>192</v>
      </c>
      <c r="C129" s="176">
        <v>134200</v>
      </c>
      <c r="D129" s="176">
        <v>134200</v>
      </c>
      <c r="E129" s="385">
        <f>134200+65800</f>
        <v>200000</v>
      </c>
      <c r="F129" s="176">
        <f>134200+65800</f>
        <v>200000</v>
      </c>
      <c r="G129" s="176">
        <f>134200+65800</f>
        <v>200000</v>
      </c>
      <c r="H129" s="480">
        <v>0</v>
      </c>
      <c r="I129" s="477">
        <f t="shared" si="56"/>
        <v>0</v>
      </c>
    </row>
    <row r="130" spans="1:13" x14ac:dyDescent="0.25">
      <c r="A130" s="174">
        <v>322</v>
      </c>
      <c r="B130" s="175" t="s">
        <v>193</v>
      </c>
      <c r="C130" s="176">
        <v>155400</v>
      </c>
      <c r="D130" s="176">
        <v>155400</v>
      </c>
      <c r="E130" s="176">
        <v>155400</v>
      </c>
      <c r="F130" s="176">
        <v>155400</v>
      </c>
      <c r="G130" s="176">
        <v>155400</v>
      </c>
      <c r="H130" s="480">
        <v>0</v>
      </c>
      <c r="I130" s="477">
        <f t="shared" si="56"/>
        <v>0</v>
      </c>
    </row>
    <row r="131" spans="1:13" x14ac:dyDescent="0.25">
      <c r="A131" s="174">
        <v>322</v>
      </c>
      <c r="B131" s="175" t="s">
        <v>194</v>
      </c>
      <c r="C131" s="176">
        <v>39900</v>
      </c>
      <c r="D131" s="385">
        <f>39900-15900</f>
        <v>24000</v>
      </c>
      <c r="E131" s="176">
        <f>39900-15900</f>
        <v>24000</v>
      </c>
      <c r="F131" s="176">
        <f>39900-15900</f>
        <v>24000</v>
      </c>
      <c r="G131" s="176">
        <f>39900-15900</f>
        <v>24000</v>
      </c>
      <c r="H131" s="480">
        <v>0</v>
      </c>
      <c r="I131" s="477">
        <f t="shared" si="56"/>
        <v>0</v>
      </c>
    </row>
    <row r="132" spans="1:13" x14ac:dyDescent="0.25">
      <c r="A132" s="174">
        <v>322</v>
      </c>
      <c r="B132" s="175" t="s">
        <v>195</v>
      </c>
      <c r="C132" s="176">
        <v>1222600</v>
      </c>
      <c r="D132" s="176">
        <v>1222600</v>
      </c>
      <c r="E132" s="176">
        <v>1222600</v>
      </c>
      <c r="F132" s="176">
        <v>1222600</v>
      </c>
      <c r="G132" s="176">
        <v>1222600</v>
      </c>
      <c r="H132" s="480">
        <v>0</v>
      </c>
      <c r="I132" s="477">
        <f t="shared" si="56"/>
        <v>0</v>
      </c>
    </row>
    <row r="133" spans="1:13" x14ac:dyDescent="0.25">
      <c r="A133" s="174">
        <v>322</v>
      </c>
      <c r="B133" s="175" t="s">
        <v>196</v>
      </c>
      <c r="C133" s="176">
        <v>103500</v>
      </c>
      <c r="D133" s="176">
        <v>103500</v>
      </c>
      <c r="E133" s="385">
        <f>103500+29000</f>
        <v>132500</v>
      </c>
      <c r="F133" s="176">
        <f>103500+29000</f>
        <v>132500</v>
      </c>
      <c r="G133" s="176">
        <f>103500+29000</f>
        <v>132500</v>
      </c>
      <c r="H133" s="480">
        <v>0</v>
      </c>
      <c r="I133" s="477">
        <f t="shared" si="56"/>
        <v>0</v>
      </c>
    </row>
    <row r="134" spans="1:13" x14ac:dyDescent="0.25">
      <c r="A134" s="174">
        <v>322</v>
      </c>
      <c r="B134" s="175" t="s">
        <v>352</v>
      </c>
      <c r="C134" s="176">
        <v>0</v>
      </c>
      <c r="D134" s="176">
        <v>0</v>
      </c>
      <c r="E134" s="411">
        <v>0</v>
      </c>
      <c r="F134" s="176">
        <v>0</v>
      </c>
      <c r="G134" s="385">
        <v>30000</v>
      </c>
      <c r="H134" s="480">
        <v>0</v>
      </c>
      <c r="I134" s="477">
        <f t="shared" si="56"/>
        <v>0</v>
      </c>
    </row>
    <row r="135" spans="1:13" ht="15.75" thickBot="1" x14ac:dyDescent="0.3">
      <c r="A135" s="125">
        <v>322</v>
      </c>
      <c r="B135" s="126" t="s">
        <v>150</v>
      </c>
      <c r="C135" s="127">
        <v>12500</v>
      </c>
      <c r="D135" s="127">
        <v>12500</v>
      </c>
      <c r="E135" s="127">
        <v>12500</v>
      </c>
      <c r="F135" s="127">
        <v>12500</v>
      </c>
      <c r="G135" s="127">
        <v>12500</v>
      </c>
      <c r="H135" s="481">
        <v>12500</v>
      </c>
      <c r="I135" s="477">
        <f t="shared" si="56"/>
        <v>1</v>
      </c>
    </row>
    <row r="136" spans="1:13" ht="16.5" thickBot="1" x14ac:dyDescent="0.3">
      <c r="A136" s="1010" t="s">
        <v>151</v>
      </c>
      <c r="B136" s="1011"/>
      <c r="C136" s="121">
        <f t="shared" ref="C136:H136" si="57">SUM(C137:C161)</f>
        <v>2481900</v>
      </c>
      <c r="D136" s="121">
        <f t="shared" si="57"/>
        <v>2481900</v>
      </c>
      <c r="E136" s="121">
        <f t="shared" si="57"/>
        <v>2595700</v>
      </c>
      <c r="F136" s="121">
        <f t="shared" si="57"/>
        <v>2606700</v>
      </c>
      <c r="G136" s="121">
        <f t="shared" si="57"/>
        <v>2665600</v>
      </c>
      <c r="H136" s="478">
        <f t="shared" si="57"/>
        <v>7317</v>
      </c>
      <c r="I136" s="477">
        <f t="shared" si="56"/>
        <v>2.7449729891956781E-3</v>
      </c>
      <c r="J136" s="171">
        <f>G136-F136</f>
        <v>58900</v>
      </c>
    </row>
    <row r="137" spans="1:13" x14ac:dyDescent="0.25">
      <c r="A137" s="128" t="s">
        <v>59</v>
      </c>
      <c r="B137" s="129" t="s">
        <v>185</v>
      </c>
      <c r="C137" s="135">
        <v>3000</v>
      </c>
      <c r="D137" s="135">
        <v>3000</v>
      </c>
      <c r="E137" s="135">
        <v>3000</v>
      </c>
      <c r="F137" s="135">
        <v>3000</v>
      </c>
      <c r="G137" s="135">
        <v>3000</v>
      </c>
      <c r="H137" s="401">
        <v>0</v>
      </c>
      <c r="I137" s="477">
        <f t="shared" si="56"/>
        <v>0</v>
      </c>
    </row>
    <row r="138" spans="1:13" ht="15.75" thickBot="1" x14ac:dyDescent="0.3">
      <c r="A138" s="200" t="s">
        <v>59</v>
      </c>
      <c r="B138" s="201" t="s">
        <v>184</v>
      </c>
      <c r="C138" s="210">
        <v>108200</v>
      </c>
      <c r="D138" s="210">
        <v>108200</v>
      </c>
      <c r="E138" s="386">
        <f>108200+31800</f>
        <v>140000</v>
      </c>
      <c r="F138" s="210">
        <f>108200+31800</f>
        <v>140000</v>
      </c>
      <c r="G138" s="210">
        <f>108200+31800</f>
        <v>140000</v>
      </c>
      <c r="H138" s="403">
        <v>0</v>
      </c>
      <c r="I138" s="477">
        <f t="shared" si="56"/>
        <v>0</v>
      </c>
      <c r="K138" s="171"/>
    </row>
    <row r="139" spans="1:13" x14ac:dyDescent="0.25">
      <c r="A139" s="469" t="s">
        <v>71</v>
      </c>
      <c r="B139" s="131" t="s">
        <v>353</v>
      </c>
      <c r="C139" s="133">
        <v>0</v>
      </c>
      <c r="D139" s="133">
        <v>0</v>
      </c>
      <c r="E139" s="133">
        <v>0</v>
      </c>
      <c r="F139" s="133">
        <v>0</v>
      </c>
      <c r="G139" s="387">
        <v>32000</v>
      </c>
      <c r="H139" s="474">
        <v>0</v>
      </c>
      <c r="I139" s="477">
        <f t="shared" si="56"/>
        <v>0</v>
      </c>
      <c r="K139" s="171"/>
      <c r="M139" s="142"/>
    </row>
    <row r="140" spans="1:13" ht="15.75" thickBot="1" x14ac:dyDescent="0.3">
      <c r="A140" s="204" t="s">
        <v>73</v>
      </c>
      <c r="B140" s="412" t="s">
        <v>152</v>
      </c>
      <c r="C140" s="182">
        <v>14800</v>
      </c>
      <c r="D140" s="182">
        <v>14800</v>
      </c>
      <c r="E140" s="182">
        <v>14800</v>
      </c>
      <c r="F140" s="182">
        <v>14800</v>
      </c>
      <c r="G140" s="182">
        <v>14800</v>
      </c>
      <c r="H140" s="482">
        <v>0</v>
      </c>
      <c r="I140" s="477">
        <f t="shared" si="56"/>
        <v>0</v>
      </c>
      <c r="K140" s="171"/>
      <c r="M140" s="142"/>
    </row>
    <row r="141" spans="1:13" x14ac:dyDescent="0.25">
      <c r="A141" s="190" t="s">
        <v>78</v>
      </c>
      <c r="B141" s="185" t="s">
        <v>301</v>
      </c>
      <c r="C141" s="133">
        <v>0</v>
      </c>
      <c r="D141" s="133">
        <v>0</v>
      </c>
      <c r="E141" s="387">
        <v>5000</v>
      </c>
      <c r="F141" s="387">
        <f>5000+2000</f>
        <v>7000</v>
      </c>
      <c r="G141" s="133">
        <f>5000+2000</f>
        <v>7000</v>
      </c>
      <c r="H141" s="474">
        <v>0</v>
      </c>
      <c r="I141" s="477">
        <f t="shared" si="56"/>
        <v>0</v>
      </c>
      <c r="L141" s="140"/>
    </row>
    <row r="142" spans="1:13" x14ac:dyDescent="0.25">
      <c r="A142" s="190" t="s">
        <v>80</v>
      </c>
      <c r="B142" s="185" t="s">
        <v>153</v>
      </c>
      <c r="C142" s="133">
        <v>10000</v>
      </c>
      <c r="D142" s="133">
        <v>10000</v>
      </c>
      <c r="E142" s="133">
        <v>10000</v>
      </c>
      <c r="F142" s="133">
        <v>10000</v>
      </c>
      <c r="G142" s="387">
        <v>0</v>
      </c>
      <c r="H142" s="474">
        <v>0</v>
      </c>
      <c r="I142" s="477">
        <v>0</v>
      </c>
      <c r="L142" s="140"/>
    </row>
    <row r="143" spans="1:13" ht="15.75" thickBot="1" x14ac:dyDescent="0.3">
      <c r="A143" s="391" t="s">
        <v>80</v>
      </c>
      <c r="B143" s="392" t="s">
        <v>197</v>
      </c>
      <c r="C143" s="210">
        <v>40000</v>
      </c>
      <c r="D143" s="210">
        <v>40000</v>
      </c>
      <c r="E143" s="210">
        <v>40000</v>
      </c>
      <c r="F143" s="386">
        <v>0</v>
      </c>
      <c r="G143" s="210">
        <v>0</v>
      </c>
      <c r="H143" s="474">
        <v>0</v>
      </c>
      <c r="I143" s="477">
        <v>0</v>
      </c>
    </row>
    <row r="144" spans="1:13" x14ac:dyDescent="0.25">
      <c r="A144" s="470" t="s">
        <v>87</v>
      </c>
      <c r="B144" s="471" t="s">
        <v>318</v>
      </c>
      <c r="C144" s="398">
        <v>0</v>
      </c>
      <c r="D144" s="398">
        <v>0</v>
      </c>
      <c r="E144" s="398">
        <v>0</v>
      </c>
      <c r="F144" s="399">
        <v>2000</v>
      </c>
      <c r="G144" s="398">
        <v>2000</v>
      </c>
      <c r="H144" s="472">
        <v>0</v>
      </c>
      <c r="I144" s="477">
        <f t="shared" si="56"/>
        <v>0</v>
      </c>
    </row>
    <row r="145" spans="1:13" ht="15.75" thickBot="1" x14ac:dyDescent="0.3">
      <c r="A145" s="473" t="s">
        <v>87</v>
      </c>
      <c r="B145" s="392" t="s">
        <v>198</v>
      </c>
      <c r="C145" s="210">
        <v>1287000</v>
      </c>
      <c r="D145" s="210">
        <v>1287000</v>
      </c>
      <c r="E145" s="210">
        <v>1287000</v>
      </c>
      <c r="F145" s="210">
        <v>1287000</v>
      </c>
      <c r="G145" s="210">
        <v>1287000</v>
      </c>
      <c r="H145" s="403">
        <v>0</v>
      </c>
      <c r="I145" s="477">
        <f t="shared" si="56"/>
        <v>0</v>
      </c>
    </row>
    <row r="146" spans="1:13" ht="16.5" customHeight="1" x14ac:dyDescent="0.25">
      <c r="A146" s="396" t="s">
        <v>154</v>
      </c>
      <c r="B146" s="397" t="s">
        <v>190</v>
      </c>
      <c r="C146" s="398">
        <v>0</v>
      </c>
      <c r="D146" s="398">
        <v>0</v>
      </c>
      <c r="E146" s="398">
        <v>0</v>
      </c>
      <c r="F146" s="399">
        <v>7000</v>
      </c>
      <c r="G146" s="398">
        <f>10000-3000</f>
        <v>7000</v>
      </c>
      <c r="H146" s="483">
        <v>0</v>
      </c>
      <c r="I146" s="477">
        <f t="shared" si="56"/>
        <v>0</v>
      </c>
      <c r="L146" s="141"/>
    </row>
    <row r="147" spans="1:13" x14ac:dyDescent="0.25">
      <c r="A147" s="193" t="s">
        <v>154</v>
      </c>
      <c r="B147" s="189" t="s">
        <v>295</v>
      </c>
      <c r="C147" s="177">
        <v>50000</v>
      </c>
      <c r="D147" s="177">
        <v>50000</v>
      </c>
      <c r="E147" s="408">
        <f>50000+4000</f>
        <v>54000</v>
      </c>
      <c r="F147" s="177">
        <f>50000+4000</f>
        <v>54000</v>
      </c>
      <c r="G147" s="408">
        <f>50000+4000+10500</f>
        <v>64500</v>
      </c>
      <c r="H147" s="475">
        <v>3750</v>
      </c>
      <c r="I147" s="477">
        <f t="shared" si="56"/>
        <v>5.8139534883720929E-2</v>
      </c>
    </row>
    <row r="148" spans="1:13" ht="15.75" thickBot="1" x14ac:dyDescent="0.3">
      <c r="A148" s="202" t="s">
        <v>154</v>
      </c>
      <c r="B148" s="203" t="s">
        <v>323</v>
      </c>
      <c r="C148" s="210">
        <v>0</v>
      </c>
      <c r="D148" s="210">
        <v>0</v>
      </c>
      <c r="E148" s="210">
        <v>0</v>
      </c>
      <c r="F148" s="386">
        <v>40000</v>
      </c>
      <c r="G148" s="210">
        <v>40000</v>
      </c>
      <c r="H148" s="403">
        <v>0</v>
      </c>
      <c r="I148" s="477">
        <f t="shared" si="56"/>
        <v>0</v>
      </c>
      <c r="M148" s="157"/>
    </row>
    <row r="149" spans="1:13" x14ac:dyDescent="0.25">
      <c r="A149" s="326" t="s">
        <v>93</v>
      </c>
      <c r="B149" s="327" t="s">
        <v>293</v>
      </c>
      <c r="C149" s="136">
        <v>0</v>
      </c>
      <c r="D149" s="136">
        <v>0</v>
      </c>
      <c r="E149" s="389">
        <v>1000</v>
      </c>
      <c r="F149" s="136">
        <v>1000</v>
      </c>
      <c r="G149" s="136">
        <v>1000</v>
      </c>
      <c r="H149" s="402">
        <v>869</v>
      </c>
      <c r="I149" s="477">
        <f t="shared" si="56"/>
        <v>0.86899999999999999</v>
      </c>
      <c r="M149" s="138"/>
    </row>
    <row r="150" spans="1:13" ht="16.5" customHeight="1" x14ac:dyDescent="0.25">
      <c r="A150" s="198" t="s">
        <v>93</v>
      </c>
      <c r="B150" s="199" t="s">
        <v>343</v>
      </c>
      <c r="C150" s="133">
        <v>0</v>
      </c>
      <c r="D150" s="133">
        <v>0</v>
      </c>
      <c r="E150" s="133">
        <v>0</v>
      </c>
      <c r="F150" s="133">
        <v>0</v>
      </c>
      <c r="G150" s="387">
        <v>4500</v>
      </c>
      <c r="H150" s="474">
        <v>0</v>
      </c>
      <c r="I150" s="477">
        <f t="shared" si="56"/>
        <v>0</v>
      </c>
    </row>
    <row r="151" spans="1:13" ht="15.75" customHeight="1" thickBot="1" x14ac:dyDescent="0.3">
      <c r="A151" s="323" t="s">
        <v>97</v>
      </c>
      <c r="B151" s="324" t="s">
        <v>334</v>
      </c>
      <c r="C151" s="182">
        <v>163600</v>
      </c>
      <c r="D151" s="182">
        <v>163600</v>
      </c>
      <c r="E151" s="182">
        <v>163600</v>
      </c>
      <c r="F151" s="182">
        <v>163600</v>
      </c>
      <c r="G151" s="182">
        <v>163600</v>
      </c>
      <c r="H151" s="403">
        <v>0</v>
      </c>
      <c r="I151" s="477">
        <f t="shared" si="56"/>
        <v>0</v>
      </c>
      <c r="J151" s="140"/>
    </row>
    <row r="152" spans="1:13" ht="15" customHeight="1" x14ac:dyDescent="0.25">
      <c r="A152" s="198" t="s">
        <v>107</v>
      </c>
      <c r="B152" s="199" t="s">
        <v>207</v>
      </c>
      <c r="C152" s="133">
        <v>42000</v>
      </c>
      <c r="D152" s="133">
        <v>42000</v>
      </c>
      <c r="E152" s="133">
        <v>42000</v>
      </c>
      <c r="F152" s="133">
        <v>42000</v>
      </c>
      <c r="G152" s="387">
        <f>42000-4500</f>
        <v>37500</v>
      </c>
      <c r="H152" s="483">
        <v>0</v>
      </c>
      <c r="I152" s="477">
        <f t="shared" si="56"/>
        <v>0</v>
      </c>
      <c r="J152" s="140"/>
    </row>
    <row r="153" spans="1:13" x14ac:dyDescent="0.25">
      <c r="A153" s="193" t="s">
        <v>107</v>
      </c>
      <c r="B153" s="189" t="s">
        <v>205</v>
      </c>
      <c r="C153" s="177">
        <v>56400</v>
      </c>
      <c r="D153" s="177">
        <v>56400</v>
      </c>
      <c r="E153" s="177">
        <v>56400</v>
      </c>
      <c r="F153" s="177">
        <v>56400</v>
      </c>
      <c r="G153" s="408">
        <f>56400-4400</f>
        <v>52000</v>
      </c>
      <c r="H153" s="475">
        <v>0</v>
      </c>
      <c r="I153" s="477">
        <f t="shared" si="56"/>
        <v>0</v>
      </c>
      <c r="J153" s="140"/>
      <c r="K153" s="138"/>
      <c r="L153" s="157"/>
    </row>
    <row r="154" spans="1:13" x14ac:dyDescent="0.25">
      <c r="A154" s="193" t="s">
        <v>107</v>
      </c>
      <c r="B154" s="189" t="s">
        <v>188</v>
      </c>
      <c r="C154" s="177">
        <v>10000</v>
      </c>
      <c r="D154" s="177">
        <v>10000</v>
      </c>
      <c r="E154" s="177">
        <v>10000</v>
      </c>
      <c r="F154" s="177">
        <v>10000</v>
      </c>
      <c r="G154" s="177">
        <v>10000</v>
      </c>
      <c r="H154" s="475">
        <v>0</v>
      </c>
      <c r="I154" s="477">
        <f t="shared" si="56"/>
        <v>0</v>
      </c>
      <c r="J154" s="140"/>
      <c r="K154" s="157"/>
      <c r="L154" s="157"/>
    </row>
    <row r="155" spans="1:13" x14ac:dyDescent="0.25">
      <c r="A155" s="193" t="s">
        <v>107</v>
      </c>
      <c r="B155" s="189" t="s">
        <v>189</v>
      </c>
      <c r="C155" s="177">
        <v>10000</v>
      </c>
      <c r="D155" s="177">
        <v>10000</v>
      </c>
      <c r="E155" s="177">
        <v>10000</v>
      </c>
      <c r="F155" s="177">
        <v>10000</v>
      </c>
      <c r="G155" s="177">
        <v>10000</v>
      </c>
      <c r="H155" s="475">
        <v>0</v>
      </c>
      <c r="I155" s="477">
        <f t="shared" si="56"/>
        <v>0</v>
      </c>
      <c r="J155" s="140"/>
      <c r="L155" s="157"/>
    </row>
    <row r="156" spans="1:13" x14ac:dyDescent="0.25">
      <c r="A156" s="193" t="s">
        <v>107</v>
      </c>
      <c r="B156" s="189" t="s">
        <v>183</v>
      </c>
      <c r="C156" s="177">
        <v>30000</v>
      </c>
      <c r="D156" s="177">
        <v>30000</v>
      </c>
      <c r="E156" s="177">
        <v>30000</v>
      </c>
      <c r="F156" s="177">
        <v>30000</v>
      </c>
      <c r="G156" s="408">
        <f>30000+27000</f>
        <v>57000</v>
      </c>
      <c r="H156" s="475">
        <v>0</v>
      </c>
      <c r="I156" s="477">
        <f t="shared" si="56"/>
        <v>0</v>
      </c>
      <c r="J156" s="140"/>
      <c r="K156" s="138"/>
    </row>
    <row r="157" spans="1:13" x14ac:dyDescent="0.25">
      <c r="A157" s="193" t="s">
        <v>109</v>
      </c>
      <c r="B157" s="189" t="s">
        <v>182</v>
      </c>
      <c r="C157" s="177">
        <v>500000</v>
      </c>
      <c r="D157" s="177">
        <v>500000</v>
      </c>
      <c r="E157" s="177">
        <v>500000</v>
      </c>
      <c r="F157" s="177">
        <v>500000</v>
      </c>
      <c r="G157" s="177">
        <v>500000</v>
      </c>
      <c r="H157" s="475">
        <v>0</v>
      </c>
      <c r="I157" s="477">
        <f t="shared" si="56"/>
        <v>0</v>
      </c>
      <c r="J157" s="143"/>
    </row>
    <row r="158" spans="1:13" ht="15.75" thickBot="1" x14ac:dyDescent="0.3">
      <c r="A158" s="329" t="s">
        <v>111</v>
      </c>
      <c r="B158" s="203" t="s">
        <v>156</v>
      </c>
      <c r="C158" s="210">
        <v>2700</v>
      </c>
      <c r="D158" s="210">
        <v>2700</v>
      </c>
      <c r="E158" s="210">
        <v>2700</v>
      </c>
      <c r="F158" s="210">
        <v>2700</v>
      </c>
      <c r="G158" s="210">
        <v>2700</v>
      </c>
      <c r="H158" s="403">
        <v>2698</v>
      </c>
      <c r="I158" s="477">
        <f t="shared" si="56"/>
        <v>0.99925925925925929</v>
      </c>
      <c r="J158" s="143"/>
    </row>
    <row r="159" spans="1:13" x14ac:dyDescent="0.25">
      <c r="A159" s="197" t="s">
        <v>117</v>
      </c>
      <c r="B159" s="185" t="s">
        <v>199</v>
      </c>
      <c r="C159" s="133">
        <v>141200</v>
      </c>
      <c r="D159" s="133">
        <v>141200</v>
      </c>
      <c r="E159" s="387">
        <f>141200+72000</f>
        <v>213200</v>
      </c>
      <c r="F159" s="133">
        <f>141200+72000</f>
        <v>213200</v>
      </c>
      <c r="G159" s="133">
        <f>141200+72000</f>
        <v>213200</v>
      </c>
      <c r="H159" s="474">
        <v>0</v>
      </c>
      <c r="I159" s="477">
        <f t="shared" si="56"/>
        <v>0</v>
      </c>
      <c r="J159" s="143"/>
    </row>
    <row r="160" spans="1:13" x14ac:dyDescent="0.25">
      <c r="A160" s="194" t="s">
        <v>140</v>
      </c>
      <c r="B160" s="195" t="s">
        <v>349</v>
      </c>
      <c r="C160" s="136">
        <v>0</v>
      </c>
      <c r="D160" s="136">
        <v>0</v>
      </c>
      <c r="E160" s="136">
        <v>0</v>
      </c>
      <c r="F160" s="136">
        <v>0</v>
      </c>
      <c r="G160" s="389">
        <v>3800</v>
      </c>
      <c r="H160" s="402"/>
      <c r="I160" s="477">
        <f t="shared" si="56"/>
        <v>0</v>
      </c>
      <c r="J160" s="143"/>
    </row>
    <row r="161" spans="1:13" ht="15" customHeight="1" thickBot="1" x14ac:dyDescent="0.3">
      <c r="A161" s="306" t="s">
        <v>126</v>
      </c>
      <c r="B161" s="307" t="s">
        <v>314</v>
      </c>
      <c r="C161" s="182">
        <v>13000</v>
      </c>
      <c r="D161" s="182">
        <v>13000</v>
      </c>
      <c r="E161" s="182">
        <v>13000</v>
      </c>
      <c r="F161" s="182">
        <v>13000</v>
      </c>
      <c r="G161" s="182">
        <v>13000</v>
      </c>
      <c r="H161" s="482">
        <v>0</v>
      </c>
      <c r="I161" s="477">
        <f t="shared" si="56"/>
        <v>0</v>
      </c>
      <c r="J161" s="141"/>
    </row>
    <row r="162" spans="1:13" x14ac:dyDescent="0.25">
      <c r="A162" s="137"/>
      <c r="B162" s="138"/>
      <c r="C162" s="140"/>
      <c r="D162" s="140"/>
      <c r="E162" s="140"/>
      <c r="F162" s="140"/>
      <c r="G162" s="140"/>
    </row>
    <row r="163" spans="1:13" x14ac:dyDescent="0.25">
      <c r="A163" s="141"/>
      <c r="B163" s="142"/>
      <c r="C163" s="143" t="s">
        <v>157</v>
      </c>
      <c r="D163" s="143"/>
      <c r="E163" s="143"/>
      <c r="F163" s="143"/>
      <c r="G163" s="143"/>
    </row>
    <row r="164" spans="1:13" ht="18.75" thickBot="1" x14ac:dyDescent="0.3">
      <c r="A164" s="1012" t="s">
        <v>158</v>
      </c>
      <c r="B164" s="1013"/>
      <c r="C164" s="1013"/>
      <c r="D164" s="1013"/>
      <c r="E164" s="1013"/>
      <c r="F164" s="1013"/>
      <c r="G164" s="1013"/>
      <c r="H164" s="1013"/>
      <c r="I164" s="1013"/>
    </row>
    <row r="165" spans="1:13" x14ac:dyDescent="0.25">
      <c r="A165" s="992" t="s">
        <v>1</v>
      </c>
      <c r="B165" s="993"/>
      <c r="C165" s="996">
        <v>2017</v>
      </c>
      <c r="D165" s="996" t="s">
        <v>235</v>
      </c>
      <c r="E165" s="996" t="s">
        <v>279</v>
      </c>
      <c r="F165" s="996" t="s">
        <v>310</v>
      </c>
      <c r="G165" s="996" t="s">
        <v>348</v>
      </c>
      <c r="H165" s="996" t="s">
        <v>383</v>
      </c>
      <c r="I165" s="338" t="s">
        <v>280</v>
      </c>
    </row>
    <row r="166" spans="1:13" ht="15.75" thickBot="1" x14ac:dyDescent="0.3">
      <c r="A166" s="994"/>
      <c r="B166" s="995"/>
      <c r="C166" s="997"/>
      <c r="D166" s="997"/>
      <c r="E166" s="997"/>
      <c r="F166" s="997"/>
      <c r="G166" s="997"/>
      <c r="H166" s="997"/>
      <c r="I166" s="417" t="s">
        <v>281</v>
      </c>
    </row>
    <row r="167" spans="1:13" ht="16.5" thickBot="1" x14ac:dyDescent="0.3">
      <c r="A167" s="144" t="s">
        <v>159</v>
      </c>
      <c r="B167" s="145"/>
      <c r="C167" s="146">
        <f t="shared" ref="C167:D167" si="58">SUM(C168:C170)</f>
        <v>714200</v>
      </c>
      <c r="D167" s="146">
        <f t="shared" si="58"/>
        <v>730100</v>
      </c>
      <c r="E167" s="146">
        <f t="shared" ref="E167:H167" si="59">SUM(E168:E170)</f>
        <v>749100</v>
      </c>
      <c r="F167" s="146">
        <f t="shared" si="59"/>
        <v>749100</v>
      </c>
      <c r="G167" s="146">
        <f t="shared" ref="G167" si="60">SUM(G168:G170)</f>
        <v>767100</v>
      </c>
      <c r="H167" s="486">
        <f t="shared" si="59"/>
        <v>39</v>
      </c>
      <c r="I167" s="489">
        <f>H167/G167</f>
        <v>5.0840829096597578E-5</v>
      </c>
      <c r="J167" s="171">
        <f>G167-F167</f>
        <v>18000</v>
      </c>
    </row>
    <row r="168" spans="1:13" x14ac:dyDescent="0.25">
      <c r="A168" s="147">
        <v>454</v>
      </c>
      <c r="B168" s="47" t="s">
        <v>160</v>
      </c>
      <c r="C168" s="148">
        <f>312800</f>
        <v>312800</v>
      </c>
      <c r="D168" s="393">
        <f>312800+15900</f>
        <v>328700</v>
      </c>
      <c r="E168" s="393">
        <f>312800+15900-11000</f>
        <v>317700</v>
      </c>
      <c r="F168" s="148">
        <f>312800+15900-11000</f>
        <v>317700</v>
      </c>
      <c r="G168" s="148">
        <f>312800+15900-11000</f>
        <v>317700</v>
      </c>
      <c r="H168" s="487">
        <v>0</v>
      </c>
      <c r="I168" s="490">
        <f t="shared" ref="I168:I173" si="61">H168/G168</f>
        <v>0</v>
      </c>
    </row>
    <row r="169" spans="1:13" x14ac:dyDescent="0.25">
      <c r="A169" s="149">
        <v>453</v>
      </c>
      <c r="B169" s="150" t="s">
        <v>161</v>
      </c>
      <c r="C169" s="151">
        <v>1500</v>
      </c>
      <c r="D169" s="151">
        <v>1500</v>
      </c>
      <c r="E169" s="151">
        <v>1500</v>
      </c>
      <c r="F169" s="151">
        <v>1500</v>
      </c>
      <c r="G169" s="151">
        <v>1500</v>
      </c>
      <c r="H169" s="488">
        <v>39</v>
      </c>
      <c r="I169" s="490">
        <f t="shared" si="61"/>
        <v>2.5999999999999999E-2</v>
      </c>
    </row>
    <row r="170" spans="1:13" ht="15.75" thickBot="1" x14ac:dyDescent="0.3">
      <c r="A170" s="149">
        <v>513</v>
      </c>
      <c r="B170" s="150" t="s">
        <v>162</v>
      </c>
      <c r="C170" s="151">
        <f>500000-100100</f>
        <v>399900</v>
      </c>
      <c r="D170" s="151">
        <f t="shared" ref="D170" si="62">500000-100100</f>
        <v>399900</v>
      </c>
      <c r="E170" s="394">
        <f>500000-100100+11000+19000</f>
        <v>429900</v>
      </c>
      <c r="F170" s="151">
        <f>500000-100100+11000+19000</f>
        <v>429900</v>
      </c>
      <c r="G170" s="394">
        <f>500000-100100+11000+19000+18000</f>
        <v>447900</v>
      </c>
      <c r="H170" s="488">
        <v>0</v>
      </c>
      <c r="I170" s="490">
        <f t="shared" si="61"/>
        <v>0</v>
      </c>
      <c r="J170" s="312"/>
      <c r="M170" s="172"/>
    </row>
    <row r="171" spans="1:13" ht="16.5" thickBot="1" x14ac:dyDescent="0.3">
      <c r="A171" s="144" t="s">
        <v>163</v>
      </c>
      <c r="B171" s="145"/>
      <c r="C171" s="146">
        <f t="shared" ref="C171:D171" si="63">SUM(C172:C173)</f>
        <v>53800</v>
      </c>
      <c r="D171" s="146">
        <f t="shared" si="63"/>
        <v>53800</v>
      </c>
      <c r="E171" s="146">
        <f t="shared" ref="E171:H171" si="64">SUM(E172:E173)</f>
        <v>53800</v>
      </c>
      <c r="F171" s="146">
        <f t="shared" si="64"/>
        <v>53800</v>
      </c>
      <c r="G171" s="146">
        <f t="shared" ref="G171" si="65">SUM(G172:G173)</f>
        <v>53800</v>
      </c>
      <c r="H171" s="486">
        <f t="shared" si="64"/>
        <v>391</v>
      </c>
      <c r="I171" s="490">
        <f t="shared" si="61"/>
        <v>7.2676579925650556E-3</v>
      </c>
      <c r="J171" s="157"/>
    </row>
    <row r="172" spans="1:13" x14ac:dyDescent="0.25">
      <c r="A172" s="152">
        <v>821</v>
      </c>
      <c r="B172" s="153" t="s">
        <v>164</v>
      </c>
      <c r="C172" s="154">
        <v>53000</v>
      </c>
      <c r="D172" s="154">
        <v>53000</v>
      </c>
      <c r="E172" s="154">
        <v>53000</v>
      </c>
      <c r="F172" s="154">
        <v>53000</v>
      </c>
      <c r="G172" s="154">
        <v>53000</v>
      </c>
      <c r="H172" s="443">
        <v>0</v>
      </c>
      <c r="I172" s="490">
        <f t="shared" si="61"/>
        <v>0</v>
      </c>
      <c r="J172" s="138"/>
    </row>
    <row r="173" spans="1:13" ht="15" customHeight="1" thickBot="1" x14ac:dyDescent="0.3">
      <c r="A173" s="27">
        <v>821</v>
      </c>
      <c r="B173" s="155" t="s">
        <v>165</v>
      </c>
      <c r="C173" s="71">
        <v>800</v>
      </c>
      <c r="D173" s="71">
        <v>800</v>
      </c>
      <c r="E173" s="71">
        <v>800</v>
      </c>
      <c r="F173" s="71">
        <v>800</v>
      </c>
      <c r="G173" s="71">
        <v>800</v>
      </c>
      <c r="H173" s="348">
        <v>391</v>
      </c>
      <c r="I173" s="491">
        <f t="shared" si="61"/>
        <v>0.48875000000000002</v>
      </c>
      <c r="J173" t="s">
        <v>384</v>
      </c>
    </row>
    <row r="174" spans="1:13" x14ac:dyDescent="0.25">
      <c r="A174" s="141"/>
      <c r="B174" s="156"/>
      <c r="C174" s="157"/>
      <c r="D174" s="157"/>
      <c r="E174" s="157"/>
      <c r="F174" s="157"/>
      <c r="G174" s="157"/>
      <c r="H174" s="157"/>
    </row>
    <row r="175" spans="1:13" ht="16.5" thickBot="1" x14ac:dyDescent="0.3">
      <c r="A175" s="58"/>
      <c r="B175" s="138"/>
      <c r="C175" s="138"/>
      <c r="D175" s="138"/>
      <c r="E175" s="138"/>
      <c r="F175" s="138"/>
      <c r="G175" s="138"/>
      <c r="H175" s="138"/>
      <c r="K175" s="172"/>
    </row>
    <row r="176" spans="1:13" ht="18.75" thickBot="1" x14ac:dyDescent="0.3">
      <c r="A176" s="1018" t="s">
        <v>166</v>
      </c>
      <c r="B176" s="1019"/>
      <c r="C176" s="1019"/>
      <c r="D176" s="1019"/>
      <c r="E176" s="1019"/>
      <c r="F176" s="1019"/>
      <c r="G176" s="1019"/>
      <c r="H176" s="1020"/>
      <c r="L176" s="172"/>
    </row>
    <row r="177" spans="1:10" x14ac:dyDescent="0.25">
      <c r="A177" s="992" t="s">
        <v>1</v>
      </c>
      <c r="B177" s="993"/>
      <c r="C177" s="996">
        <v>2017</v>
      </c>
      <c r="D177" s="996" t="s">
        <v>235</v>
      </c>
      <c r="E177" s="996" t="s">
        <v>279</v>
      </c>
      <c r="F177" s="996" t="s">
        <v>310</v>
      </c>
      <c r="G177" s="996" t="s">
        <v>348</v>
      </c>
      <c r="H177" s="996" t="s">
        <v>383</v>
      </c>
    </row>
    <row r="178" spans="1:10" ht="15.75" thickBot="1" x14ac:dyDescent="0.3">
      <c r="A178" s="994"/>
      <c r="B178" s="995"/>
      <c r="C178" s="997"/>
      <c r="D178" s="997"/>
      <c r="E178" s="997"/>
      <c r="F178" s="997"/>
      <c r="G178" s="997"/>
      <c r="H178" s="997"/>
    </row>
    <row r="179" spans="1:10" ht="15.75" x14ac:dyDescent="0.25">
      <c r="A179" s="158" t="s">
        <v>167</v>
      </c>
      <c r="B179" s="16"/>
      <c r="C179" s="159">
        <f t="shared" ref="C179:H179" si="66">C63</f>
        <v>1761540</v>
      </c>
      <c r="D179" s="159">
        <f t="shared" si="66"/>
        <v>1786123</v>
      </c>
      <c r="E179" s="159">
        <f t="shared" si="66"/>
        <v>1791123</v>
      </c>
      <c r="F179" s="159">
        <f t="shared" si="66"/>
        <v>1820123</v>
      </c>
      <c r="G179" s="159">
        <f t="shared" si="66"/>
        <v>1852053</v>
      </c>
      <c r="H179" s="159">
        <f t="shared" si="66"/>
        <v>906489</v>
      </c>
      <c r="J179" s="171">
        <f>G179-F179</f>
        <v>31930</v>
      </c>
    </row>
    <row r="180" spans="1:10" ht="15.75" x14ac:dyDescent="0.25">
      <c r="A180" s="160" t="s">
        <v>168</v>
      </c>
      <c r="B180" s="10"/>
      <c r="C180" s="161">
        <f t="shared" ref="C180:H180" si="67">C121</f>
        <v>1609140</v>
      </c>
      <c r="D180" s="161">
        <f t="shared" si="67"/>
        <v>1633723</v>
      </c>
      <c r="E180" s="161">
        <f t="shared" si="67"/>
        <v>1638723</v>
      </c>
      <c r="F180" s="161">
        <f t="shared" si="67"/>
        <v>1656723</v>
      </c>
      <c r="G180" s="161">
        <f t="shared" si="67"/>
        <v>1677753</v>
      </c>
      <c r="H180" s="161">
        <f t="shared" si="67"/>
        <v>717736</v>
      </c>
      <c r="J180" s="171">
        <f t="shared" ref="J180:J188" si="68">G180-F180</f>
        <v>21030</v>
      </c>
    </row>
    <row r="181" spans="1:10" ht="15.75" x14ac:dyDescent="0.25">
      <c r="A181" s="1014" t="s">
        <v>169</v>
      </c>
      <c r="B181" s="1015"/>
      <c r="C181" s="162">
        <f t="shared" ref="C181:H181" si="69">C179-C180</f>
        <v>152400</v>
      </c>
      <c r="D181" s="162">
        <f t="shared" si="69"/>
        <v>152400</v>
      </c>
      <c r="E181" s="162">
        <f t="shared" si="69"/>
        <v>152400</v>
      </c>
      <c r="F181" s="162">
        <f t="shared" si="69"/>
        <v>163400</v>
      </c>
      <c r="G181" s="162">
        <f t="shared" ref="G181" si="70">G179-G180</f>
        <v>174300</v>
      </c>
      <c r="H181" s="162">
        <f t="shared" si="69"/>
        <v>188753</v>
      </c>
      <c r="J181" s="171">
        <f t="shared" si="68"/>
        <v>10900</v>
      </c>
    </row>
    <row r="182" spans="1:10" ht="15.75" x14ac:dyDescent="0.25">
      <c r="A182" s="160" t="s">
        <v>170</v>
      </c>
      <c r="B182" s="10"/>
      <c r="C182" s="161">
        <f t="shared" ref="C182:H182" si="71">C126</f>
        <v>1669100</v>
      </c>
      <c r="D182" s="161">
        <f t="shared" si="71"/>
        <v>1653200</v>
      </c>
      <c r="E182" s="161">
        <f t="shared" si="71"/>
        <v>1748000</v>
      </c>
      <c r="F182" s="161">
        <f t="shared" si="71"/>
        <v>1748000</v>
      </c>
      <c r="G182" s="161">
        <f t="shared" si="71"/>
        <v>1778000</v>
      </c>
      <c r="H182" s="161">
        <f t="shared" si="71"/>
        <v>12503</v>
      </c>
      <c r="J182" s="171">
        <f t="shared" si="68"/>
        <v>30000</v>
      </c>
    </row>
    <row r="183" spans="1:10" ht="15.75" x14ac:dyDescent="0.25">
      <c r="A183" s="160" t="s">
        <v>171</v>
      </c>
      <c r="B183" s="10"/>
      <c r="C183" s="11">
        <f t="shared" ref="C183:H183" si="72">C136</f>
        <v>2481900</v>
      </c>
      <c r="D183" s="11">
        <f t="shared" si="72"/>
        <v>2481900</v>
      </c>
      <c r="E183" s="11">
        <f t="shared" si="72"/>
        <v>2595700</v>
      </c>
      <c r="F183" s="11">
        <f t="shared" si="72"/>
        <v>2606700</v>
      </c>
      <c r="G183" s="11">
        <f t="shared" si="72"/>
        <v>2665600</v>
      </c>
      <c r="H183" s="11">
        <f t="shared" si="72"/>
        <v>7317</v>
      </c>
      <c r="J183" s="171">
        <f t="shared" si="68"/>
        <v>58900</v>
      </c>
    </row>
    <row r="184" spans="1:10" ht="15.75" x14ac:dyDescent="0.25">
      <c r="A184" s="1014" t="s">
        <v>172</v>
      </c>
      <c r="B184" s="1015"/>
      <c r="C184" s="162">
        <f t="shared" ref="C184:H184" si="73">C182-C183</f>
        <v>-812800</v>
      </c>
      <c r="D184" s="162">
        <f t="shared" si="73"/>
        <v>-828700</v>
      </c>
      <c r="E184" s="162">
        <f t="shared" si="73"/>
        <v>-847700</v>
      </c>
      <c r="F184" s="162">
        <f t="shared" si="73"/>
        <v>-858700</v>
      </c>
      <c r="G184" s="162">
        <f t="shared" ref="G184" si="74">G182-G183</f>
        <v>-887600</v>
      </c>
      <c r="H184" s="162">
        <f t="shared" si="73"/>
        <v>5186</v>
      </c>
      <c r="J184" s="171">
        <f t="shared" si="68"/>
        <v>-28900</v>
      </c>
    </row>
    <row r="185" spans="1:10" ht="15.75" x14ac:dyDescent="0.25">
      <c r="A185" s="163" t="s">
        <v>173</v>
      </c>
      <c r="B185" s="164"/>
      <c r="C185" s="165">
        <f t="shared" ref="C185:H185" si="75">C167</f>
        <v>714200</v>
      </c>
      <c r="D185" s="165">
        <f t="shared" si="75"/>
        <v>730100</v>
      </c>
      <c r="E185" s="165">
        <f t="shared" si="75"/>
        <v>749100</v>
      </c>
      <c r="F185" s="165">
        <f t="shared" si="75"/>
        <v>749100</v>
      </c>
      <c r="G185" s="165">
        <f t="shared" si="75"/>
        <v>767100</v>
      </c>
      <c r="H185" s="165">
        <f t="shared" si="75"/>
        <v>39</v>
      </c>
      <c r="I185" s="208"/>
      <c r="J185" s="171">
        <f t="shared" si="68"/>
        <v>18000</v>
      </c>
    </row>
    <row r="186" spans="1:10" ht="15.75" x14ac:dyDescent="0.25">
      <c r="A186" s="163" t="s">
        <v>174</v>
      </c>
      <c r="B186" s="164"/>
      <c r="C186" s="165">
        <f t="shared" ref="C186:H186" si="76">C171</f>
        <v>53800</v>
      </c>
      <c r="D186" s="165">
        <f t="shared" si="76"/>
        <v>53800</v>
      </c>
      <c r="E186" s="165">
        <f t="shared" si="76"/>
        <v>53800</v>
      </c>
      <c r="F186" s="165">
        <f t="shared" si="76"/>
        <v>53800</v>
      </c>
      <c r="G186" s="165">
        <f t="shared" si="76"/>
        <v>53800</v>
      </c>
      <c r="H186" s="165">
        <f t="shared" si="76"/>
        <v>391</v>
      </c>
      <c r="J186" s="171">
        <f t="shared" si="68"/>
        <v>0</v>
      </c>
    </row>
    <row r="187" spans="1:10" ht="16.5" thickBot="1" x14ac:dyDescent="0.3">
      <c r="A187" s="1016" t="s">
        <v>175</v>
      </c>
      <c r="B187" s="1017"/>
      <c r="C187" s="166">
        <f t="shared" ref="C187:H187" si="77">C185-C186</f>
        <v>660400</v>
      </c>
      <c r="D187" s="166">
        <f t="shared" si="77"/>
        <v>676300</v>
      </c>
      <c r="E187" s="166">
        <f t="shared" si="77"/>
        <v>695300</v>
      </c>
      <c r="F187" s="166">
        <f t="shared" si="77"/>
        <v>695300</v>
      </c>
      <c r="G187" s="166">
        <f t="shared" ref="G187" si="78">G185-G186</f>
        <v>713300</v>
      </c>
      <c r="H187" s="166">
        <f t="shared" si="77"/>
        <v>-352</v>
      </c>
      <c r="J187" s="171">
        <f t="shared" si="68"/>
        <v>18000</v>
      </c>
    </row>
    <row r="188" spans="1:10" ht="16.5" thickBot="1" x14ac:dyDescent="0.3">
      <c r="A188" s="167" t="s">
        <v>176</v>
      </c>
      <c r="B188" s="168"/>
      <c r="C188" s="169">
        <f t="shared" ref="C188:H188" si="79">C181+C184+C187</f>
        <v>0</v>
      </c>
      <c r="D188" s="169">
        <f t="shared" si="79"/>
        <v>0</v>
      </c>
      <c r="E188" s="169">
        <f t="shared" si="79"/>
        <v>0</v>
      </c>
      <c r="F188" s="169">
        <f t="shared" si="79"/>
        <v>0</v>
      </c>
      <c r="G188" s="169">
        <f t="shared" ref="G188" si="80">G181+G184+G187</f>
        <v>0</v>
      </c>
      <c r="H188" s="169">
        <f t="shared" si="79"/>
        <v>193587</v>
      </c>
      <c r="J188" s="171">
        <f t="shared" si="68"/>
        <v>0</v>
      </c>
    </row>
    <row r="190" spans="1:10" x14ac:dyDescent="0.25">
      <c r="B190" s="170" t="s">
        <v>177</v>
      </c>
      <c r="C190" s="171">
        <f t="shared" ref="C190:H191" si="81">C179+C182+C185</f>
        <v>4144840</v>
      </c>
      <c r="D190" s="171">
        <f t="shared" si="81"/>
        <v>4169423</v>
      </c>
      <c r="E190" s="171">
        <f t="shared" si="81"/>
        <v>4288223</v>
      </c>
      <c r="F190" s="171">
        <f t="shared" si="81"/>
        <v>4317223</v>
      </c>
      <c r="G190" s="171">
        <f t="shared" ref="G190" si="82">G179+G182+G185</f>
        <v>4397153</v>
      </c>
      <c r="H190" s="171">
        <f t="shared" si="81"/>
        <v>919031</v>
      </c>
      <c r="J190" s="171">
        <f>G190-F190</f>
        <v>79930</v>
      </c>
    </row>
    <row r="191" spans="1:10" x14ac:dyDescent="0.25">
      <c r="B191" s="170" t="s">
        <v>178</v>
      </c>
      <c r="C191" s="171">
        <f t="shared" si="81"/>
        <v>4144840</v>
      </c>
      <c r="D191" s="171">
        <f t="shared" si="81"/>
        <v>4169423</v>
      </c>
      <c r="E191" s="171">
        <f t="shared" si="81"/>
        <v>4288223</v>
      </c>
      <c r="F191" s="171">
        <f t="shared" si="81"/>
        <v>4317223</v>
      </c>
      <c r="G191" s="171">
        <f t="shared" ref="G191" si="83">G180+G183+G186</f>
        <v>4397153</v>
      </c>
      <c r="H191" s="171">
        <f t="shared" si="81"/>
        <v>725444</v>
      </c>
      <c r="J191" s="171">
        <f t="shared" ref="J191:J194" si="84">G191-F191</f>
        <v>79930</v>
      </c>
    </row>
    <row r="192" spans="1:10" x14ac:dyDescent="0.25">
      <c r="B192" s="170"/>
      <c r="C192" s="171"/>
      <c r="D192" s="171"/>
      <c r="E192" s="171"/>
      <c r="F192" s="171"/>
      <c r="G192" s="171"/>
      <c r="H192" s="171"/>
      <c r="J192" s="171">
        <f t="shared" si="84"/>
        <v>0</v>
      </c>
    </row>
    <row r="193" spans="2:10" x14ac:dyDescent="0.25">
      <c r="B193" s="170" t="s">
        <v>179</v>
      </c>
      <c r="C193" s="171">
        <f t="shared" ref="C193:H193" si="85">C190-C62</f>
        <v>4141840</v>
      </c>
      <c r="D193" s="171">
        <f t="shared" si="85"/>
        <v>4166073</v>
      </c>
      <c r="E193" s="171">
        <f t="shared" si="85"/>
        <v>4284873</v>
      </c>
      <c r="F193" s="171">
        <f t="shared" si="85"/>
        <v>4313873</v>
      </c>
      <c r="G193" s="171">
        <f t="shared" si="85"/>
        <v>4391033</v>
      </c>
      <c r="H193" s="171">
        <f t="shared" si="85"/>
        <v>918399</v>
      </c>
      <c r="I193" s="172"/>
      <c r="J193" s="171">
        <f t="shared" si="84"/>
        <v>77160</v>
      </c>
    </row>
    <row r="194" spans="2:10" x14ac:dyDescent="0.25">
      <c r="B194" s="170" t="s">
        <v>180</v>
      </c>
      <c r="C194" s="171">
        <f t="shared" ref="C194:H194" si="86">C191-C120</f>
        <v>3716400</v>
      </c>
      <c r="D194" s="171">
        <f t="shared" si="86"/>
        <v>3718596</v>
      </c>
      <c r="E194" s="171">
        <f t="shared" si="86"/>
        <v>3837396</v>
      </c>
      <c r="F194" s="171">
        <f t="shared" si="86"/>
        <v>3866396</v>
      </c>
      <c r="G194" s="171">
        <f t="shared" si="86"/>
        <v>3943496</v>
      </c>
      <c r="H194" s="171">
        <f t="shared" si="86"/>
        <v>493503</v>
      </c>
      <c r="J194" s="171">
        <f t="shared" si="84"/>
        <v>77100</v>
      </c>
    </row>
    <row r="195" spans="2:10" x14ac:dyDescent="0.25">
      <c r="B195" s="170"/>
      <c r="C195" s="171"/>
      <c r="D195" s="171"/>
      <c r="E195" s="171"/>
      <c r="F195" s="171"/>
      <c r="G195" s="171"/>
      <c r="H195" s="171"/>
      <c r="J195" s="171"/>
    </row>
    <row r="197" spans="2:10" x14ac:dyDescent="0.25">
      <c r="B197" t="s">
        <v>181</v>
      </c>
    </row>
    <row r="199" spans="2:10" x14ac:dyDescent="0.25">
      <c r="B199" s="172" t="s">
        <v>315</v>
      </c>
      <c r="C199" s="172"/>
      <c r="D199" s="172"/>
      <c r="E199" s="172"/>
      <c r="F199" s="172"/>
      <c r="G199" s="172"/>
      <c r="H199" s="172"/>
    </row>
    <row r="200" spans="2:10" x14ac:dyDescent="0.25">
      <c r="B200" s="172" t="s">
        <v>316</v>
      </c>
    </row>
    <row r="201" spans="2:10" x14ac:dyDescent="0.25">
      <c r="B201" s="172" t="s">
        <v>317</v>
      </c>
    </row>
    <row r="202" spans="2:10" x14ac:dyDescent="0.25">
      <c r="B202" s="172" t="s">
        <v>324</v>
      </c>
    </row>
    <row r="203" spans="2:10" x14ac:dyDescent="0.25">
      <c r="B203" s="172" t="s">
        <v>381</v>
      </c>
    </row>
    <row r="204" spans="2:10" x14ac:dyDescent="0.25">
      <c r="B204" s="261"/>
    </row>
    <row r="205" spans="2:10" x14ac:dyDescent="0.25">
      <c r="B205" s="261" t="s">
        <v>382</v>
      </c>
    </row>
  </sheetData>
  <mergeCells count="48">
    <mergeCell ref="G165:G166"/>
    <mergeCell ref="E165:E166"/>
    <mergeCell ref="F165:F166"/>
    <mergeCell ref="A181:B181"/>
    <mergeCell ref="A184:B184"/>
    <mergeCell ref="A187:B187"/>
    <mergeCell ref="A176:H176"/>
    <mergeCell ref="A177:B178"/>
    <mergeCell ref="C177:C178"/>
    <mergeCell ref="D177:D178"/>
    <mergeCell ref="E177:E178"/>
    <mergeCell ref="F177:F178"/>
    <mergeCell ref="H177:H178"/>
    <mergeCell ref="G177:G178"/>
    <mergeCell ref="H165:H166"/>
    <mergeCell ref="A84:B84"/>
    <mergeCell ref="A123:I123"/>
    <mergeCell ref="A124:B125"/>
    <mergeCell ref="C124:C125"/>
    <mergeCell ref="D124:D125"/>
    <mergeCell ref="E124:E125"/>
    <mergeCell ref="F124:F125"/>
    <mergeCell ref="H124:H125"/>
    <mergeCell ref="G124:G125"/>
    <mergeCell ref="A126:B126"/>
    <mergeCell ref="A136:B136"/>
    <mergeCell ref="A164:I164"/>
    <mergeCell ref="A165:B166"/>
    <mergeCell ref="C165:C166"/>
    <mergeCell ref="D165:D166"/>
    <mergeCell ref="A4:B4"/>
    <mergeCell ref="A12:B12"/>
    <mergeCell ref="A65:I65"/>
    <mergeCell ref="A66:B67"/>
    <mergeCell ref="C66:C67"/>
    <mergeCell ref="D66:D67"/>
    <mergeCell ref="E66:E67"/>
    <mergeCell ref="F66:F67"/>
    <mergeCell ref="H66:H67"/>
    <mergeCell ref="G66:G67"/>
    <mergeCell ref="A1:I1"/>
    <mergeCell ref="A2:B3"/>
    <mergeCell ref="C2:C3"/>
    <mergeCell ref="D2:D3"/>
    <mergeCell ref="E2:E3"/>
    <mergeCell ref="F2:F3"/>
    <mergeCell ref="H2:H3"/>
    <mergeCell ref="G2:G3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Header>&amp;C&amp;"-,Tučné"&amp;12Rozpočet obce Heľpa na rok 2017
4. zmena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zoomScale="106" zoomScaleNormal="106" workbookViewId="0">
      <selection sqref="A1:H1"/>
    </sheetView>
  </sheetViews>
  <sheetFormatPr defaultRowHeight="15" x14ac:dyDescent="0.25"/>
  <cols>
    <col min="2" max="2" width="60.5703125" customWidth="1"/>
    <col min="3" max="3" width="12.85546875" customWidth="1"/>
    <col min="4" max="6" width="12.7109375" customWidth="1"/>
    <col min="7" max="7" width="12" customWidth="1"/>
    <col min="8" max="8" width="8.5703125" customWidth="1"/>
    <col min="12" max="12" width="12.140625" bestFit="1" customWidth="1"/>
  </cols>
  <sheetData>
    <row r="1" spans="1:8" ht="23.25" customHeight="1" thickBot="1" x14ac:dyDescent="0.3">
      <c r="A1" s="956" t="s">
        <v>0</v>
      </c>
      <c r="B1" s="957"/>
      <c r="C1" s="957"/>
      <c r="D1" s="957"/>
      <c r="E1" s="957"/>
      <c r="F1" s="957"/>
      <c r="G1" s="957"/>
      <c r="H1" s="957"/>
    </row>
    <row r="2" spans="1:8" ht="15" customHeight="1" x14ac:dyDescent="0.25">
      <c r="A2" s="992" t="s">
        <v>1</v>
      </c>
      <c r="B2" s="993"/>
      <c r="C2" s="996">
        <v>2017</v>
      </c>
      <c r="D2" s="996" t="s">
        <v>235</v>
      </c>
      <c r="E2" s="996" t="s">
        <v>279</v>
      </c>
      <c r="F2" s="996" t="s">
        <v>310</v>
      </c>
      <c r="G2" s="996" t="s">
        <v>322</v>
      </c>
      <c r="H2" s="338" t="s">
        <v>280</v>
      </c>
    </row>
    <row r="3" spans="1:8" ht="15.75" thickBot="1" x14ac:dyDescent="0.3">
      <c r="A3" s="994"/>
      <c r="B3" s="995"/>
      <c r="C3" s="997"/>
      <c r="D3" s="997"/>
      <c r="E3" s="997"/>
      <c r="F3" s="997"/>
      <c r="G3" s="997"/>
      <c r="H3" s="341" t="s">
        <v>281</v>
      </c>
    </row>
    <row r="4" spans="1:8" ht="15.75" thickBot="1" x14ac:dyDescent="0.3">
      <c r="A4" s="1000" t="s">
        <v>2</v>
      </c>
      <c r="B4" s="1001"/>
      <c r="C4" s="1">
        <f t="shared" ref="C4:E4" si="0">SUM(C5:C11)</f>
        <v>1009400</v>
      </c>
      <c r="D4" s="1">
        <f t="shared" si="0"/>
        <v>1009400</v>
      </c>
      <c r="E4" s="1">
        <f t="shared" si="0"/>
        <v>1009400</v>
      </c>
      <c r="F4" s="1">
        <f t="shared" ref="F4" si="1">SUM(F5:F11)</f>
        <v>1014400</v>
      </c>
      <c r="G4" s="1">
        <f t="shared" ref="G4" si="2">SUM(G5:G11)</f>
        <v>391554</v>
      </c>
      <c r="H4" s="368">
        <f>G4/F4</f>
        <v>0.38599566246056782</v>
      </c>
    </row>
    <row r="5" spans="1:8" ht="15.75" thickBot="1" x14ac:dyDescent="0.3">
      <c r="A5" s="2">
        <v>111</v>
      </c>
      <c r="B5" s="3" t="s">
        <v>3</v>
      </c>
      <c r="C5" s="4">
        <v>950000</v>
      </c>
      <c r="D5" s="4">
        <v>950000</v>
      </c>
      <c r="E5" s="4">
        <v>950000</v>
      </c>
      <c r="F5" s="376">
        <f>950000+5000</f>
        <v>955000</v>
      </c>
      <c r="G5" s="4">
        <v>366421</v>
      </c>
      <c r="H5" s="369">
        <f t="shared" ref="H5:H61" si="3">G5/F5</f>
        <v>0.38368691099476437</v>
      </c>
    </row>
    <row r="6" spans="1:8" ht="15.75" thickBot="1" x14ac:dyDescent="0.3">
      <c r="A6" s="5">
        <v>121</v>
      </c>
      <c r="B6" s="6" t="s">
        <v>4</v>
      </c>
      <c r="C6" s="173">
        <v>32000</v>
      </c>
      <c r="D6" s="173">
        <v>32000</v>
      </c>
      <c r="E6" s="173">
        <v>32000</v>
      </c>
      <c r="F6" s="173">
        <v>32000</v>
      </c>
      <c r="G6" s="173">
        <v>13755</v>
      </c>
      <c r="H6" s="369">
        <f t="shared" si="3"/>
        <v>0.42984375000000002</v>
      </c>
    </row>
    <row r="7" spans="1:8" x14ac:dyDescent="0.25">
      <c r="A7" s="7">
        <v>133</v>
      </c>
      <c r="B7" s="8" t="s">
        <v>5</v>
      </c>
      <c r="C7" s="18">
        <v>1000</v>
      </c>
      <c r="D7" s="18">
        <v>1000</v>
      </c>
      <c r="E7" s="18">
        <v>1000</v>
      </c>
      <c r="F7" s="18">
        <v>1000</v>
      </c>
      <c r="G7" s="18">
        <v>759</v>
      </c>
      <c r="H7" s="369">
        <f t="shared" si="3"/>
        <v>0.75900000000000001</v>
      </c>
    </row>
    <row r="8" spans="1:8" x14ac:dyDescent="0.25">
      <c r="A8" s="9">
        <v>133</v>
      </c>
      <c r="B8" s="10" t="s">
        <v>6</v>
      </c>
      <c r="C8" s="19">
        <v>400</v>
      </c>
      <c r="D8" s="19">
        <v>400</v>
      </c>
      <c r="E8" s="19">
        <v>400</v>
      </c>
      <c r="F8" s="19">
        <v>400</v>
      </c>
      <c r="G8" s="19">
        <v>130</v>
      </c>
      <c r="H8" s="369">
        <f t="shared" si="3"/>
        <v>0.32500000000000001</v>
      </c>
    </row>
    <row r="9" spans="1:8" x14ac:dyDescent="0.25">
      <c r="A9" s="9">
        <v>133</v>
      </c>
      <c r="B9" s="10" t="s">
        <v>7</v>
      </c>
      <c r="C9" s="19">
        <v>2000</v>
      </c>
      <c r="D9" s="19">
        <v>2000</v>
      </c>
      <c r="E9" s="19">
        <v>2000</v>
      </c>
      <c r="F9" s="19">
        <v>2000</v>
      </c>
      <c r="G9" s="19">
        <v>233</v>
      </c>
      <c r="H9" s="369">
        <f t="shared" si="3"/>
        <v>0.11650000000000001</v>
      </c>
    </row>
    <row r="10" spans="1:8" x14ac:dyDescent="0.25">
      <c r="A10" s="9">
        <v>133</v>
      </c>
      <c r="B10" s="10" t="s">
        <v>8</v>
      </c>
      <c r="C10" s="19">
        <v>5000</v>
      </c>
      <c r="D10" s="19">
        <v>5000</v>
      </c>
      <c r="E10" s="19">
        <v>5000</v>
      </c>
      <c r="F10" s="19">
        <v>5000</v>
      </c>
      <c r="G10" s="19">
        <v>480</v>
      </c>
      <c r="H10" s="369">
        <f t="shared" si="3"/>
        <v>9.6000000000000002E-2</v>
      </c>
    </row>
    <row r="11" spans="1:8" ht="15.75" thickBot="1" x14ac:dyDescent="0.3">
      <c r="A11" s="12">
        <v>133</v>
      </c>
      <c r="B11" s="13" t="s">
        <v>9</v>
      </c>
      <c r="C11" s="14">
        <v>19000</v>
      </c>
      <c r="D11" s="14">
        <v>19000</v>
      </c>
      <c r="E11" s="14">
        <v>19000</v>
      </c>
      <c r="F11" s="14">
        <v>19000</v>
      </c>
      <c r="G11" s="14">
        <v>9776</v>
      </c>
      <c r="H11" s="369">
        <f t="shared" si="3"/>
        <v>0.51452631578947372</v>
      </c>
    </row>
    <row r="12" spans="1:8" ht="15.75" thickBot="1" x14ac:dyDescent="0.3">
      <c r="A12" s="1000" t="s">
        <v>10</v>
      </c>
      <c r="B12" s="1001"/>
      <c r="C12" s="1">
        <f t="shared" ref="C12:E12" si="4">SUM(C13:C30)</f>
        <v>159850</v>
      </c>
      <c r="D12" s="1">
        <f t="shared" si="4"/>
        <v>159882</v>
      </c>
      <c r="E12" s="1">
        <f t="shared" si="4"/>
        <v>159882</v>
      </c>
      <c r="F12" s="1">
        <f t="shared" ref="F12" si="5">SUM(F13:F30)</f>
        <v>159882</v>
      </c>
      <c r="G12" s="1">
        <f t="shared" ref="G12" si="6">SUM(G13:G30)</f>
        <v>42418</v>
      </c>
      <c r="H12" s="369">
        <f t="shared" si="3"/>
        <v>0.26530816477151897</v>
      </c>
    </row>
    <row r="13" spans="1:8" x14ac:dyDescent="0.25">
      <c r="A13" s="15">
        <v>212</v>
      </c>
      <c r="B13" s="16" t="s">
        <v>11</v>
      </c>
      <c r="C13" s="17">
        <v>2282</v>
      </c>
      <c r="D13" s="17">
        <v>2282</v>
      </c>
      <c r="E13" s="17">
        <v>2282</v>
      </c>
      <c r="F13" s="17">
        <v>2282</v>
      </c>
      <c r="G13" s="17">
        <v>630</v>
      </c>
      <c r="H13" s="369">
        <f t="shared" si="3"/>
        <v>0.27607361963190186</v>
      </c>
    </row>
    <row r="14" spans="1:8" x14ac:dyDescent="0.25">
      <c r="A14" s="7">
        <v>212</v>
      </c>
      <c r="B14" s="8" t="s">
        <v>12</v>
      </c>
      <c r="C14" s="18">
        <v>500</v>
      </c>
      <c r="D14" s="18">
        <v>500</v>
      </c>
      <c r="E14" s="18">
        <v>500</v>
      </c>
      <c r="F14" s="18">
        <v>500</v>
      </c>
      <c r="G14" s="18">
        <v>99</v>
      </c>
      <c r="H14" s="369">
        <f t="shared" si="3"/>
        <v>0.19800000000000001</v>
      </c>
    </row>
    <row r="15" spans="1:8" x14ac:dyDescent="0.25">
      <c r="A15" s="9">
        <v>212</v>
      </c>
      <c r="B15" s="10" t="s">
        <v>13</v>
      </c>
      <c r="C15" s="19">
        <v>3943</v>
      </c>
      <c r="D15" s="377">
        <f>3943+32</f>
        <v>3975</v>
      </c>
      <c r="E15" s="19">
        <f>3943+32</f>
        <v>3975</v>
      </c>
      <c r="F15" s="19">
        <f>3943+32</f>
        <v>3975</v>
      </c>
      <c r="G15" s="19">
        <v>1155</v>
      </c>
      <c r="H15" s="369">
        <f t="shared" si="3"/>
        <v>0.29056603773584905</v>
      </c>
    </row>
    <row r="16" spans="1:8" x14ac:dyDescent="0.25">
      <c r="A16" s="9">
        <v>212</v>
      </c>
      <c r="B16" s="10" t="s">
        <v>14</v>
      </c>
      <c r="C16" s="20">
        <v>15075</v>
      </c>
      <c r="D16" s="20">
        <f>15075</f>
        <v>15075</v>
      </c>
      <c r="E16" s="20">
        <f>15075</f>
        <v>15075</v>
      </c>
      <c r="F16" s="20">
        <f>15075</f>
        <v>15075</v>
      </c>
      <c r="G16" s="20">
        <v>4067</v>
      </c>
      <c r="H16" s="369">
        <f t="shared" si="3"/>
        <v>0.26978441127694858</v>
      </c>
    </row>
    <row r="17" spans="1:11" ht="15.75" thickBot="1" x14ac:dyDescent="0.3">
      <c r="A17" s="21">
        <v>212</v>
      </c>
      <c r="B17" s="22" t="s">
        <v>15</v>
      </c>
      <c r="C17" s="23">
        <v>200</v>
      </c>
      <c r="D17" s="23">
        <v>200</v>
      </c>
      <c r="E17" s="23">
        <v>200</v>
      </c>
      <c r="F17" s="23">
        <v>200</v>
      </c>
      <c r="G17" s="23">
        <v>0</v>
      </c>
      <c r="H17" s="369">
        <f t="shared" si="3"/>
        <v>0</v>
      </c>
      <c r="I17" s="171">
        <f>SUM(G13:G17)</f>
        <v>5951</v>
      </c>
      <c r="J17" s="171"/>
      <c r="K17" s="171"/>
    </row>
    <row r="18" spans="1:11" ht="15.75" thickBot="1" x14ac:dyDescent="0.3">
      <c r="A18" s="5">
        <v>221</v>
      </c>
      <c r="B18" s="6" t="s">
        <v>16</v>
      </c>
      <c r="C18" s="24">
        <v>11000</v>
      </c>
      <c r="D18" s="24">
        <v>11000</v>
      </c>
      <c r="E18" s="24">
        <v>11000</v>
      </c>
      <c r="F18" s="24">
        <v>11000</v>
      </c>
      <c r="G18" s="24">
        <v>1591</v>
      </c>
      <c r="H18" s="369">
        <f t="shared" si="3"/>
        <v>0.14463636363636365</v>
      </c>
    </row>
    <row r="19" spans="1:11" ht="15.75" thickBot="1" x14ac:dyDescent="0.3">
      <c r="A19" s="21">
        <v>222</v>
      </c>
      <c r="B19" s="22" t="s">
        <v>17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369">
        <v>0</v>
      </c>
    </row>
    <row r="20" spans="1:11" x14ac:dyDescent="0.25">
      <c r="A20" s="7">
        <v>223</v>
      </c>
      <c r="B20" s="8" t="s">
        <v>18</v>
      </c>
      <c r="C20" s="18">
        <v>900</v>
      </c>
      <c r="D20" s="18">
        <v>900</v>
      </c>
      <c r="E20" s="18">
        <v>900</v>
      </c>
      <c r="F20" s="18">
        <v>900</v>
      </c>
      <c r="G20" s="18">
        <v>127</v>
      </c>
      <c r="H20" s="369">
        <f t="shared" si="3"/>
        <v>0.1411111111111111</v>
      </c>
    </row>
    <row r="21" spans="1:11" x14ac:dyDescent="0.25">
      <c r="A21" s="9">
        <v>223</v>
      </c>
      <c r="B21" s="10" t="s">
        <v>19</v>
      </c>
      <c r="C21" s="19">
        <v>18000</v>
      </c>
      <c r="D21" s="19">
        <v>18000</v>
      </c>
      <c r="E21" s="19">
        <v>18000</v>
      </c>
      <c r="F21" s="19">
        <v>18000</v>
      </c>
      <c r="G21" s="19">
        <v>5349</v>
      </c>
      <c r="H21" s="369">
        <f t="shared" si="3"/>
        <v>0.29716666666666669</v>
      </c>
    </row>
    <row r="22" spans="1:11" x14ac:dyDescent="0.25">
      <c r="A22" s="9">
        <v>223</v>
      </c>
      <c r="B22" s="10" t="s">
        <v>20</v>
      </c>
      <c r="C22" s="19">
        <v>30000</v>
      </c>
      <c r="D22" s="19">
        <v>30000</v>
      </c>
      <c r="E22" s="19">
        <v>30000</v>
      </c>
      <c r="F22" s="19">
        <v>30000</v>
      </c>
      <c r="G22" s="19">
        <v>444</v>
      </c>
      <c r="H22" s="369">
        <f t="shared" si="3"/>
        <v>1.4800000000000001E-2</v>
      </c>
    </row>
    <row r="23" spans="1:11" x14ac:dyDescent="0.25">
      <c r="A23" s="9">
        <v>223</v>
      </c>
      <c r="B23" s="10" t="s">
        <v>21</v>
      </c>
      <c r="C23" s="19">
        <v>1000</v>
      </c>
      <c r="D23" s="19">
        <v>1000</v>
      </c>
      <c r="E23" s="19">
        <v>1000</v>
      </c>
      <c r="F23" s="19">
        <v>1000</v>
      </c>
      <c r="G23" s="19">
        <v>0</v>
      </c>
      <c r="H23" s="369">
        <f t="shared" si="3"/>
        <v>0</v>
      </c>
    </row>
    <row r="24" spans="1:11" x14ac:dyDescent="0.25">
      <c r="A24" s="9">
        <v>223</v>
      </c>
      <c r="B24" s="10" t="s">
        <v>22</v>
      </c>
      <c r="C24" s="19">
        <v>700</v>
      </c>
      <c r="D24" s="19">
        <v>700</v>
      </c>
      <c r="E24" s="19">
        <v>700</v>
      </c>
      <c r="F24" s="19">
        <v>700</v>
      </c>
      <c r="G24" s="19">
        <v>206</v>
      </c>
      <c r="H24" s="369">
        <f t="shared" si="3"/>
        <v>0.29428571428571426</v>
      </c>
    </row>
    <row r="25" spans="1:11" x14ac:dyDescent="0.25">
      <c r="A25" s="9">
        <v>223</v>
      </c>
      <c r="B25" s="10" t="s">
        <v>23</v>
      </c>
      <c r="C25" s="19">
        <v>24000</v>
      </c>
      <c r="D25" s="19">
        <v>24000</v>
      </c>
      <c r="E25" s="19">
        <v>24000</v>
      </c>
      <c r="F25" s="19">
        <v>24000</v>
      </c>
      <c r="G25" s="19">
        <v>13507</v>
      </c>
      <c r="H25" s="369">
        <f t="shared" si="3"/>
        <v>0.56279166666666669</v>
      </c>
    </row>
    <row r="26" spans="1:11" x14ac:dyDescent="0.25">
      <c r="A26" s="9">
        <v>223</v>
      </c>
      <c r="B26" s="10" t="s">
        <v>24</v>
      </c>
      <c r="C26" s="19">
        <v>21650</v>
      </c>
      <c r="D26" s="19">
        <v>21650</v>
      </c>
      <c r="E26" s="19">
        <v>21650</v>
      </c>
      <c r="F26" s="19">
        <v>21650</v>
      </c>
      <c r="G26" s="19">
        <v>6656</v>
      </c>
      <c r="H26" s="369">
        <f t="shared" si="3"/>
        <v>0.30743648960739028</v>
      </c>
    </row>
    <row r="27" spans="1:11" x14ac:dyDescent="0.25">
      <c r="A27" s="9">
        <v>223</v>
      </c>
      <c r="B27" s="10" t="s">
        <v>25</v>
      </c>
      <c r="C27" s="19">
        <v>18000</v>
      </c>
      <c r="D27" s="19">
        <v>18000</v>
      </c>
      <c r="E27" s="19">
        <v>18000</v>
      </c>
      <c r="F27" s="19">
        <v>18000</v>
      </c>
      <c r="G27" s="19">
        <v>3812</v>
      </c>
      <c r="H27" s="369">
        <f t="shared" si="3"/>
        <v>0.21177777777777779</v>
      </c>
    </row>
    <row r="28" spans="1:11" x14ac:dyDescent="0.25">
      <c r="A28" s="9">
        <v>223</v>
      </c>
      <c r="B28" s="10" t="s">
        <v>26</v>
      </c>
      <c r="C28" s="25">
        <v>10000</v>
      </c>
      <c r="D28" s="25">
        <v>10000</v>
      </c>
      <c r="E28" s="25">
        <v>10000</v>
      </c>
      <c r="F28" s="25">
        <v>10000</v>
      </c>
      <c r="G28" s="25">
        <v>4132</v>
      </c>
      <c r="H28" s="369">
        <f t="shared" si="3"/>
        <v>0.41320000000000001</v>
      </c>
    </row>
    <row r="29" spans="1:11" x14ac:dyDescent="0.25">
      <c r="A29" s="9">
        <v>223</v>
      </c>
      <c r="B29" s="10" t="s">
        <v>27</v>
      </c>
      <c r="C29" s="19">
        <v>2500</v>
      </c>
      <c r="D29" s="19">
        <v>2500</v>
      </c>
      <c r="E29" s="19">
        <v>2500</v>
      </c>
      <c r="F29" s="19">
        <v>2500</v>
      </c>
      <c r="G29" s="19">
        <v>643</v>
      </c>
      <c r="H29" s="369">
        <f t="shared" si="3"/>
        <v>0.25719999999999998</v>
      </c>
    </row>
    <row r="30" spans="1:11" ht="15.75" thickBot="1" x14ac:dyDescent="0.3">
      <c r="A30" s="12">
        <v>223</v>
      </c>
      <c r="B30" s="13" t="s">
        <v>28</v>
      </c>
      <c r="C30" s="26">
        <v>100</v>
      </c>
      <c r="D30" s="26">
        <v>100</v>
      </c>
      <c r="E30" s="26">
        <v>100</v>
      </c>
      <c r="F30" s="26">
        <v>100</v>
      </c>
      <c r="G30" s="26">
        <v>0</v>
      </c>
      <c r="H30" s="369">
        <f t="shared" si="3"/>
        <v>0</v>
      </c>
      <c r="I30" s="171">
        <f>SUM(G18:G30)</f>
        <v>36467</v>
      </c>
      <c r="J30" s="171"/>
      <c r="K30" s="171"/>
    </row>
    <row r="31" spans="1:11" ht="15.75" thickBot="1" x14ac:dyDescent="0.3">
      <c r="A31" s="336" t="s">
        <v>29</v>
      </c>
      <c r="B31" s="337"/>
      <c r="C31" s="1">
        <f t="shared" ref="C31:G31" si="7">SUM(C32)</f>
        <v>600</v>
      </c>
      <c r="D31" s="1">
        <f t="shared" si="7"/>
        <v>600</v>
      </c>
      <c r="E31" s="1">
        <f t="shared" si="7"/>
        <v>600</v>
      </c>
      <c r="F31" s="1">
        <f t="shared" si="7"/>
        <v>600</v>
      </c>
      <c r="G31" s="1">
        <f t="shared" si="7"/>
        <v>83</v>
      </c>
      <c r="H31" s="369">
        <f t="shared" si="3"/>
        <v>0.13833333333333334</v>
      </c>
    </row>
    <row r="32" spans="1:11" ht="15.75" thickBot="1" x14ac:dyDescent="0.3">
      <c r="A32" s="27">
        <v>240</v>
      </c>
      <c r="B32" s="28" t="s">
        <v>30</v>
      </c>
      <c r="C32" s="23">
        <v>600</v>
      </c>
      <c r="D32" s="23">
        <v>600</v>
      </c>
      <c r="E32" s="23">
        <v>600</v>
      </c>
      <c r="F32" s="23">
        <v>600</v>
      </c>
      <c r="G32" s="23">
        <v>83</v>
      </c>
      <c r="H32" s="369">
        <f t="shared" si="3"/>
        <v>0.13833333333333334</v>
      </c>
    </row>
    <row r="33" spans="1:8" ht="15.75" thickBot="1" x14ac:dyDescent="0.3">
      <c r="A33" s="336" t="s">
        <v>31</v>
      </c>
      <c r="B33" s="337"/>
      <c r="C33" s="1">
        <f>SUM(C34:C40)</f>
        <v>39730</v>
      </c>
      <c r="D33" s="1">
        <f>SUM(D34:D40)</f>
        <v>41710</v>
      </c>
      <c r="E33" s="1">
        <f>SUM(E34:E40)</f>
        <v>41710</v>
      </c>
      <c r="F33" s="1">
        <f>SUM(F34:F40)</f>
        <v>42960</v>
      </c>
      <c r="G33" s="1">
        <f>SUM(G34:G40)</f>
        <v>9098</v>
      </c>
      <c r="H33" s="369">
        <f t="shared" si="3"/>
        <v>0.21177839851024208</v>
      </c>
    </row>
    <row r="34" spans="1:8" x14ac:dyDescent="0.25">
      <c r="A34" s="29">
        <v>292</v>
      </c>
      <c r="B34" s="30" t="s">
        <v>32</v>
      </c>
      <c r="C34" s="31">
        <v>200</v>
      </c>
      <c r="D34" s="31">
        <v>200</v>
      </c>
      <c r="E34" s="31">
        <v>200</v>
      </c>
      <c r="F34" s="31">
        <v>200</v>
      </c>
      <c r="G34" s="31">
        <v>0</v>
      </c>
      <c r="H34" s="369">
        <f t="shared" si="3"/>
        <v>0</v>
      </c>
    </row>
    <row r="35" spans="1:8" x14ac:dyDescent="0.25">
      <c r="A35" s="29">
        <v>292</v>
      </c>
      <c r="B35" s="30" t="s">
        <v>33</v>
      </c>
      <c r="C35" s="31">
        <v>300</v>
      </c>
      <c r="D35" s="31">
        <v>300</v>
      </c>
      <c r="E35" s="31">
        <v>300</v>
      </c>
      <c r="F35" s="383">
        <f>300+250</f>
        <v>550</v>
      </c>
      <c r="G35" s="31">
        <v>173</v>
      </c>
      <c r="H35" s="369">
        <f t="shared" si="3"/>
        <v>0.31454545454545457</v>
      </c>
    </row>
    <row r="36" spans="1:8" x14ac:dyDescent="0.25">
      <c r="A36" s="32">
        <v>292</v>
      </c>
      <c r="B36" s="33" t="s">
        <v>276</v>
      </c>
      <c r="C36" s="34">
        <v>0</v>
      </c>
      <c r="D36" s="374">
        <v>2000</v>
      </c>
      <c r="E36" s="34">
        <v>2000</v>
      </c>
      <c r="F36" s="34">
        <v>2000</v>
      </c>
      <c r="G36" s="34">
        <v>1998</v>
      </c>
      <c r="H36" s="369">
        <f t="shared" si="3"/>
        <v>0.999</v>
      </c>
    </row>
    <row r="37" spans="1:8" x14ac:dyDescent="0.25">
      <c r="A37" s="32">
        <v>292</v>
      </c>
      <c r="B37" s="33" t="s">
        <v>277</v>
      </c>
      <c r="C37" s="34">
        <v>15000</v>
      </c>
      <c r="D37" s="34">
        <v>15000</v>
      </c>
      <c r="E37" s="34">
        <v>15000</v>
      </c>
      <c r="F37" s="34">
        <v>15000</v>
      </c>
      <c r="G37" s="34">
        <v>1688</v>
      </c>
      <c r="H37" s="369">
        <f t="shared" si="3"/>
        <v>0.11253333333333333</v>
      </c>
    </row>
    <row r="38" spans="1:8" x14ac:dyDescent="0.25">
      <c r="A38" s="32">
        <v>292</v>
      </c>
      <c r="B38" s="10" t="s">
        <v>35</v>
      </c>
      <c r="C38" s="35">
        <v>230</v>
      </c>
      <c r="D38" s="378">
        <f>230-20</f>
        <v>210</v>
      </c>
      <c r="E38" s="35">
        <f>230-20</f>
        <v>210</v>
      </c>
      <c r="F38" s="35">
        <f>230-20</f>
        <v>210</v>
      </c>
      <c r="G38" s="35">
        <v>0</v>
      </c>
      <c r="H38" s="369">
        <f t="shared" si="3"/>
        <v>0</v>
      </c>
    </row>
    <row r="39" spans="1:8" x14ac:dyDescent="0.25">
      <c r="A39" s="32">
        <v>292</v>
      </c>
      <c r="B39" s="33" t="s">
        <v>36</v>
      </c>
      <c r="C39" s="34">
        <v>21000</v>
      </c>
      <c r="D39" s="34">
        <v>21000</v>
      </c>
      <c r="E39" s="34">
        <v>21000</v>
      </c>
      <c r="F39" s="374">
        <f>21000+1000</f>
        <v>22000</v>
      </c>
      <c r="G39" s="34">
        <v>5196</v>
      </c>
      <c r="H39" s="369">
        <f t="shared" si="3"/>
        <v>0.23618181818181819</v>
      </c>
    </row>
    <row r="40" spans="1:8" ht="15.75" thickBot="1" x14ac:dyDescent="0.3">
      <c r="A40" s="32">
        <v>292</v>
      </c>
      <c r="B40" s="33" t="s">
        <v>37</v>
      </c>
      <c r="C40" s="34">
        <v>3000</v>
      </c>
      <c r="D40" s="34">
        <v>3000</v>
      </c>
      <c r="E40" s="34">
        <v>3000</v>
      </c>
      <c r="F40" s="34">
        <v>3000</v>
      </c>
      <c r="G40" s="34">
        <v>43</v>
      </c>
      <c r="H40" s="369">
        <f t="shared" si="3"/>
        <v>1.4333333333333333E-2</v>
      </c>
    </row>
    <row r="41" spans="1:8" ht="15.75" thickBot="1" x14ac:dyDescent="0.3">
      <c r="A41" s="36" t="s">
        <v>38</v>
      </c>
      <c r="B41" s="37"/>
      <c r="C41" s="1">
        <f>SUM(C42:C58)</f>
        <v>548960</v>
      </c>
      <c r="D41" s="1">
        <f>SUM(D42:D58)</f>
        <v>571181</v>
      </c>
      <c r="E41" s="1">
        <f>SUM(E42:E58)</f>
        <v>576181</v>
      </c>
      <c r="F41" s="1">
        <f>SUM(F42:F58)</f>
        <v>598931</v>
      </c>
      <c r="G41" s="1">
        <f>SUM(G42:G58)</f>
        <v>196083</v>
      </c>
      <c r="H41" s="369">
        <f t="shared" si="3"/>
        <v>0.32738829681549292</v>
      </c>
    </row>
    <row r="42" spans="1:8" x14ac:dyDescent="0.25">
      <c r="A42" s="38">
        <v>311</v>
      </c>
      <c r="B42" s="39" t="s">
        <v>330</v>
      </c>
      <c r="C42" s="40">
        <v>0</v>
      </c>
      <c r="D42" s="40">
        <v>0</v>
      </c>
      <c r="E42" s="40">
        <v>0</v>
      </c>
      <c r="F42" s="400">
        <v>5950</v>
      </c>
      <c r="G42" s="40">
        <v>0</v>
      </c>
      <c r="H42" s="369">
        <f t="shared" si="3"/>
        <v>0</v>
      </c>
    </row>
    <row r="43" spans="1:8" x14ac:dyDescent="0.25">
      <c r="A43" s="38">
        <v>312</v>
      </c>
      <c r="B43" s="39" t="s">
        <v>39</v>
      </c>
      <c r="C43" s="40">
        <v>3500</v>
      </c>
      <c r="D43" s="40">
        <v>3500</v>
      </c>
      <c r="E43" s="40">
        <v>3500</v>
      </c>
      <c r="F43" s="40">
        <v>3500</v>
      </c>
      <c r="G43" s="40">
        <v>0</v>
      </c>
      <c r="H43" s="369">
        <f t="shared" ref="H43" si="8">G43/F43</f>
        <v>0</v>
      </c>
    </row>
    <row r="44" spans="1:8" x14ac:dyDescent="0.25">
      <c r="A44" s="41">
        <v>312</v>
      </c>
      <c r="B44" s="10" t="s">
        <v>40</v>
      </c>
      <c r="C44" s="18">
        <v>7200</v>
      </c>
      <c r="D44" s="18">
        <v>7200</v>
      </c>
      <c r="E44" s="18">
        <v>7200</v>
      </c>
      <c r="F44" s="18">
        <v>7200</v>
      </c>
      <c r="G44" s="18">
        <v>3638</v>
      </c>
      <c r="H44" s="369">
        <f t="shared" si="3"/>
        <v>0.50527777777777783</v>
      </c>
    </row>
    <row r="45" spans="1:8" x14ac:dyDescent="0.25">
      <c r="A45" s="41">
        <v>312</v>
      </c>
      <c r="B45" s="10" t="s">
        <v>41</v>
      </c>
      <c r="C45" s="18">
        <v>3000</v>
      </c>
      <c r="D45" s="18">
        <v>3000</v>
      </c>
      <c r="E45" s="18">
        <v>3000</v>
      </c>
      <c r="F45" s="18">
        <v>3000</v>
      </c>
      <c r="G45" s="18">
        <v>0</v>
      </c>
      <c r="H45" s="369">
        <f t="shared" si="3"/>
        <v>0</v>
      </c>
    </row>
    <row r="46" spans="1:8" x14ac:dyDescent="0.25">
      <c r="A46" s="41">
        <v>312</v>
      </c>
      <c r="B46" s="42" t="s">
        <v>200</v>
      </c>
      <c r="C46" s="43">
        <v>61000</v>
      </c>
      <c r="D46" s="43">
        <v>61000</v>
      </c>
      <c r="E46" s="43">
        <v>61000</v>
      </c>
      <c r="F46" s="43">
        <v>61000</v>
      </c>
      <c r="G46" s="43">
        <v>996</v>
      </c>
      <c r="H46" s="369">
        <f t="shared" si="3"/>
        <v>1.6327868852459015E-2</v>
      </c>
    </row>
    <row r="47" spans="1:8" x14ac:dyDescent="0.25">
      <c r="A47" s="41">
        <v>312</v>
      </c>
      <c r="B47" s="42" t="s">
        <v>42</v>
      </c>
      <c r="C47" s="18">
        <v>12800</v>
      </c>
      <c r="D47" s="18">
        <v>12800</v>
      </c>
      <c r="E47" s="18">
        <v>12800</v>
      </c>
      <c r="F47" s="18">
        <v>12800</v>
      </c>
      <c r="G47" s="18">
        <v>6032</v>
      </c>
      <c r="H47" s="369">
        <f t="shared" si="3"/>
        <v>0.47125</v>
      </c>
    </row>
    <row r="48" spans="1:8" x14ac:dyDescent="0.25">
      <c r="A48" s="41">
        <v>312</v>
      </c>
      <c r="B48" s="42" t="s">
        <v>43</v>
      </c>
      <c r="C48" s="18">
        <v>21800</v>
      </c>
      <c r="D48" s="18">
        <v>21800</v>
      </c>
      <c r="E48" s="18">
        <v>21800</v>
      </c>
      <c r="F48" s="18">
        <v>21800</v>
      </c>
      <c r="G48" s="18">
        <v>5450</v>
      </c>
      <c r="H48" s="369">
        <f t="shared" si="3"/>
        <v>0.25</v>
      </c>
    </row>
    <row r="49" spans="1:11" x14ac:dyDescent="0.25">
      <c r="A49" s="41">
        <v>312</v>
      </c>
      <c r="B49" s="42" t="s">
        <v>44</v>
      </c>
      <c r="C49" s="18">
        <v>7700</v>
      </c>
      <c r="D49" s="18">
        <v>7700</v>
      </c>
      <c r="E49" s="18">
        <v>7700</v>
      </c>
      <c r="F49" s="18">
        <v>7700</v>
      </c>
      <c r="G49" s="18">
        <v>1911</v>
      </c>
      <c r="H49" s="369">
        <f t="shared" si="3"/>
        <v>0.24818181818181817</v>
      </c>
    </row>
    <row r="50" spans="1:11" x14ac:dyDescent="0.25">
      <c r="A50" s="41">
        <v>312</v>
      </c>
      <c r="B50" s="42" t="s">
        <v>47</v>
      </c>
      <c r="C50" s="18">
        <v>700</v>
      </c>
      <c r="D50" s="18">
        <v>700</v>
      </c>
      <c r="E50" s="18">
        <v>700</v>
      </c>
      <c r="F50" s="379">
        <v>1400</v>
      </c>
      <c r="G50" s="18">
        <v>0</v>
      </c>
      <c r="H50" s="369">
        <f t="shared" si="3"/>
        <v>0</v>
      </c>
    </row>
    <row r="51" spans="1:11" x14ac:dyDescent="0.25">
      <c r="A51" s="44">
        <v>312</v>
      </c>
      <c r="B51" s="39" t="s">
        <v>292</v>
      </c>
      <c r="C51" s="45">
        <v>0</v>
      </c>
      <c r="D51" s="45">
        <v>0</v>
      </c>
      <c r="E51" s="380">
        <v>5000</v>
      </c>
      <c r="F51" s="45">
        <v>5000</v>
      </c>
      <c r="G51" s="45">
        <v>2500</v>
      </c>
      <c r="H51" s="369">
        <f t="shared" si="3"/>
        <v>0.5</v>
      </c>
    </row>
    <row r="52" spans="1:11" x14ac:dyDescent="0.25">
      <c r="A52" s="41">
        <v>312</v>
      </c>
      <c r="B52" s="42" t="s">
        <v>46</v>
      </c>
      <c r="C52" s="18">
        <v>15500</v>
      </c>
      <c r="D52" s="18">
        <v>15500</v>
      </c>
      <c r="E52" s="18">
        <v>15500</v>
      </c>
      <c r="F52" s="18">
        <v>15500</v>
      </c>
      <c r="G52" s="18">
        <v>15485</v>
      </c>
      <c r="H52" s="369">
        <f t="shared" si="3"/>
        <v>0.99903225806451612</v>
      </c>
    </row>
    <row r="53" spans="1:11" x14ac:dyDescent="0.25">
      <c r="A53" s="41">
        <v>312</v>
      </c>
      <c r="B53" s="42" t="s">
        <v>329</v>
      </c>
      <c r="C53" s="18">
        <v>0</v>
      </c>
      <c r="D53" s="18">
        <v>0</v>
      </c>
      <c r="E53" s="18">
        <v>0</v>
      </c>
      <c r="F53" s="379">
        <v>2100</v>
      </c>
      <c r="G53" s="18">
        <v>0</v>
      </c>
      <c r="H53" s="369">
        <f t="shared" si="3"/>
        <v>0</v>
      </c>
    </row>
    <row r="54" spans="1:11" x14ac:dyDescent="0.25">
      <c r="A54" s="41">
        <v>312</v>
      </c>
      <c r="B54" s="42" t="s">
        <v>320</v>
      </c>
      <c r="C54" s="18">
        <v>0</v>
      </c>
      <c r="D54" s="18">
        <v>0</v>
      </c>
      <c r="E54" s="18">
        <v>0</v>
      </c>
      <c r="F54" s="379">
        <v>14000</v>
      </c>
      <c r="G54" s="18">
        <v>0</v>
      </c>
      <c r="H54" s="369">
        <v>0</v>
      </c>
    </row>
    <row r="55" spans="1:11" ht="15" customHeight="1" x14ac:dyDescent="0.25">
      <c r="A55" s="46">
        <v>312</v>
      </c>
      <c r="B55" s="10" t="s">
        <v>49</v>
      </c>
      <c r="C55" s="19">
        <f t="shared" ref="C55" si="9">3900+220</f>
        <v>4120</v>
      </c>
      <c r="D55" s="377">
        <f>3900+220-220</f>
        <v>3900</v>
      </c>
      <c r="E55" s="19">
        <f>3900+220-220</f>
        <v>3900</v>
      </c>
      <c r="F55" s="19">
        <f>3900+220-220</f>
        <v>3900</v>
      </c>
      <c r="G55" s="19">
        <v>3856</v>
      </c>
      <c r="H55" s="369">
        <f t="shared" si="3"/>
        <v>0.98871794871794871</v>
      </c>
    </row>
    <row r="56" spans="1:11" x14ac:dyDescent="0.25">
      <c r="A56" s="46">
        <v>312</v>
      </c>
      <c r="B56" s="47" t="s">
        <v>50</v>
      </c>
      <c r="C56" s="20">
        <v>3000</v>
      </c>
      <c r="D56" s="20">
        <v>3000</v>
      </c>
      <c r="E56" s="20">
        <v>3000</v>
      </c>
      <c r="F56" s="20">
        <v>3000</v>
      </c>
      <c r="G56" s="20">
        <v>0</v>
      </c>
      <c r="H56" s="369">
        <f t="shared" si="3"/>
        <v>0</v>
      </c>
    </row>
    <row r="57" spans="1:11" ht="19.5" customHeight="1" x14ac:dyDescent="0.25">
      <c r="A57" s="46">
        <v>312</v>
      </c>
      <c r="B57" s="48" t="s">
        <v>51</v>
      </c>
      <c r="C57" s="20">
        <v>2200</v>
      </c>
      <c r="D57" s="381">
        <f>2200+404</f>
        <v>2604</v>
      </c>
      <c r="E57" s="20">
        <f>2200+404</f>
        <v>2604</v>
      </c>
      <c r="F57" s="20">
        <f>2200+404</f>
        <v>2604</v>
      </c>
      <c r="G57" s="20">
        <v>1736</v>
      </c>
      <c r="H57" s="369">
        <f t="shared" si="3"/>
        <v>0.66666666666666663</v>
      </c>
    </row>
    <row r="58" spans="1:11" ht="15.75" thickBot="1" x14ac:dyDescent="0.3">
      <c r="A58" s="49">
        <v>312</v>
      </c>
      <c r="B58" s="50" t="s">
        <v>52</v>
      </c>
      <c r="C58" s="51">
        <v>406440</v>
      </c>
      <c r="D58" s="51">
        <f>406440+22037</f>
        <v>428477</v>
      </c>
      <c r="E58" s="51">
        <f>406440+22037</f>
        <v>428477</v>
      </c>
      <c r="F58" s="51">
        <f>406440+22037</f>
        <v>428477</v>
      </c>
      <c r="G58" s="51">
        <v>154479</v>
      </c>
      <c r="H58" s="369">
        <f t="shared" si="3"/>
        <v>0.36053043687292435</v>
      </c>
    </row>
    <row r="59" spans="1:11" ht="16.5" thickBot="1" x14ac:dyDescent="0.3">
      <c r="A59" s="52" t="s">
        <v>53</v>
      </c>
      <c r="B59" s="53"/>
      <c r="C59" s="54">
        <f>SUM(C4+C12+C31+C33+C41)</f>
        <v>1758540</v>
      </c>
      <c r="D59" s="54">
        <f>SUM(D4+D12+D31+D33+D41)</f>
        <v>1782773</v>
      </c>
      <c r="E59" s="54">
        <f>SUM(E4+E12+E31+E33+E41)</f>
        <v>1787773</v>
      </c>
      <c r="F59" s="54">
        <f>SUM(F4+F12+F31+F33+F41)</f>
        <v>1816773</v>
      </c>
      <c r="G59" s="54">
        <f>SUM(G4+G12+G31+G33+G41)</f>
        <v>639236</v>
      </c>
      <c r="H59" s="369">
        <f t="shared" si="3"/>
        <v>0.35185243285759971</v>
      </c>
      <c r="I59" s="171">
        <f>F59-E59</f>
        <v>29000</v>
      </c>
      <c r="J59" s="171"/>
    </row>
    <row r="60" spans="1:11" ht="18" customHeight="1" thickBot="1" x14ac:dyDescent="0.3">
      <c r="A60" s="55" t="s">
        <v>54</v>
      </c>
      <c r="B60" s="56" t="s">
        <v>55</v>
      </c>
      <c r="C60" s="57">
        <v>3000</v>
      </c>
      <c r="D60" s="57">
        <f>3000+350</f>
        <v>3350</v>
      </c>
      <c r="E60" s="57">
        <f>3000+350</f>
        <v>3350</v>
      </c>
      <c r="F60" s="57">
        <f>3000+350</f>
        <v>3350</v>
      </c>
      <c r="G60" s="57">
        <f>345+287</f>
        <v>632</v>
      </c>
      <c r="H60" s="369">
        <f t="shared" si="3"/>
        <v>0.18865671641791046</v>
      </c>
    </row>
    <row r="61" spans="1:11" ht="20.25" customHeight="1" thickBot="1" x14ac:dyDescent="0.3">
      <c r="A61" s="52" t="s">
        <v>56</v>
      </c>
      <c r="B61" s="37"/>
      <c r="C61" s="54">
        <f t="shared" ref="C61" si="10">SUM(C59:C60)</f>
        <v>1761540</v>
      </c>
      <c r="D61" s="54">
        <f t="shared" ref="D61:E61" si="11">SUM(D59:D60)</f>
        <v>1786123</v>
      </c>
      <c r="E61" s="54">
        <f t="shared" si="11"/>
        <v>1791123</v>
      </c>
      <c r="F61" s="54">
        <f t="shared" ref="F61" si="12">SUM(F59:F60)</f>
        <v>1820123</v>
      </c>
      <c r="G61" s="54">
        <f t="shared" ref="G61" si="13">SUM(G59:G60)</f>
        <v>639868</v>
      </c>
      <c r="H61" s="370">
        <f t="shared" si="3"/>
        <v>0.3515520654373358</v>
      </c>
      <c r="K61" s="60"/>
    </row>
    <row r="62" spans="1:11" ht="15.75" x14ac:dyDescent="0.25">
      <c r="A62" s="58"/>
      <c r="B62" s="59"/>
      <c r="C62" s="60"/>
      <c r="D62" s="60"/>
      <c r="E62" s="60"/>
      <c r="F62" s="60"/>
      <c r="G62" s="60"/>
      <c r="H62" s="60"/>
      <c r="I62" s="60"/>
      <c r="J62" s="60"/>
      <c r="K62" s="59"/>
    </row>
    <row r="63" spans="1:11" ht="15" customHeight="1" x14ac:dyDescent="0.25">
      <c r="A63" s="58"/>
      <c r="B63" s="59"/>
      <c r="C63" s="59"/>
      <c r="D63" s="59"/>
      <c r="E63" s="59"/>
      <c r="F63" s="59"/>
      <c r="G63" s="59"/>
      <c r="H63" s="59"/>
      <c r="I63" s="59"/>
      <c r="J63" s="59"/>
    </row>
    <row r="64" spans="1:11" ht="18.75" thickBot="1" x14ac:dyDescent="0.3">
      <c r="A64" s="1002" t="s">
        <v>57</v>
      </c>
      <c r="B64" s="1003"/>
      <c r="C64" s="1003"/>
      <c r="D64" s="1003"/>
      <c r="E64" s="1003"/>
      <c r="F64" s="1003"/>
      <c r="G64" s="1003"/>
      <c r="H64" s="1003"/>
    </row>
    <row r="65" spans="1:8" x14ac:dyDescent="0.25">
      <c r="A65" s="992" t="s">
        <v>1</v>
      </c>
      <c r="B65" s="993"/>
      <c r="C65" s="996">
        <v>2017</v>
      </c>
      <c r="D65" s="996" t="s">
        <v>235</v>
      </c>
      <c r="E65" s="996" t="s">
        <v>279</v>
      </c>
      <c r="F65" s="996" t="s">
        <v>310</v>
      </c>
      <c r="G65" s="996" t="s">
        <v>322</v>
      </c>
      <c r="H65" s="338" t="s">
        <v>280</v>
      </c>
    </row>
    <row r="66" spans="1:8" ht="15.75" thickBot="1" x14ac:dyDescent="0.3">
      <c r="A66" s="994"/>
      <c r="B66" s="995"/>
      <c r="C66" s="997"/>
      <c r="D66" s="997"/>
      <c r="E66" s="997"/>
      <c r="F66" s="997"/>
      <c r="G66" s="997"/>
      <c r="H66" s="341" t="s">
        <v>281</v>
      </c>
    </row>
    <row r="67" spans="1:8" ht="15.75" thickBot="1" x14ac:dyDescent="0.3">
      <c r="A67" s="61" t="s">
        <v>58</v>
      </c>
      <c r="B67" s="62"/>
      <c r="C67" s="63">
        <f t="shared" ref="C67:E67" si="14">SUM(C68:C72)</f>
        <v>188500</v>
      </c>
      <c r="D67" s="63">
        <f t="shared" si="14"/>
        <v>188480</v>
      </c>
      <c r="E67" s="63">
        <f t="shared" si="14"/>
        <v>188480</v>
      </c>
      <c r="F67" s="63">
        <f t="shared" ref="F67:G67" si="15">SUM(F68:F72)</f>
        <v>191730</v>
      </c>
      <c r="G67" s="344">
        <f t="shared" si="15"/>
        <v>43691</v>
      </c>
      <c r="H67" s="365">
        <f>G67/F67</f>
        <v>0.22787774474521463</v>
      </c>
    </row>
    <row r="68" spans="1:8" x14ac:dyDescent="0.25">
      <c r="A68" s="64" t="s">
        <v>59</v>
      </c>
      <c r="B68" s="65" t="s">
        <v>60</v>
      </c>
      <c r="C68" s="66">
        <f>80000+16500</f>
        <v>96500</v>
      </c>
      <c r="D68" s="373">
        <f>80000+16500+200</f>
        <v>96700</v>
      </c>
      <c r="E68" s="66">
        <f>80000+16500+200</f>
        <v>96700</v>
      </c>
      <c r="F68" s="373">
        <f>80000+16500+200+250</f>
        <v>96950</v>
      </c>
      <c r="G68" s="345">
        <v>21984</v>
      </c>
      <c r="H68" s="366">
        <f t="shared" ref="H68:H120" si="16">G68/F68</f>
        <v>0.22675605982465188</v>
      </c>
    </row>
    <row r="69" spans="1:8" x14ac:dyDescent="0.25">
      <c r="A69" s="67" t="s">
        <v>61</v>
      </c>
      <c r="B69" s="42" t="s">
        <v>209</v>
      </c>
      <c r="C69" s="68">
        <f>7100+10600+32300</f>
        <v>50000</v>
      </c>
      <c r="D69" s="68">
        <f t="shared" ref="D69:E69" si="17">7100+10600+32300</f>
        <v>50000</v>
      </c>
      <c r="E69" s="68">
        <f t="shared" si="17"/>
        <v>50000</v>
      </c>
      <c r="F69" s="409">
        <f>7100+10600+32300+3000</f>
        <v>53000</v>
      </c>
      <c r="G69" s="346">
        <v>10672</v>
      </c>
      <c r="H69" s="366">
        <f t="shared" si="16"/>
        <v>0.20135849056603775</v>
      </c>
    </row>
    <row r="70" spans="1:8" x14ac:dyDescent="0.25">
      <c r="A70" s="67" t="s">
        <v>62</v>
      </c>
      <c r="B70" s="42" t="s">
        <v>208</v>
      </c>
      <c r="C70" s="68">
        <v>2000</v>
      </c>
      <c r="D70" s="68">
        <v>2000</v>
      </c>
      <c r="E70" s="68">
        <v>2000</v>
      </c>
      <c r="F70" s="68">
        <v>2000</v>
      </c>
      <c r="G70" s="346">
        <v>62</v>
      </c>
      <c r="H70" s="366">
        <f t="shared" si="16"/>
        <v>3.1E-2</v>
      </c>
    </row>
    <row r="71" spans="1:8" x14ac:dyDescent="0.25">
      <c r="A71" s="69" t="s">
        <v>63</v>
      </c>
      <c r="B71" s="42" t="s">
        <v>64</v>
      </c>
      <c r="C71" s="34">
        <f>3000+900+220+32380</f>
        <v>36500</v>
      </c>
      <c r="D71" s="374">
        <f>3000+900+220+32380-220</f>
        <v>36280</v>
      </c>
      <c r="E71" s="34">
        <f>3000+900+220+32380-220</f>
        <v>36280</v>
      </c>
      <c r="F71" s="34">
        <f>3000+900+220+32380-220</f>
        <v>36280</v>
      </c>
      <c r="G71" s="347">
        <v>10973</v>
      </c>
      <c r="H71" s="366">
        <f t="shared" si="16"/>
        <v>0.30245314222712238</v>
      </c>
    </row>
    <row r="72" spans="1:8" ht="15.75" thickBot="1" x14ac:dyDescent="0.3">
      <c r="A72" s="70" t="s">
        <v>65</v>
      </c>
      <c r="B72" s="3" t="s">
        <v>66</v>
      </c>
      <c r="C72" s="71">
        <v>3500</v>
      </c>
      <c r="D72" s="71">
        <v>3500</v>
      </c>
      <c r="E72" s="71">
        <v>3500</v>
      </c>
      <c r="F72" s="71">
        <v>3500</v>
      </c>
      <c r="G72" s="348">
        <v>0</v>
      </c>
      <c r="H72" s="366">
        <f t="shared" si="16"/>
        <v>0</v>
      </c>
    </row>
    <row r="73" spans="1:8" ht="15.75" thickBot="1" x14ac:dyDescent="0.3">
      <c r="A73" s="72" t="s">
        <v>67</v>
      </c>
      <c r="B73" s="73"/>
      <c r="C73" s="63">
        <f t="shared" ref="C73:G73" si="18">SUM(C74)</f>
        <v>1500</v>
      </c>
      <c r="D73" s="63">
        <f t="shared" si="18"/>
        <v>1480</v>
      </c>
      <c r="E73" s="63">
        <f t="shared" si="18"/>
        <v>1480</v>
      </c>
      <c r="F73" s="63">
        <f t="shared" si="18"/>
        <v>1480</v>
      </c>
      <c r="G73" s="344">
        <f t="shared" si="18"/>
        <v>12</v>
      </c>
      <c r="H73" s="366">
        <f t="shared" si="16"/>
        <v>8.1081081081081086E-3</v>
      </c>
    </row>
    <row r="74" spans="1:8" ht="15.75" thickBot="1" x14ac:dyDescent="0.3">
      <c r="A74" s="74" t="s">
        <v>68</v>
      </c>
      <c r="B74" s="59" t="s">
        <v>69</v>
      </c>
      <c r="C74" s="75">
        <v>1500</v>
      </c>
      <c r="D74" s="375">
        <f>1500-20</f>
        <v>1480</v>
      </c>
      <c r="E74" s="75">
        <f>1500-20</f>
        <v>1480</v>
      </c>
      <c r="F74" s="75">
        <f>1500-20</f>
        <v>1480</v>
      </c>
      <c r="G74" s="349">
        <v>12</v>
      </c>
      <c r="H74" s="366">
        <f t="shared" si="16"/>
        <v>8.1081081081081086E-3</v>
      </c>
    </row>
    <row r="75" spans="1:8" ht="15.75" thickBot="1" x14ac:dyDescent="0.3">
      <c r="A75" s="72" t="s">
        <v>70</v>
      </c>
      <c r="B75" s="73"/>
      <c r="C75" s="63">
        <f t="shared" ref="C75" si="19">SUM(C76:C77)</f>
        <v>10900</v>
      </c>
      <c r="D75" s="63">
        <f t="shared" ref="D75:E75" si="20">SUM(D76:D77)</f>
        <v>10900</v>
      </c>
      <c r="E75" s="63">
        <f t="shared" si="20"/>
        <v>10900</v>
      </c>
      <c r="F75" s="63">
        <f t="shared" ref="F75:G75" si="21">SUM(F76:F77)</f>
        <v>11600</v>
      </c>
      <c r="G75" s="344">
        <f t="shared" si="21"/>
        <v>2347</v>
      </c>
      <c r="H75" s="366">
        <f t="shared" si="16"/>
        <v>0.20232758620689656</v>
      </c>
    </row>
    <row r="76" spans="1:8" x14ac:dyDescent="0.25">
      <c r="A76" s="76" t="s">
        <v>71</v>
      </c>
      <c r="B76" s="77" t="s">
        <v>72</v>
      </c>
      <c r="C76" s="78">
        <v>10600</v>
      </c>
      <c r="D76" s="78">
        <v>10600</v>
      </c>
      <c r="E76" s="78">
        <v>10600</v>
      </c>
      <c r="F76" s="372">
        <f>10600+700</f>
        <v>11300</v>
      </c>
      <c r="G76" s="350">
        <v>2347</v>
      </c>
      <c r="H76" s="366">
        <f t="shared" si="16"/>
        <v>0.20769911504424779</v>
      </c>
    </row>
    <row r="77" spans="1:8" ht="15.75" thickBot="1" x14ac:dyDescent="0.3">
      <c r="A77" s="79" t="s">
        <v>73</v>
      </c>
      <c r="B77" s="80" t="s">
        <v>74</v>
      </c>
      <c r="C77" s="81">
        <v>300</v>
      </c>
      <c r="D77" s="81">
        <v>300</v>
      </c>
      <c r="E77" s="81">
        <v>300</v>
      </c>
      <c r="F77" s="81">
        <v>300</v>
      </c>
      <c r="G77" s="351">
        <v>0</v>
      </c>
      <c r="H77" s="366">
        <f t="shared" si="16"/>
        <v>0</v>
      </c>
    </row>
    <row r="78" spans="1:8" ht="15.75" thickBot="1" x14ac:dyDescent="0.3">
      <c r="A78" s="61" t="s">
        <v>75</v>
      </c>
      <c r="B78" s="82"/>
      <c r="C78" s="63">
        <f t="shared" ref="C78:E78" si="22">SUM(C79:C82)</f>
        <v>57000</v>
      </c>
      <c r="D78" s="63">
        <f t="shared" si="22"/>
        <v>57000</v>
      </c>
      <c r="E78" s="63">
        <f t="shared" si="22"/>
        <v>57000</v>
      </c>
      <c r="F78" s="63">
        <f t="shared" ref="F78:G78" si="23">SUM(F79:F82)</f>
        <v>57000</v>
      </c>
      <c r="G78" s="344">
        <f t="shared" si="23"/>
        <v>17662</v>
      </c>
      <c r="H78" s="366">
        <f t="shared" si="16"/>
        <v>0.309859649122807</v>
      </c>
    </row>
    <row r="79" spans="1:8" x14ac:dyDescent="0.25">
      <c r="A79" s="83" t="s">
        <v>76</v>
      </c>
      <c r="B79" s="30" t="s">
        <v>77</v>
      </c>
      <c r="C79" s="31">
        <f>15900+1500+6000</f>
        <v>23400</v>
      </c>
      <c r="D79" s="31">
        <f t="shared" ref="D79:F79" si="24">15900+1500+6000</f>
        <v>23400</v>
      </c>
      <c r="E79" s="31">
        <f t="shared" si="24"/>
        <v>23400</v>
      </c>
      <c r="F79" s="31">
        <f t="shared" si="24"/>
        <v>23400</v>
      </c>
      <c r="G79" s="352">
        <v>7496</v>
      </c>
      <c r="H79" s="366">
        <f t="shared" si="16"/>
        <v>0.32034188034188033</v>
      </c>
    </row>
    <row r="80" spans="1:8" x14ac:dyDescent="0.25">
      <c r="A80" s="69" t="s">
        <v>78</v>
      </c>
      <c r="B80" s="42" t="s">
        <v>79</v>
      </c>
      <c r="C80" s="68">
        <v>18500</v>
      </c>
      <c r="D80" s="68">
        <v>18500</v>
      </c>
      <c r="E80" s="68">
        <v>18500</v>
      </c>
      <c r="F80" s="68">
        <v>18500</v>
      </c>
      <c r="G80" s="346">
        <v>5931</v>
      </c>
      <c r="H80" s="366">
        <f t="shared" si="16"/>
        <v>0.32059459459459461</v>
      </c>
    </row>
    <row r="81" spans="1:8" x14ac:dyDescent="0.25">
      <c r="A81" s="69" t="s">
        <v>80</v>
      </c>
      <c r="B81" s="42" t="s">
        <v>81</v>
      </c>
      <c r="C81" s="34">
        <v>15000</v>
      </c>
      <c r="D81" s="34">
        <v>15000</v>
      </c>
      <c r="E81" s="34">
        <v>15000</v>
      </c>
      <c r="F81" s="34">
        <v>15000</v>
      </c>
      <c r="G81" s="347">
        <v>4235</v>
      </c>
      <c r="H81" s="366">
        <f t="shared" si="16"/>
        <v>0.28233333333333333</v>
      </c>
    </row>
    <row r="82" spans="1:8" ht="15.75" thickBot="1" x14ac:dyDescent="0.3">
      <c r="A82" s="69" t="s">
        <v>82</v>
      </c>
      <c r="B82" s="42" t="s">
        <v>83</v>
      </c>
      <c r="C82" s="34">
        <v>100</v>
      </c>
      <c r="D82" s="34">
        <v>100</v>
      </c>
      <c r="E82" s="34">
        <v>100</v>
      </c>
      <c r="F82" s="34">
        <v>100</v>
      </c>
      <c r="G82" s="347">
        <v>0</v>
      </c>
      <c r="H82" s="366">
        <f t="shared" si="16"/>
        <v>0</v>
      </c>
    </row>
    <row r="83" spans="1:8" ht="15.75" thickBot="1" x14ac:dyDescent="0.3">
      <c r="A83" s="1006" t="s">
        <v>84</v>
      </c>
      <c r="B83" s="1007"/>
      <c r="C83" s="63">
        <f t="shared" ref="C83:E83" si="25">SUM(C84:C87)</f>
        <v>88750</v>
      </c>
      <c r="D83" s="63">
        <f t="shared" si="25"/>
        <v>88750</v>
      </c>
      <c r="E83" s="63">
        <f t="shared" si="25"/>
        <v>88750</v>
      </c>
      <c r="F83" s="63">
        <f t="shared" ref="F83:G83" si="26">SUM(F84:F87)</f>
        <v>90050</v>
      </c>
      <c r="G83" s="344">
        <f t="shared" si="26"/>
        <v>23684</v>
      </c>
      <c r="H83" s="366">
        <f t="shared" si="16"/>
        <v>0.26300943920044417</v>
      </c>
    </row>
    <row r="84" spans="1:8" x14ac:dyDescent="0.25">
      <c r="A84" s="84" t="s">
        <v>85</v>
      </c>
      <c r="B84" s="85" t="s">
        <v>86</v>
      </c>
      <c r="C84" s="86">
        <f>25000+20000</f>
        <v>45000</v>
      </c>
      <c r="D84" s="86">
        <f t="shared" ref="D84:F84" si="27">25000+20000</f>
        <v>45000</v>
      </c>
      <c r="E84" s="86">
        <f t="shared" si="27"/>
        <v>45000</v>
      </c>
      <c r="F84" s="86">
        <f t="shared" si="27"/>
        <v>45000</v>
      </c>
      <c r="G84" s="353">
        <v>15174</v>
      </c>
      <c r="H84" s="366">
        <f t="shared" si="16"/>
        <v>0.3372</v>
      </c>
    </row>
    <row r="85" spans="1:8" x14ac:dyDescent="0.25">
      <c r="A85" s="69" t="s">
        <v>87</v>
      </c>
      <c r="B85" s="42" t="s">
        <v>88</v>
      </c>
      <c r="C85" s="68">
        <v>36000</v>
      </c>
      <c r="D85" s="68">
        <v>36000</v>
      </c>
      <c r="E85" s="68">
        <v>36000</v>
      </c>
      <c r="F85" s="68">
        <v>36000</v>
      </c>
      <c r="G85" s="346">
        <v>8213</v>
      </c>
      <c r="H85" s="366">
        <f t="shared" si="16"/>
        <v>0.22813888888888889</v>
      </c>
    </row>
    <row r="86" spans="1:8" x14ac:dyDescent="0.25">
      <c r="A86" s="74" t="s">
        <v>89</v>
      </c>
      <c r="B86" s="87" t="s">
        <v>90</v>
      </c>
      <c r="C86" s="88">
        <v>950</v>
      </c>
      <c r="D86" s="88">
        <v>950</v>
      </c>
      <c r="E86" s="88">
        <v>950</v>
      </c>
      <c r="F86" s="88">
        <v>950</v>
      </c>
      <c r="G86" s="354">
        <v>0</v>
      </c>
      <c r="H86" s="366">
        <f t="shared" si="16"/>
        <v>0</v>
      </c>
    </row>
    <row r="87" spans="1:8" ht="15.75" thickBot="1" x14ac:dyDescent="0.3">
      <c r="A87" s="89" t="s">
        <v>91</v>
      </c>
      <c r="B87" s="90" t="s">
        <v>204</v>
      </c>
      <c r="C87" s="91">
        <f>5700+1000+100</f>
        <v>6800</v>
      </c>
      <c r="D87" s="91">
        <f t="shared" ref="D87:E87" si="28">5700+1000+100</f>
        <v>6800</v>
      </c>
      <c r="E87" s="91">
        <f t="shared" si="28"/>
        <v>6800</v>
      </c>
      <c r="F87" s="384">
        <f>5700+1000+100+300+1000</f>
        <v>8100</v>
      </c>
      <c r="G87" s="355">
        <v>297</v>
      </c>
      <c r="H87" s="366">
        <f t="shared" si="16"/>
        <v>3.6666666666666667E-2</v>
      </c>
    </row>
    <row r="88" spans="1:8" ht="15.75" thickBot="1" x14ac:dyDescent="0.3">
      <c r="A88" s="61" t="s">
        <v>92</v>
      </c>
      <c r="B88" s="82"/>
      <c r="C88" s="63">
        <f t="shared" ref="C88:D88" si="29">SUM(C89:C91)</f>
        <v>144000</v>
      </c>
      <c r="D88" s="63">
        <f t="shared" si="29"/>
        <v>145232</v>
      </c>
      <c r="E88" s="63">
        <f t="shared" ref="E88:G88" si="30">SUM(E89:E91)</f>
        <v>145232</v>
      </c>
      <c r="F88" s="63">
        <f t="shared" si="30"/>
        <v>149932</v>
      </c>
      <c r="G88" s="344">
        <f t="shared" si="30"/>
        <v>39145</v>
      </c>
      <c r="H88" s="366">
        <f t="shared" si="16"/>
        <v>0.26108502521142918</v>
      </c>
    </row>
    <row r="89" spans="1:8" x14ac:dyDescent="0.25">
      <c r="A89" s="83" t="s">
        <v>93</v>
      </c>
      <c r="B89" s="65" t="s">
        <v>94</v>
      </c>
      <c r="C89" s="92">
        <v>108000</v>
      </c>
      <c r="D89" s="371">
        <f>108000+1232</f>
        <v>109232</v>
      </c>
      <c r="E89" s="92">
        <f>108000+1232</f>
        <v>109232</v>
      </c>
      <c r="F89" s="371">
        <f>108000+1232+4700</f>
        <v>113932</v>
      </c>
      <c r="G89" s="345">
        <v>28443</v>
      </c>
      <c r="H89" s="366">
        <f t="shared" si="16"/>
        <v>0.24964891338693257</v>
      </c>
    </row>
    <row r="90" spans="1:8" x14ac:dyDescent="0.25">
      <c r="A90" s="93" t="s">
        <v>95</v>
      </c>
      <c r="B90" s="42" t="s">
        <v>96</v>
      </c>
      <c r="C90" s="94">
        <v>19000</v>
      </c>
      <c r="D90" s="94">
        <v>19000</v>
      </c>
      <c r="E90" s="94">
        <v>19000</v>
      </c>
      <c r="F90" s="94">
        <v>19000</v>
      </c>
      <c r="G90" s="346">
        <v>6134</v>
      </c>
      <c r="H90" s="366">
        <f t="shared" si="16"/>
        <v>0.32284210526315787</v>
      </c>
    </row>
    <row r="91" spans="1:8" ht="15.75" thickBot="1" x14ac:dyDescent="0.3">
      <c r="A91" s="95" t="s">
        <v>97</v>
      </c>
      <c r="B91" s="90" t="s">
        <v>98</v>
      </c>
      <c r="C91" s="209">
        <f>2000+14000+400+600</f>
        <v>17000</v>
      </c>
      <c r="D91" s="209">
        <f t="shared" ref="D91:F91" si="31">2000+14000+400+600</f>
        <v>17000</v>
      </c>
      <c r="E91" s="209">
        <f t="shared" si="31"/>
        <v>17000</v>
      </c>
      <c r="F91" s="209">
        <f t="shared" si="31"/>
        <v>17000</v>
      </c>
      <c r="G91" s="356">
        <v>4568</v>
      </c>
      <c r="H91" s="366">
        <f t="shared" si="16"/>
        <v>0.26870588235294118</v>
      </c>
    </row>
    <row r="92" spans="1:8" ht="15.75" thickBot="1" x14ac:dyDescent="0.3">
      <c r="A92" s="97" t="s">
        <v>99</v>
      </c>
      <c r="B92" s="98"/>
      <c r="C92" s="99">
        <f t="shared" ref="C92:E92" si="32">SUM(C93:C95)</f>
        <v>450</v>
      </c>
      <c r="D92" s="99">
        <f t="shared" si="32"/>
        <v>530</v>
      </c>
      <c r="E92" s="99">
        <f t="shared" si="32"/>
        <v>530</v>
      </c>
      <c r="F92" s="99">
        <f t="shared" ref="F92:G92" si="33">SUM(F93:F95)</f>
        <v>530</v>
      </c>
      <c r="G92" s="357">
        <f t="shared" si="33"/>
        <v>108</v>
      </c>
      <c r="H92" s="366">
        <f t="shared" si="16"/>
        <v>0.20377358490566039</v>
      </c>
    </row>
    <row r="93" spans="1:8" x14ac:dyDescent="0.25">
      <c r="A93" s="76" t="s">
        <v>100</v>
      </c>
      <c r="B93" s="85" t="s">
        <v>101</v>
      </c>
      <c r="C93" s="100">
        <v>50</v>
      </c>
      <c r="D93" s="100">
        <v>50</v>
      </c>
      <c r="E93" s="100">
        <v>50</v>
      </c>
      <c r="F93" s="100">
        <v>50</v>
      </c>
      <c r="G93" s="353">
        <v>0</v>
      </c>
      <c r="H93" s="366">
        <f t="shared" si="16"/>
        <v>0</v>
      </c>
    </row>
    <row r="94" spans="1:8" x14ac:dyDescent="0.25">
      <c r="A94" s="93" t="s">
        <v>102</v>
      </c>
      <c r="B94" s="42" t="s">
        <v>103</v>
      </c>
      <c r="C94" s="94">
        <v>50</v>
      </c>
      <c r="D94" s="382">
        <f>50+80</f>
        <v>130</v>
      </c>
      <c r="E94" s="94">
        <f>50+80</f>
        <v>130</v>
      </c>
      <c r="F94" s="94">
        <f>50+80</f>
        <v>130</v>
      </c>
      <c r="G94" s="346">
        <v>76</v>
      </c>
      <c r="H94" s="366">
        <f t="shared" si="16"/>
        <v>0.58461538461538465</v>
      </c>
    </row>
    <row r="95" spans="1:8" ht="15.75" thickBot="1" x14ac:dyDescent="0.3">
      <c r="A95" s="95" t="s">
        <v>104</v>
      </c>
      <c r="B95" s="90" t="s">
        <v>105</v>
      </c>
      <c r="C95" s="96">
        <v>350</v>
      </c>
      <c r="D95" s="96">
        <v>350</v>
      </c>
      <c r="E95" s="96">
        <v>350</v>
      </c>
      <c r="F95" s="96">
        <v>350</v>
      </c>
      <c r="G95" s="355">
        <v>32</v>
      </c>
      <c r="H95" s="366">
        <f t="shared" si="16"/>
        <v>9.1428571428571428E-2</v>
      </c>
    </row>
    <row r="96" spans="1:8" ht="15.75" thickBot="1" x14ac:dyDescent="0.3">
      <c r="A96" s="101" t="s">
        <v>106</v>
      </c>
      <c r="B96" s="102"/>
      <c r="C96" s="103">
        <f t="shared" ref="C96:E96" si="34">SUM(C97:C101)</f>
        <v>108100</v>
      </c>
      <c r="D96" s="103">
        <f t="shared" si="34"/>
        <v>108100</v>
      </c>
      <c r="E96" s="103">
        <f t="shared" si="34"/>
        <v>113100</v>
      </c>
      <c r="F96" s="103">
        <f t="shared" ref="F96:G96" si="35">SUM(F97:F101)</f>
        <v>121150</v>
      </c>
      <c r="G96" s="358">
        <f t="shared" si="35"/>
        <v>15756</v>
      </c>
      <c r="H96" s="366">
        <f t="shared" si="16"/>
        <v>0.13005365249690468</v>
      </c>
    </row>
    <row r="97" spans="1:8" x14ac:dyDescent="0.25">
      <c r="A97" s="84" t="s">
        <v>107</v>
      </c>
      <c r="B97" s="85" t="s">
        <v>108</v>
      </c>
      <c r="C97" s="86">
        <f>9300+7300</f>
        <v>16600</v>
      </c>
      <c r="D97" s="86">
        <f t="shared" ref="D97:F97" si="36">9300+7300</f>
        <v>16600</v>
      </c>
      <c r="E97" s="86">
        <f t="shared" si="36"/>
        <v>16600</v>
      </c>
      <c r="F97" s="86">
        <f t="shared" si="36"/>
        <v>16600</v>
      </c>
      <c r="G97" s="353">
        <v>6125</v>
      </c>
      <c r="H97" s="366">
        <f t="shared" si="16"/>
        <v>0.36897590361445781</v>
      </c>
    </row>
    <row r="98" spans="1:8" x14ac:dyDescent="0.25">
      <c r="A98" s="104" t="s">
        <v>109</v>
      </c>
      <c r="B98" s="105" t="s">
        <v>110</v>
      </c>
      <c r="C98" s="31">
        <f>12600+1800+2000+48600</f>
        <v>65000</v>
      </c>
      <c r="D98" s="31">
        <f t="shared" ref="D98" si="37">12600+1800+2000+48600</f>
        <v>65000</v>
      </c>
      <c r="E98" s="383">
        <f>12600+1800+2000+48600+5820</f>
        <v>70820</v>
      </c>
      <c r="F98" s="383">
        <f>12600+1800+2000+48600+5820+2100+5950</f>
        <v>78870</v>
      </c>
      <c r="G98" s="352">
        <v>5000</v>
      </c>
      <c r="H98" s="366">
        <f t="shared" si="16"/>
        <v>6.3395460885000629E-2</v>
      </c>
    </row>
    <row r="99" spans="1:8" x14ac:dyDescent="0.25">
      <c r="A99" s="104" t="s">
        <v>111</v>
      </c>
      <c r="B99" s="65" t="s">
        <v>112</v>
      </c>
      <c r="C99" s="66">
        <f>2800+700</f>
        <v>3500</v>
      </c>
      <c r="D99" s="66">
        <f t="shared" ref="D99:F99" si="38">2800+700</f>
        <v>3500</v>
      </c>
      <c r="E99" s="66">
        <f t="shared" si="38"/>
        <v>3500</v>
      </c>
      <c r="F99" s="66">
        <f t="shared" si="38"/>
        <v>3500</v>
      </c>
      <c r="G99" s="345">
        <v>1172</v>
      </c>
      <c r="H99" s="366">
        <f t="shared" si="16"/>
        <v>0.33485714285714285</v>
      </c>
    </row>
    <row r="100" spans="1:8" x14ac:dyDescent="0.25">
      <c r="A100" s="104" t="s">
        <v>113</v>
      </c>
      <c r="B100" s="65" t="s">
        <v>114</v>
      </c>
      <c r="C100" s="66">
        <f>7400+3000+2600</f>
        <v>13000</v>
      </c>
      <c r="D100" s="66">
        <f t="shared" ref="D100:F100" si="39">7400+3000+2600</f>
        <v>13000</v>
      </c>
      <c r="E100" s="66">
        <f t="shared" si="39"/>
        <v>13000</v>
      </c>
      <c r="F100" s="66">
        <f t="shared" si="39"/>
        <v>13000</v>
      </c>
      <c r="G100" s="345">
        <v>2046</v>
      </c>
      <c r="H100" s="366">
        <f t="shared" si="16"/>
        <v>0.15738461538461537</v>
      </c>
    </row>
    <row r="101" spans="1:8" ht="15.75" thickBot="1" x14ac:dyDescent="0.3">
      <c r="A101" s="89" t="s">
        <v>115</v>
      </c>
      <c r="B101" s="90" t="s">
        <v>203</v>
      </c>
      <c r="C101" s="91">
        <v>10000</v>
      </c>
      <c r="D101" s="91">
        <v>10000</v>
      </c>
      <c r="E101" s="384">
        <f>10000-820</f>
        <v>9180</v>
      </c>
      <c r="F101" s="91">
        <f>10000-820-100+100</f>
        <v>9180</v>
      </c>
      <c r="G101" s="355">
        <v>1413</v>
      </c>
      <c r="H101" s="366">
        <f t="shared" si="16"/>
        <v>0.15392156862745099</v>
      </c>
    </row>
    <row r="102" spans="1:8" ht="15.75" thickBot="1" x14ac:dyDescent="0.3">
      <c r="A102" s="72" t="s">
        <v>116</v>
      </c>
      <c r="B102" s="73"/>
      <c r="C102" s="63">
        <f t="shared" ref="C102:D102" si="40">SUM(C103:C109)</f>
        <v>384700</v>
      </c>
      <c r="D102" s="63">
        <f t="shared" si="40"/>
        <v>385624</v>
      </c>
      <c r="E102" s="63">
        <f t="shared" ref="E102:F102" si="41">SUM(E103:E109)</f>
        <v>385624</v>
      </c>
      <c r="F102" s="63">
        <f t="shared" si="41"/>
        <v>385624</v>
      </c>
      <c r="G102" s="344">
        <f t="shared" ref="G102" si="42">SUM(G103:G109)</f>
        <v>106811</v>
      </c>
      <c r="H102" s="366">
        <f t="shared" si="16"/>
        <v>0.27698224176918451</v>
      </c>
    </row>
    <row r="103" spans="1:8" x14ac:dyDescent="0.25">
      <c r="A103" s="106" t="s">
        <v>117</v>
      </c>
      <c r="B103" s="107" t="s">
        <v>118</v>
      </c>
      <c r="C103" s="78">
        <v>118000</v>
      </c>
      <c r="D103" s="372">
        <f>118000+404</f>
        <v>118404</v>
      </c>
      <c r="E103" s="78">
        <f>118000+404</f>
        <v>118404</v>
      </c>
      <c r="F103" s="78">
        <f>118000+404</f>
        <v>118404</v>
      </c>
      <c r="G103" s="350">
        <v>34532</v>
      </c>
      <c r="H103" s="366">
        <f t="shared" si="16"/>
        <v>0.29164555251511776</v>
      </c>
    </row>
    <row r="104" spans="1:8" x14ac:dyDescent="0.25">
      <c r="A104" s="108" t="s">
        <v>119</v>
      </c>
      <c r="B104" s="33" t="s">
        <v>187</v>
      </c>
      <c r="C104" s="34">
        <f>177000+2600</f>
        <v>179600</v>
      </c>
      <c r="D104" s="374">
        <f>177000+2600+520</f>
        <v>180120</v>
      </c>
      <c r="E104" s="34">
        <f>177000+2600+520</f>
        <v>180120</v>
      </c>
      <c r="F104" s="34">
        <f>177000+2600+520</f>
        <v>180120</v>
      </c>
      <c r="G104" s="347">
        <v>48705</v>
      </c>
      <c r="H104" s="366">
        <f t="shared" si="16"/>
        <v>0.27040306462358427</v>
      </c>
    </row>
    <row r="105" spans="1:8" x14ac:dyDescent="0.25">
      <c r="A105" s="108" t="s">
        <v>120</v>
      </c>
      <c r="B105" s="33" t="s">
        <v>121</v>
      </c>
      <c r="C105" s="34">
        <v>11800</v>
      </c>
      <c r="D105" s="34">
        <v>11800</v>
      </c>
      <c r="E105" s="34">
        <v>11800</v>
      </c>
      <c r="F105" s="34">
        <v>11800</v>
      </c>
      <c r="G105" s="347">
        <v>2958</v>
      </c>
      <c r="H105" s="366">
        <f t="shared" si="16"/>
        <v>0.2506779661016949</v>
      </c>
    </row>
    <row r="106" spans="1:8" x14ac:dyDescent="0.25">
      <c r="A106" s="108" t="s">
        <v>122</v>
      </c>
      <c r="B106" s="33" t="s">
        <v>123</v>
      </c>
      <c r="C106" s="34">
        <v>17200</v>
      </c>
      <c r="D106" s="34">
        <v>17200</v>
      </c>
      <c r="E106" s="34">
        <v>17200</v>
      </c>
      <c r="F106" s="34">
        <v>17200</v>
      </c>
      <c r="G106" s="347">
        <v>4441</v>
      </c>
      <c r="H106" s="366">
        <f t="shared" si="16"/>
        <v>0.25819767441860464</v>
      </c>
    </row>
    <row r="107" spans="1:8" x14ac:dyDescent="0.25">
      <c r="A107" s="108" t="s">
        <v>124</v>
      </c>
      <c r="B107" s="33" t="s">
        <v>125</v>
      </c>
      <c r="C107" s="34">
        <v>17200</v>
      </c>
      <c r="D107" s="34">
        <v>17200</v>
      </c>
      <c r="E107" s="34">
        <v>17200</v>
      </c>
      <c r="F107" s="34">
        <v>17200</v>
      </c>
      <c r="G107" s="347">
        <v>4441</v>
      </c>
      <c r="H107" s="366">
        <f t="shared" si="16"/>
        <v>0.25819767441860464</v>
      </c>
    </row>
    <row r="108" spans="1:8" x14ac:dyDescent="0.25">
      <c r="A108" s="109" t="s">
        <v>126</v>
      </c>
      <c r="B108" s="33" t="s">
        <v>127</v>
      </c>
      <c r="C108" s="110">
        <f>11800+4400+21800+300</f>
        <v>38300</v>
      </c>
      <c r="D108" s="110">
        <f t="shared" ref="D108:F108" si="43">11800+4400+21800+300</f>
        <v>38300</v>
      </c>
      <c r="E108" s="110">
        <f t="shared" si="43"/>
        <v>38300</v>
      </c>
      <c r="F108" s="110">
        <f t="shared" si="43"/>
        <v>38300</v>
      </c>
      <c r="G108" s="359">
        <v>11719</v>
      </c>
      <c r="H108" s="366">
        <f t="shared" si="16"/>
        <v>0.30597911227154045</v>
      </c>
    </row>
    <row r="109" spans="1:8" ht="15.75" thickBot="1" x14ac:dyDescent="0.3">
      <c r="A109" s="108" t="s">
        <v>128</v>
      </c>
      <c r="B109" s="33" t="s">
        <v>129</v>
      </c>
      <c r="C109" s="110">
        <v>2600</v>
      </c>
      <c r="D109" s="110">
        <v>2600</v>
      </c>
      <c r="E109" s="110">
        <v>2600</v>
      </c>
      <c r="F109" s="110">
        <v>2600</v>
      </c>
      <c r="G109" s="359">
        <v>15</v>
      </c>
      <c r="H109" s="366">
        <f t="shared" si="16"/>
        <v>5.7692307692307696E-3</v>
      </c>
    </row>
    <row r="110" spans="1:8" ht="15.75" thickBot="1" x14ac:dyDescent="0.3">
      <c r="A110" s="61" t="s">
        <v>130</v>
      </c>
      <c r="B110" s="62"/>
      <c r="C110" s="63">
        <f t="shared" ref="C110" si="44">SUM(C111:C115)</f>
        <v>196800</v>
      </c>
      <c r="D110" s="63">
        <f t="shared" ref="D110:E110" si="45">SUM(D111:D115)</f>
        <v>196800</v>
      </c>
      <c r="E110" s="63">
        <f t="shared" si="45"/>
        <v>196800</v>
      </c>
      <c r="F110" s="63">
        <f t="shared" ref="F110:G110" si="46">SUM(F111:F115)</f>
        <v>196800</v>
      </c>
      <c r="G110" s="344">
        <f t="shared" si="46"/>
        <v>38509</v>
      </c>
      <c r="H110" s="366">
        <f t="shared" si="16"/>
        <v>0.19567581300813008</v>
      </c>
    </row>
    <row r="111" spans="1:8" x14ac:dyDescent="0.25">
      <c r="A111" s="104" t="s">
        <v>131</v>
      </c>
      <c r="B111" s="65" t="s">
        <v>132</v>
      </c>
      <c r="C111" s="66">
        <f>100000+15600</f>
        <v>115600</v>
      </c>
      <c r="D111" s="66">
        <f t="shared" ref="D111:E111" si="47">100000+15600</f>
        <v>115600</v>
      </c>
      <c r="E111" s="66">
        <f t="shared" si="47"/>
        <v>115600</v>
      </c>
      <c r="F111" s="66">
        <f>100000+15600</f>
        <v>115600</v>
      </c>
      <c r="G111" s="345">
        <v>32215</v>
      </c>
      <c r="H111" s="366">
        <f t="shared" si="16"/>
        <v>0.2786764705882353</v>
      </c>
    </row>
    <row r="112" spans="1:8" x14ac:dyDescent="0.25">
      <c r="A112" s="104" t="s">
        <v>133</v>
      </c>
      <c r="B112" s="65" t="s">
        <v>201</v>
      </c>
      <c r="C112" s="66">
        <f>7200+3000</f>
        <v>10200</v>
      </c>
      <c r="D112" s="66">
        <f t="shared" ref="D112:F112" si="48">7200+3000</f>
        <v>10200</v>
      </c>
      <c r="E112" s="66">
        <f t="shared" si="48"/>
        <v>10200</v>
      </c>
      <c r="F112" s="66">
        <f t="shared" si="48"/>
        <v>10200</v>
      </c>
      <c r="G112" s="345">
        <v>2137</v>
      </c>
      <c r="H112" s="366">
        <f t="shared" si="16"/>
        <v>0.20950980392156862</v>
      </c>
    </row>
    <row r="113" spans="1:9" x14ac:dyDescent="0.25">
      <c r="A113" s="69" t="s">
        <v>134</v>
      </c>
      <c r="B113" s="42" t="s">
        <v>202</v>
      </c>
      <c r="C113" s="68">
        <f>12000+49000+9000</f>
        <v>70000</v>
      </c>
      <c r="D113" s="68">
        <f t="shared" ref="D113:F113" si="49">12000+49000+9000</f>
        <v>70000</v>
      </c>
      <c r="E113" s="68">
        <f t="shared" si="49"/>
        <v>70000</v>
      </c>
      <c r="F113" s="68">
        <f t="shared" si="49"/>
        <v>70000</v>
      </c>
      <c r="G113" s="346">
        <v>4157</v>
      </c>
      <c r="H113" s="366">
        <f t="shared" si="16"/>
        <v>5.9385714285714285E-2</v>
      </c>
    </row>
    <row r="114" spans="1:9" x14ac:dyDescent="0.25">
      <c r="A114" s="69" t="s">
        <v>135</v>
      </c>
      <c r="B114" s="42" t="s">
        <v>136</v>
      </c>
      <c r="C114" s="68">
        <v>500</v>
      </c>
      <c r="D114" s="68">
        <v>500</v>
      </c>
      <c r="E114" s="68">
        <v>500</v>
      </c>
      <c r="F114" s="68">
        <v>500</v>
      </c>
      <c r="G114" s="346">
        <v>0</v>
      </c>
      <c r="H114" s="366">
        <f t="shared" si="16"/>
        <v>0</v>
      </c>
    </row>
    <row r="115" spans="1:9" ht="15.75" thickBot="1" x14ac:dyDescent="0.3">
      <c r="A115" s="89" t="s">
        <v>137</v>
      </c>
      <c r="B115" s="90" t="s">
        <v>138</v>
      </c>
      <c r="C115" s="91">
        <v>500</v>
      </c>
      <c r="D115" s="91">
        <v>500</v>
      </c>
      <c r="E115" s="91">
        <v>500</v>
      </c>
      <c r="F115" s="91">
        <v>500</v>
      </c>
      <c r="G115" s="355">
        <v>0</v>
      </c>
      <c r="H115" s="366">
        <f t="shared" si="16"/>
        <v>0</v>
      </c>
    </row>
    <row r="116" spans="1:9" ht="16.5" thickBot="1" x14ac:dyDescent="0.3">
      <c r="A116" s="111" t="s">
        <v>139</v>
      </c>
      <c r="B116" s="98"/>
      <c r="C116" s="112">
        <f t="shared" ref="C116:D116" si="50">SUM(C67+C73+C75+C78+C83+C88+C92+C96+C102+C110)</f>
        <v>1180700</v>
      </c>
      <c r="D116" s="112">
        <f t="shared" si="50"/>
        <v>1182896</v>
      </c>
      <c r="E116" s="112">
        <f t="shared" ref="E116:F116" si="51">SUM(E67+E73+E75+E78+E83+E88+E92+E96+E102+E110)</f>
        <v>1187896</v>
      </c>
      <c r="F116" s="112">
        <f t="shared" si="51"/>
        <v>1205896</v>
      </c>
      <c r="G116" s="360">
        <f t="shared" ref="G116" si="52">SUM(G67+G73+G75+G78+G83+G88+G92+G96+G102+G110)</f>
        <v>287725</v>
      </c>
      <c r="H116" s="366">
        <f t="shared" si="16"/>
        <v>0.23859851927529405</v>
      </c>
      <c r="I116" s="171">
        <f>F116-E116</f>
        <v>18000</v>
      </c>
    </row>
    <row r="117" spans="1:9" x14ac:dyDescent="0.25">
      <c r="A117" s="181" t="s">
        <v>140</v>
      </c>
      <c r="B117" s="113" t="s">
        <v>141</v>
      </c>
      <c r="C117" s="114">
        <f>C58+C60</f>
        <v>409440</v>
      </c>
      <c r="D117" s="114">
        <f t="shared" ref="D117:E117" si="53">D58+D60</f>
        <v>431827</v>
      </c>
      <c r="E117" s="114">
        <f t="shared" si="53"/>
        <v>431827</v>
      </c>
      <c r="F117" s="114">
        <f t="shared" ref="F117:G117" si="54">F58+F60</f>
        <v>431827</v>
      </c>
      <c r="G117" s="361">
        <f t="shared" si="54"/>
        <v>155111</v>
      </c>
      <c r="H117" s="366">
        <f t="shared" si="16"/>
        <v>0.3591970858700359</v>
      </c>
    </row>
    <row r="118" spans="1:9" x14ac:dyDescent="0.25">
      <c r="A118" s="180" t="s">
        <v>142</v>
      </c>
      <c r="B118" s="50" t="s">
        <v>143</v>
      </c>
      <c r="C118" s="115">
        <v>19000</v>
      </c>
      <c r="D118" s="115">
        <v>19000</v>
      </c>
      <c r="E118" s="115">
        <v>19000</v>
      </c>
      <c r="F118" s="115">
        <v>19000</v>
      </c>
      <c r="G118" s="362">
        <v>9500</v>
      </c>
      <c r="H118" s="366">
        <f t="shared" si="16"/>
        <v>0.5</v>
      </c>
    </row>
    <row r="119" spans="1:9" ht="23.25" customHeight="1" thickBot="1" x14ac:dyDescent="0.3">
      <c r="A119" s="116" t="s">
        <v>144</v>
      </c>
      <c r="B119" s="117"/>
      <c r="C119" s="118">
        <f>SUM(C117:C118)</f>
        <v>428440</v>
      </c>
      <c r="D119" s="118">
        <f t="shared" ref="D119:E119" si="55">SUM(D117:D118)</f>
        <v>450827</v>
      </c>
      <c r="E119" s="118">
        <f t="shared" si="55"/>
        <v>450827</v>
      </c>
      <c r="F119" s="118">
        <f t="shared" ref="F119:G119" si="56">SUM(F117:F118)</f>
        <v>450827</v>
      </c>
      <c r="G119" s="363">
        <f t="shared" si="56"/>
        <v>164611</v>
      </c>
      <c r="H119" s="366">
        <f t="shared" si="16"/>
        <v>0.3651311922311663</v>
      </c>
    </row>
    <row r="120" spans="1:9" ht="18.75" customHeight="1" thickBot="1" x14ac:dyDescent="0.3">
      <c r="A120" s="119" t="s">
        <v>145</v>
      </c>
      <c r="B120" s="82"/>
      <c r="C120" s="120">
        <f>C116+C119</f>
        <v>1609140</v>
      </c>
      <c r="D120" s="120">
        <f t="shared" ref="D120:E120" si="57">D116+D119</f>
        <v>1633723</v>
      </c>
      <c r="E120" s="120">
        <f t="shared" si="57"/>
        <v>1638723</v>
      </c>
      <c r="F120" s="120">
        <f t="shared" ref="F120:G120" si="58">F116+F119</f>
        <v>1656723</v>
      </c>
      <c r="G120" s="364">
        <f t="shared" si="58"/>
        <v>452336</v>
      </c>
      <c r="H120" s="367">
        <f t="shared" si="16"/>
        <v>0.27303055489662426</v>
      </c>
    </row>
    <row r="122" spans="1:9" ht="15" customHeight="1" x14ac:dyDescent="0.25"/>
    <row r="123" spans="1:9" ht="18.75" thickBot="1" x14ac:dyDescent="0.3">
      <c r="A123" s="1008" t="s">
        <v>146</v>
      </c>
      <c r="B123" s="1009"/>
      <c r="C123" s="1009"/>
      <c r="D123" s="1009"/>
      <c r="E123" s="1009"/>
      <c r="F123" s="1009"/>
      <c r="G123" s="1009"/>
      <c r="H123" s="1009"/>
    </row>
    <row r="124" spans="1:9" x14ac:dyDescent="0.25">
      <c r="A124" s="992" t="s">
        <v>1</v>
      </c>
      <c r="B124" s="993"/>
      <c r="C124" s="996">
        <v>2017</v>
      </c>
      <c r="D124" s="996" t="s">
        <v>235</v>
      </c>
      <c r="E124" s="996" t="s">
        <v>279</v>
      </c>
      <c r="F124" s="996" t="s">
        <v>310</v>
      </c>
      <c r="G124" s="996" t="s">
        <v>322</v>
      </c>
      <c r="H124" s="338" t="s">
        <v>280</v>
      </c>
    </row>
    <row r="125" spans="1:9" ht="15.75" thickBot="1" x14ac:dyDescent="0.3">
      <c r="A125" s="994"/>
      <c r="B125" s="995"/>
      <c r="C125" s="997"/>
      <c r="D125" s="997"/>
      <c r="E125" s="997"/>
      <c r="F125" s="997"/>
      <c r="G125" s="997"/>
      <c r="H125" s="341" t="s">
        <v>281</v>
      </c>
    </row>
    <row r="126" spans="1:9" ht="16.5" thickBot="1" x14ac:dyDescent="0.3">
      <c r="A126" s="1010" t="s">
        <v>147</v>
      </c>
      <c r="B126" s="1011"/>
      <c r="C126" s="121">
        <f t="shared" ref="C126:E126" si="59">SUM(C127:C134)</f>
        <v>1669100</v>
      </c>
      <c r="D126" s="121">
        <f t="shared" si="59"/>
        <v>1653200</v>
      </c>
      <c r="E126" s="121">
        <f t="shared" si="59"/>
        <v>1748000</v>
      </c>
      <c r="F126" s="121">
        <f t="shared" ref="F126" si="60">SUM(F127:F134)</f>
        <v>1748000</v>
      </c>
      <c r="G126" s="121">
        <f t="shared" ref="G126" si="61">SUM(G127:G134)</f>
        <v>12503</v>
      </c>
      <c r="H126" s="342">
        <f>G126/F126</f>
        <v>7.1527459954233413E-3</v>
      </c>
      <c r="I126" s="171">
        <f>F126-E126</f>
        <v>0</v>
      </c>
    </row>
    <row r="127" spans="1:9" x14ac:dyDescent="0.25">
      <c r="A127" s="122">
        <v>231</v>
      </c>
      <c r="B127" s="85" t="s">
        <v>148</v>
      </c>
      <c r="C127" s="123">
        <v>0</v>
      </c>
      <c r="D127" s="123">
        <v>0</v>
      </c>
      <c r="E127" s="123">
        <v>0</v>
      </c>
      <c r="F127" s="123">
        <v>0</v>
      </c>
      <c r="G127" s="123">
        <v>0</v>
      </c>
      <c r="H127" s="343">
        <v>0</v>
      </c>
    </row>
    <row r="128" spans="1:9" x14ac:dyDescent="0.25">
      <c r="A128" s="46">
        <v>233</v>
      </c>
      <c r="B128" s="42" t="s">
        <v>149</v>
      </c>
      <c r="C128" s="124">
        <v>1000</v>
      </c>
      <c r="D128" s="124">
        <v>1000</v>
      </c>
      <c r="E128" s="124">
        <v>1000</v>
      </c>
      <c r="F128" s="124">
        <v>1000</v>
      </c>
      <c r="G128" s="124">
        <v>3</v>
      </c>
      <c r="H128" s="343">
        <f t="shared" ref="H128:H152" si="62">G128/F128</f>
        <v>3.0000000000000001E-3</v>
      </c>
    </row>
    <row r="129" spans="1:12" x14ac:dyDescent="0.25">
      <c r="A129" s="174">
        <v>322</v>
      </c>
      <c r="B129" s="175" t="s">
        <v>192</v>
      </c>
      <c r="C129" s="176">
        <v>134200</v>
      </c>
      <c r="D129" s="176">
        <v>134200</v>
      </c>
      <c r="E129" s="385">
        <f>134200+65800</f>
        <v>200000</v>
      </c>
      <c r="F129" s="176">
        <f>134200+65800</f>
        <v>200000</v>
      </c>
      <c r="G129" s="176">
        <v>0</v>
      </c>
      <c r="H129" s="343">
        <f t="shared" si="62"/>
        <v>0</v>
      </c>
    </row>
    <row r="130" spans="1:12" x14ac:dyDescent="0.25">
      <c r="A130" s="174">
        <v>322</v>
      </c>
      <c r="B130" s="175" t="s">
        <v>193</v>
      </c>
      <c r="C130" s="176">
        <v>155400</v>
      </c>
      <c r="D130" s="176">
        <v>155400</v>
      </c>
      <c r="E130" s="176">
        <v>155400</v>
      </c>
      <c r="F130" s="176">
        <v>155400</v>
      </c>
      <c r="G130" s="176">
        <v>0</v>
      </c>
      <c r="H130" s="343">
        <f t="shared" si="62"/>
        <v>0</v>
      </c>
    </row>
    <row r="131" spans="1:12" x14ac:dyDescent="0.25">
      <c r="A131" s="174">
        <v>322</v>
      </c>
      <c r="B131" s="175" t="s">
        <v>194</v>
      </c>
      <c r="C131" s="176">
        <v>39900</v>
      </c>
      <c r="D131" s="385">
        <f>39900-15900</f>
        <v>24000</v>
      </c>
      <c r="E131" s="176">
        <f>39900-15900</f>
        <v>24000</v>
      </c>
      <c r="F131" s="176">
        <f>39900-15900</f>
        <v>24000</v>
      </c>
      <c r="G131" s="176">
        <v>0</v>
      </c>
      <c r="H131" s="343">
        <f t="shared" si="62"/>
        <v>0</v>
      </c>
      <c r="L131" s="178"/>
    </row>
    <row r="132" spans="1:12" x14ac:dyDescent="0.25">
      <c r="A132" s="174">
        <v>322</v>
      </c>
      <c r="B132" s="175" t="s">
        <v>195</v>
      </c>
      <c r="C132" s="176">
        <v>1222600</v>
      </c>
      <c r="D132" s="176">
        <v>1222600</v>
      </c>
      <c r="E132" s="176">
        <v>1222600</v>
      </c>
      <c r="F132" s="176">
        <v>1222600</v>
      </c>
      <c r="G132" s="176">
        <v>0</v>
      </c>
      <c r="H132" s="343">
        <f t="shared" si="62"/>
        <v>0</v>
      </c>
    </row>
    <row r="133" spans="1:12" x14ac:dyDescent="0.25">
      <c r="A133" s="174">
        <v>322</v>
      </c>
      <c r="B133" s="175" t="s">
        <v>196</v>
      </c>
      <c r="C133" s="176">
        <v>103500</v>
      </c>
      <c r="D133" s="176">
        <v>103500</v>
      </c>
      <c r="E133" s="385">
        <f>103500+29000</f>
        <v>132500</v>
      </c>
      <c r="F133" s="176">
        <f>103500+29000</f>
        <v>132500</v>
      </c>
      <c r="G133" s="176">
        <v>0</v>
      </c>
      <c r="H133" s="343">
        <f t="shared" si="62"/>
        <v>0</v>
      </c>
    </row>
    <row r="134" spans="1:12" ht="15.75" thickBot="1" x14ac:dyDescent="0.3">
      <c r="A134" s="125">
        <v>322</v>
      </c>
      <c r="B134" s="126" t="s">
        <v>150</v>
      </c>
      <c r="C134" s="127">
        <v>12500</v>
      </c>
      <c r="D134" s="127">
        <v>12500</v>
      </c>
      <c r="E134" s="127">
        <v>12500</v>
      </c>
      <c r="F134" s="127">
        <v>12500</v>
      </c>
      <c r="G134" s="127">
        <v>12500</v>
      </c>
      <c r="H134" s="343">
        <f t="shared" si="62"/>
        <v>1</v>
      </c>
    </row>
    <row r="135" spans="1:12" ht="16.5" thickBot="1" x14ac:dyDescent="0.3">
      <c r="A135" s="1010" t="s">
        <v>151</v>
      </c>
      <c r="B135" s="1011"/>
      <c r="C135" s="121">
        <f>SUM(C136:C157)</f>
        <v>2481900</v>
      </c>
      <c r="D135" s="121">
        <f>SUM(D136:D157)</f>
        <v>2481900</v>
      </c>
      <c r="E135" s="121">
        <f>SUM(E136:E157)</f>
        <v>2595700</v>
      </c>
      <c r="F135" s="121">
        <f>SUM(F136:F157)</f>
        <v>2606700</v>
      </c>
      <c r="G135" s="121">
        <f>SUM(G136:G157)</f>
        <v>5567</v>
      </c>
      <c r="H135" s="343">
        <f t="shared" si="62"/>
        <v>2.1356504392526948E-3</v>
      </c>
      <c r="I135" s="171">
        <f>F135-E135</f>
        <v>11000</v>
      </c>
    </row>
    <row r="136" spans="1:12" x14ac:dyDescent="0.25">
      <c r="A136" s="128" t="s">
        <v>59</v>
      </c>
      <c r="B136" s="129" t="s">
        <v>185</v>
      </c>
      <c r="C136" s="135">
        <v>3000</v>
      </c>
      <c r="D136" s="135">
        <v>3000</v>
      </c>
      <c r="E136" s="135">
        <v>3000</v>
      </c>
      <c r="F136" s="135">
        <v>3000</v>
      </c>
      <c r="G136" s="135">
        <v>0</v>
      </c>
      <c r="H136" s="343">
        <f t="shared" si="62"/>
        <v>0</v>
      </c>
    </row>
    <row r="137" spans="1:12" ht="15.75" thickBot="1" x14ac:dyDescent="0.3">
      <c r="A137" s="200" t="s">
        <v>59</v>
      </c>
      <c r="B137" s="201" t="s">
        <v>184</v>
      </c>
      <c r="C137" s="210">
        <v>108200</v>
      </c>
      <c r="D137" s="210">
        <v>108200</v>
      </c>
      <c r="E137" s="386">
        <f>108200+31800</f>
        <v>140000</v>
      </c>
      <c r="F137" s="210">
        <f>108200+31800</f>
        <v>140000</v>
      </c>
      <c r="G137" s="210">
        <v>2000</v>
      </c>
      <c r="H137" s="343">
        <f t="shared" si="62"/>
        <v>1.4285714285714285E-2</v>
      </c>
      <c r="J137" s="171"/>
    </row>
    <row r="138" spans="1:12" ht="15.75" thickBot="1" x14ac:dyDescent="0.3">
      <c r="A138" s="330" t="s">
        <v>73</v>
      </c>
      <c r="B138" s="331" t="s">
        <v>152</v>
      </c>
      <c r="C138" s="134">
        <v>14800</v>
      </c>
      <c r="D138" s="134">
        <v>14800</v>
      </c>
      <c r="E138" s="134">
        <v>14800</v>
      </c>
      <c r="F138" s="134">
        <v>14800</v>
      </c>
      <c r="G138" s="134">
        <v>0</v>
      </c>
      <c r="H138" s="343">
        <f t="shared" si="62"/>
        <v>0</v>
      </c>
      <c r="J138" s="171"/>
    </row>
    <row r="139" spans="1:12" x14ac:dyDescent="0.25">
      <c r="A139" s="190" t="s">
        <v>78</v>
      </c>
      <c r="B139" s="185" t="s">
        <v>190</v>
      </c>
      <c r="C139" s="133">
        <v>0</v>
      </c>
      <c r="D139" s="133">
        <v>0</v>
      </c>
      <c r="E139" s="133">
        <v>0</v>
      </c>
      <c r="F139" s="387">
        <v>7000</v>
      </c>
      <c r="G139" s="133">
        <v>0</v>
      </c>
      <c r="H139" s="343">
        <v>0</v>
      </c>
    </row>
    <row r="140" spans="1:12" x14ac:dyDescent="0.25">
      <c r="A140" s="190" t="s">
        <v>78</v>
      </c>
      <c r="B140" s="185" t="s">
        <v>301</v>
      </c>
      <c r="C140" s="133">
        <v>0</v>
      </c>
      <c r="D140" s="133">
        <v>0</v>
      </c>
      <c r="E140" s="387">
        <v>5000</v>
      </c>
      <c r="F140" s="387">
        <f>5000+2000</f>
        <v>7000</v>
      </c>
      <c r="G140" s="133">
        <v>0</v>
      </c>
      <c r="H140" s="343">
        <f t="shared" si="62"/>
        <v>0</v>
      </c>
    </row>
    <row r="141" spans="1:12" x14ac:dyDescent="0.25">
      <c r="A141" s="190" t="s">
        <v>80</v>
      </c>
      <c r="B141" s="185" t="s">
        <v>153</v>
      </c>
      <c r="C141" s="133">
        <v>10000</v>
      </c>
      <c r="D141" s="133">
        <v>10000</v>
      </c>
      <c r="E141" s="133">
        <v>10000</v>
      </c>
      <c r="F141" s="133">
        <v>10000</v>
      </c>
      <c r="G141" s="133">
        <v>0</v>
      </c>
      <c r="H141" s="343">
        <f t="shared" si="62"/>
        <v>0</v>
      </c>
    </row>
    <row r="142" spans="1:12" x14ac:dyDescent="0.25">
      <c r="A142" s="396" t="s">
        <v>80</v>
      </c>
      <c r="B142" s="397" t="s">
        <v>323</v>
      </c>
      <c r="C142" s="398">
        <v>0</v>
      </c>
      <c r="D142" s="398">
        <v>0</v>
      </c>
      <c r="E142" s="398">
        <v>0</v>
      </c>
      <c r="F142" s="399">
        <v>40000</v>
      </c>
      <c r="G142" s="133">
        <v>0</v>
      </c>
      <c r="H142" s="343">
        <f t="shared" si="62"/>
        <v>0</v>
      </c>
      <c r="L142" s="142"/>
    </row>
    <row r="143" spans="1:12" ht="15.75" thickBot="1" x14ac:dyDescent="0.3">
      <c r="A143" s="391" t="s">
        <v>80</v>
      </c>
      <c r="B143" s="392" t="s">
        <v>197</v>
      </c>
      <c r="C143" s="210">
        <v>40000</v>
      </c>
      <c r="D143" s="210">
        <v>40000</v>
      </c>
      <c r="E143" s="210">
        <v>40000</v>
      </c>
      <c r="F143" s="386">
        <v>0</v>
      </c>
      <c r="G143" s="133">
        <v>0</v>
      </c>
      <c r="H143" s="343">
        <v>0</v>
      </c>
      <c r="K143" s="140"/>
      <c r="L143" s="142"/>
    </row>
    <row r="144" spans="1:12" x14ac:dyDescent="0.25">
      <c r="A144" s="198" t="s">
        <v>87</v>
      </c>
      <c r="B144" s="199" t="s">
        <v>318</v>
      </c>
      <c r="C144" s="133">
        <v>0</v>
      </c>
      <c r="D144" s="133">
        <v>0</v>
      </c>
      <c r="E144" s="133">
        <v>0</v>
      </c>
      <c r="F144" s="387">
        <v>2000</v>
      </c>
      <c r="G144" s="401">
        <v>0</v>
      </c>
      <c r="H144" s="343">
        <f t="shared" ref="H144" si="63">G144/F144</f>
        <v>0</v>
      </c>
      <c r="K144" s="140"/>
    </row>
    <row r="145" spans="1:12" ht="15.75" thickBot="1" x14ac:dyDescent="0.3">
      <c r="A145" s="390" t="s">
        <v>87</v>
      </c>
      <c r="B145" s="199" t="s">
        <v>198</v>
      </c>
      <c r="C145" s="133">
        <v>1287000</v>
      </c>
      <c r="D145" s="133">
        <v>1287000</v>
      </c>
      <c r="E145" s="133">
        <v>1287000</v>
      </c>
      <c r="F145" s="133">
        <v>1287000</v>
      </c>
      <c r="G145" s="403">
        <v>0</v>
      </c>
      <c r="H145" s="343">
        <f t="shared" si="62"/>
        <v>0</v>
      </c>
      <c r="K145" s="143"/>
    </row>
    <row r="146" spans="1:12" ht="15" customHeight="1" x14ac:dyDescent="0.25">
      <c r="A146" s="191" t="s">
        <v>154</v>
      </c>
      <c r="B146" s="186" t="s">
        <v>295</v>
      </c>
      <c r="C146" s="135">
        <v>50000</v>
      </c>
      <c r="D146" s="135">
        <v>50000</v>
      </c>
      <c r="E146" s="388">
        <f>50000+4000</f>
        <v>54000</v>
      </c>
      <c r="F146" s="135">
        <f>50000+4000</f>
        <v>54000</v>
      </c>
      <c r="G146" s="133">
        <v>869</v>
      </c>
      <c r="H146" s="343">
        <f t="shared" si="62"/>
        <v>1.6092592592592592E-2</v>
      </c>
    </row>
    <row r="147" spans="1:12" x14ac:dyDescent="0.25">
      <c r="A147" s="326" t="s">
        <v>93</v>
      </c>
      <c r="B147" s="327" t="s">
        <v>293</v>
      </c>
      <c r="C147" s="136">
        <v>0</v>
      </c>
      <c r="D147" s="136">
        <v>0</v>
      </c>
      <c r="E147" s="389">
        <v>1000</v>
      </c>
      <c r="F147" s="136">
        <v>1000</v>
      </c>
      <c r="G147" s="402">
        <v>0</v>
      </c>
      <c r="H147" s="343">
        <f t="shared" si="62"/>
        <v>0</v>
      </c>
    </row>
    <row r="148" spans="1:12" ht="15.75" thickBot="1" x14ac:dyDescent="0.3">
      <c r="A148" s="323" t="s">
        <v>97</v>
      </c>
      <c r="B148" s="324" t="s">
        <v>334</v>
      </c>
      <c r="C148" s="182">
        <v>163600</v>
      </c>
      <c r="D148" s="182">
        <v>163600</v>
      </c>
      <c r="E148" s="182">
        <v>163600</v>
      </c>
      <c r="F148" s="182">
        <v>163600</v>
      </c>
      <c r="G148" s="403">
        <v>0</v>
      </c>
      <c r="H148" s="343">
        <f t="shared" si="62"/>
        <v>0</v>
      </c>
      <c r="I148" s="140"/>
    </row>
    <row r="149" spans="1:12" x14ac:dyDescent="0.25">
      <c r="A149" s="198" t="s">
        <v>107</v>
      </c>
      <c r="B149" s="199" t="s">
        <v>207</v>
      </c>
      <c r="C149" s="133">
        <v>42000</v>
      </c>
      <c r="D149" s="133">
        <v>42000</v>
      </c>
      <c r="E149" s="133">
        <v>42000</v>
      </c>
      <c r="F149" s="133">
        <v>42000</v>
      </c>
      <c r="G149" s="398">
        <v>0</v>
      </c>
      <c r="H149" s="343">
        <f t="shared" si="62"/>
        <v>0</v>
      </c>
      <c r="I149" s="140"/>
      <c r="K149" s="141"/>
    </row>
    <row r="150" spans="1:12" ht="16.5" customHeight="1" x14ac:dyDescent="0.25">
      <c r="A150" s="193" t="s">
        <v>107</v>
      </c>
      <c r="B150" s="189" t="s">
        <v>205</v>
      </c>
      <c r="C150" s="177">
        <v>56400</v>
      </c>
      <c r="D150" s="177">
        <v>56400</v>
      </c>
      <c r="E150" s="177">
        <v>56400</v>
      </c>
      <c r="F150" s="177">
        <v>56400</v>
      </c>
      <c r="G150" s="177">
        <v>0</v>
      </c>
      <c r="H150" s="343">
        <f t="shared" si="62"/>
        <v>0</v>
      </c>
      <c r="I150" s="140"/>
      <c r="J150" s="138"/>
    </row>
    <row r="151" spans="1:12" x14ac:dyDescent="0.25">
      <c r="A151" s="193" t="s">
        <v>107</v>
      </c>
      <c r="B151" s="189" t="s">
        <v>188</v>
      </c>
      <c r="C151" s="177">
        <v>10000</v>
      </c>
      <c r="D151" s="177">
        <v>10000</v>
      </c>
      <c r="E151" s="177">
        <v>10000</v>
      </c>
      <c r="F151" s="177">
        <v>10000</v>
      </c>
      <c r="G151" s="177">
        <v>0</v>
      </c>
      <c r="H151" s="343">
        <f t="shared" si="62"/>
        <v>0</v>
      </c>
      <c r="I151" s="140"/>
      <c r="J151" s="157"/>
    </row>
    <row r="152" spans="1:12" x14ac:dyDescent="0.25">
      <c r="A152" s="193" t="s">
        <v>107</v>
      </c>
      <c r="B152" s="189" t="s">
        <v>189</v>
      </c>
      <c r="C152" s="177">
        <v>10000</v>
      </c>
      <c r="D152" s="177">
        <v>10000</v>
      </c>
      <c r="E152" s="177">
        <v>10000</v>
      </c>
      <c r="F152" s="177">
        <v>10000</v>
      </c>
      <c r="G152" s="177">
        <v>0</v>
      </c>
      <c r="H152" s="343">
        <f t="shared" si="62"/>
        <v>0</v>
      </c>
      <c r="I152" s="140"/>
    </row>
    <row r="153" spans="1:12" ht="15" customHeight="1" x14ac:dyDescent="0.25">
      <c r="A153" s="193" t="s">
        <v>107</v>
      </c>
      <c r="B153" s="189" t="s">
        <v>183</v>
      </c>
      <c r="C153" s="177">
        <v>30000</v>
      </c>
      <c r="D153" s="177">
        <v>30000</v>
      </c>
      <c r="E153" s="177">
        <v>30000</v>
      </c>
      <c r="F153" s="177">
        <v>30000</v>
      </c>
      <c r="G153" s="177">
        <v>0</v>
      </c>
      <c r="H153" s="343">
        <f>G154/F153</f>
        <v>0</v>
      </c>
      <c r="I153" s="140"/>
      <c r="J153" s="138"/>
      <c r="L153" s="157"/>
    </row>
    <row r="154" spans="1:12" x14ac:dyDescent="0.25">
      <c r="A154" s="193" t="s">
        <v>109</v>
      </c>
      <c r="B154" s="189" t="s">
        <v>182</v>
      </c>
      <c r="C154" s="177">
        <v>500000</v>
      </c>
      <c r="D154" s="177">
        <v>500000</v>
      </c>
      <c r="E154" s="177">
        <v>500000</v>
      </c>
      <c r="F154" s="177">
        <v>500000</v>
      </c>
      <c r="G154" s="177">
        <v>0</v>
      </c>
      <c r="H154" s="343">
        <f>G155/F154</f>
        <v>5.3959999999999998E-3</v>
      </c>
      <c r="I154" s="143"/>
      <c r="L154" s="157"/>
    </row>
    <row r="155" spans="1:12" ht="15.75" thickBot="1" x14ac:dyDescent="0.3">
      <c r="A155" s="329" t="s">
        <v>111</v>
      </c>
      <c r="B155" s="203" t="s">
        <v>156</v>
      </c>
      <c r="C155" s="210">
        <v>2700</v>
      </c>
      <c r="D155" s="210">
        <v>2700</v>
      </c>
      <c r="E155" s="210">
        <v>2700</v>
      </c>
      <c r="F155" s="210">
        <v>2700</v>
      </c>
      <c r="G155" s="210">
        <v>2698</v>
      </c>
      <c r="H155" s="343">
        <f>G156/F155</f>
        <v>0</v>
      </c>
      <c r="I155" s="143"/>
      <c r="L155" s="138"/>
    </row>
    <row r="156" spans="1:12" ht="16.5" customHeight="1" x14ac:dyDescent="0.25">
      <c r="A156" s="197" t="s">
        <v>117</v>
      </c>
      <c r="B156" s="185" t="s">
        <v>199</v>
      </c>
      <c r="C156" s="133">
        <v>141200</v>
      </c>
      <c r="D156" s="133">
        <v>141200</v>
      </c>
      <c r="E156" s="387">
        <f>141200+72000</f>
        <v>213200</v>
      </c>
      <c r="F156" s="133">
        <f>141200+72000</f>
        <v>213200</v>
      </c>
      <c r="G156" s="133">
        <v>0</v>
      </c>
      <c r="H156" s="343">
        <f>G157/F156</f>
        <v>0</v>
      </c>
      <c r="I156" s="143"/>
      <c r="K156" s="157"/>
    </row>
    <row r="157" spans="1:12" ht="15.75" customHeight="1" thickBot="1" x14ac:dyDescent="0.3">
      <c r="A157" s="306" t="s">
        <v>126</v>
      </c>
      <c r="B157" s="307" t="s">
        <v>314</v>
      </c>
      <c r="C157" s="182">
        <v>13000</v>
      </c>
      <c r="D157" s="182">
        <v>13000</v>
      </c>
      <c r="E157" s="182">
        <v>13000</v>
      </c>
      <c r="F157" s="182">
        <v>13000</v>
      </c>
      <c r="G157" s="182">
        <v>0</v>
      </c>
      <c r="H157" s="343">
        <f>G158/F157</f>
        <v>0</v>
      </c>
      <c r="I157" s="141"/>
      <c r="K157" s="157"/>
    </row>
    <row r="158" spans="1:12" ht="15" customHeight="1" x14ac:dyDescent="0.25">
      <c r="A158" s="137"/>
      <c r="B158" s="138"/>
      <c r="C158" s="140"/>
      <c r="D158" s="140"/>
      <c r="E158" s="140"/>
      <c r="F158" s="140"/>
      <c r="K158" s="157"/>
    </row>
    <row r="159" spans="1:12" x14ac:dyDescent="0.25">
      <c r="A159" s="141"/>
      <c r="B159" s="142"/>
      <c r="C159" s="143" t="s">
        <v>157</v>
      </c>
      <c r="D159" s="143"/>
      <c r="E159" s="143"/>
      <c r="F159" s="143"/>
    </row>
    <row r="160" spans="1:12" ht="18.75" thickBot="1" x14ac:dyDescent="0.3">
      <c r="A160" s="1012" t="s">
        <v>158</v>
      </c>
      <c r="B160" s="1013"/>
      <c r="C160" s="1013"/>
      <c r="D160" s="1013"/>
      <c r="E160" s="1013"/>
      <c r="F160" s="1013"/>
      <c r="G160" s="1013"/>
      <c r="H160" s="1013"/>
    </row>
    <row r="161" spans="1:12" x14ac:dyDescent="0.25">
      <c r="A161" s="992" t="s">
        <v>1</v>
      </c>
      <c r="B161" s="993"/>
      <c r="C161" s="996">
        <v>2017</v>
      </c>
      <c r="D161" s="996" t="s">
        <v>235</v>
      </c>
      <c r="E161" s="996" t="s">
        <v>279</v>
      </c>
      <c r="F161" s="996" t="s">
        <v>310</v>
      </c>
      <c r="G161" s="996" t="s">
        <v>322</v>
      </c>
      <c r="H161" s="338" t="s">
        <v>280</v>
      </c>
    </row>
    <row r="162" spans="1:12" ht="15.75" thickBot="1" x14ac:dyDescent="0.3">
      <c r="A162" s="994"/>
      <c r="B162" s="995"/>
      <c r="C162" s="997"/>
      <c r="D162" s="997"/>
      <c r="E162" s="997"/>
      <c r="F162" s="997"/>
      <c r="G162" s="997"/>
      <c r="H162" s="341" t="s">
        <v>281</v>
      </c>
    </row>
    <row r="163" spans="1:12" ht="16.5" thickBot="1" x14ac:dyDescent="0.3">
      <c r="A163" s="144" t="s">
        <v>159</v>
      </c>
      <c r="B163" s="145"/>
      <c r="C163" s="146">
        <f t="shared" ref="C163:D163" si="64">SUM(C164:C166)</f>
        <v>714200</v>
      </c>
      <c r="D163" s="146">
        <f t="shared" si="64"/>
        <v>730100</v>
      </c>
      <c r="E163" s="146">
        <f t="shared" ref="E163:F163" si="65">SUM(E164:E166)</f>
        <v>749100</v>
      </c>
      <c r="F163" s="146">
        <f t="shared" si="65"/>
        <v>749100</v>
      </c>
      <c r="G163" s="146">
        <f t="shared" ref="G163" si="66">SUM(G164:G166)</f>
        <v>39</v>
      </c>
      <c r="H163" s="339">
        <f t="shared" ref="H163:H169" si="67">G163/F163</f>
        <v>5.2062474969963958E-5</v>
      </c>
      <c r="I163" s="171">
        <f>F163-E163</f>
        <v>0</v>
      </c>
    </row>
    <row r="164" spans="1:12" x14ac:dyDescent="0.25">
      <c r="A164" s="147">
        <v>454</v>
      </c>
      <c r="B164" s="47" t="s">
        <v>160</v>
      </c>
      <c r="C164" s="148">
        <f>312800</f>
        <v>312800</v>
      </c>
      <c r="D164" s="393">
        <f>312800+15900</f>
        <v>328700</v>
      </c>
      <c r="E164" s="393">
        <f>312800+15900-11000</f>
        <v>317700</v>
      </c>
      <c r="F164" s="148">
        <f>312800+15900-11000</f>
        <v>317700</v>
      </c>
      <c r="G164" s="148">
        <v>0</v>
      </c>
      <c r="H164" s="339">
        <f t="shared" si="67"/>
        <v>0</v>
      </c>
    </row>
    <row r="165" spans="1:12" x14ac:dyDescent="0.25">
      <c r="A165" s="149">
        <v>453</v>
      </c>
      <c r="B165" s="150" t="s">
        <v>161</v>
      </c>
      <c r="C165" s="151">
        <v>1500</v>
      </c>
      <c r="D165" s="151">
        <v>1500</v>
      </c>
      <c r="E165" s="151">
        <v>1500</v>
      </c>
      <c r="F165" s="151">
        <v>1500</v>
      </c>
      <c r="G165" s="151">
        <v>39</v>
      </c>
      <c r="H165" s="339">
        <f t="shared" si="67"/>
        <v>2.5999999999999999E-2</v>
      </c>
    </row>
    <row r="166" spans="1:12" ht="15.75" thickBot="1" x14ac:dyDescent="0.3">
      <c r="A166" s="149">
        <v>513</v>
      </c>
      <c r="B166" s="150" t="s">
        <v>162</v>
      </c>
      <c r="C166" s="151">
        <f>500000-100100</f>
        <v>399900</v>
      </c>
      <c r="D166" s="151">
        <f t="shared" ref="D166" si="68">500000-100100</f>
        <v>399900</v>
      </c>
      <c r="E166" s="394">
        <f>500000-100100+11000+19000</f>
        <v>429900</v>
      </c>
      <c r="F166" s="151">
        <f>500000-100100+11000+19000</f>
        <v>429900</v>
      </c>
      <c r="G166" s="151">
        <v>0</v>
      </c>
      <c r="H166" s="339">
        <f t="shared" si="67"/>
        <v>0</v>
      </c>
      <c r="I166" s="312"/>
    </row>
    <row r="167" spans="1:12" ht="16.5" thickBot="1" x14ac:dyDescent="0.3">
      <c r="A167" s="144" t="s">
        <v>163</v>
      </c>
      <c r="B167" s="145"/>
      <c r="C167" s="146">
        <f t="shared" ref="C167:D167" si="69">SUM(C168:C169)</f>
        <v>53800</v>
      </c>
      <c r="D167" s="146">
        <f t="shared" si="69"/>
        <v>53800</v>
      </c>
      <c r="E167" s="146">
        <f t="shared" ref="E167:F167" si="70">SUM(E168:E169)</f>
        <v>53800</v>
      </c>
      <c r="F167" s="146">
        <f t="shared" si="70"/>
        <v>53800</v>
      </c>
      <c r="G167" s="146">
        <f t="shared" ref="G167" si="71">SUM(G168:G169)</f>
        <v>255</v>
      </c>
      <c r="H167" s="339">
        <f t="shared" si="67"/>
        <v>4.7397769516728623E-3</v>
      </c>
      <c r="I167" s="157"/>
    </row>
    <row r="168" spans="1:12" x14ac:dyDescent="0.25">
      <c r="A168" s="152">
        <v>821</v>
      </c>
      <c r="B168" s="153" t="s">
        <v>164</v>
      </c>
      <c r="C168" s="154">
        <v>53000</v>
      </c>
      <c r="D168" s="154">
        <v>53000</v>
      </c>
      <c r="E168" s="154">
        <v>53000</v>
      </c>
      <c r="F168" s="154">
        <v>53000</v>
      </c>
      <c r="G168" s="154">
        <v>0</v>
      </c>
      <c r="H168" s="339">
        <f t="shared" si="67"/>
        <v>0</v>
      </c>
      <c r="I168" s="138"/>
    </row>
    <row r="169" spans="1:12" ht="15.75" thickBot="1" x14ac:dyDescent="0.3">
      <c r="A169" s="27">
        <v>821</v>
      </c>
      <c r="B169" s="155" t="s">
        <v>165</v>
      </c>
      <c r="C169" s="71">
        <v>800</v>
      </c>
      <c r="D169" s="71">
        <v>800</v>
      </c>
      <c r="E169" s="71">
        <v>800</v>
      </c>
      <c r="F169" s="71">
        <v>800</v>
      </c>
      <c r="G169" s="71">
        <v>255</v>
      </c>
      <c r="H169" s="340">
        <f t="shared" si="67"/>
        <v>0.31874999999999998</v>
      </c>
    </row>
    <row r="170" spans="1:12" x14ac:dyDescent="0.25">
      <c r="A170" s="141"/>
      <c r="B170" s="156"/>
      <c r="C170" s="157"/>
      <c r="D170" s="157"/>
      <c r="E170" s="157"/>
      <c r="F170" s="157"/>
      <c r="G170" s="157"/>
    </row>
    <row r="171" spans="1:12" ht="16.5" thickBot="1" x14ac:dyDescent="0.3">
      <c r="A171" s="58"/>
      <c r="B171" s="138"/>
      <c r="C171" s="138"/>
      <c r="D171" s="138"/>
      <c r="E171" s="138"/>
      <c r="F171" s="138"/>
      <c r="G171" s="138"/>
      <c r="J171" s="172"/>
    </row>
    <row r="172" spans="1:12" ht="18.75" thickBot="1" x14ac:dyDescent="0.3">
      <c r="A172" s="1018" t="s">
        <v>166</v>
      </c>
      <c r="B172" s="1019"/>
      <c r="C172" s="1019"/>
      <c r="D172" s="1019"/>
      <c r="E172" s="1019"/>
      <c r="F172" s="1019"/>
      <c r="G172" s="1020"/>
    </row>
    <row r="173" spans="1:12" x14ac:dyDescent="0.25">
      <c r="A173" s="992" t="s">
        <v>1</v>
      </c>
      <c r="B173" s="993"/>
      <c r="C173" s="996">
        <v>2017</v>
      </c>
      <c r="D173" s="996" t="s">
        <v>235</v>
      </c>
      <c r="E173" s="996" t="s">
        <v>279</v>
      </c>
      <c r="F173" s="996" t="s">
        <v>310</v>
      </c>
      <c r="G173" s="996" t="s">
        <v>322</v>
      </c>
    </row>
    <row r="174" spans="1:12" ht="15.75" thickBot="1" x14ac:dyDescent="0.3">
      <c r="A174" s="994"/>
      <c r="B174" s="995"/>
      <c r="C174" s="997"/>
      <c r="D174" s="997"/>
      <c r="E174" s="997"/>
      <c r="F174" s="997"/>
      <c r="G174" s="997"/>
    </row>
    <row r="175" spans="1:12" ht="15.75" x14ac:dyDescent="0.25">
      <c r="A175" s="158" t="s">
        <v>167</v>
      </c>
      <c r="B175" s="16"/>
      <c r="C175" s="159">
        <f>C61</f>
        <v>1761540</v>
      </c>
      <c r="D175" s="159">
        <f>D61</f>
        <v>1786123</v>
      </c>
      <c r="E175" s="159">
        <f>E61</f>
        <v>1791123</v>
      </c>
      <c r="F175" s="159">
        <f>F61</f>
        <v>1820123</v>
      </c>
      <c r="G175" s="159">
        <f>G61</f>
        <v>639868</v>
      </c>
    </row>
    <row r="176" spans="1:12" ht="15.75" x14ac:dyDescent="0.25">
      <c r="A176" s="160" t="s">
        <v>168</v>
      </c>
      <c r="B176" s="10"/>
      <c r="C176" s="161">
        <f>C120</f>
        <v>1609140</v>
      </c>
      <c r="D176" s="161">
        <f>D120</f>
        <v>1633723</v>
      </c>
      <c r="E176" s="161">
        <f>E120</f>
        <v>1638723</v>
      </c>
      <c r="F176" s="161">
        <f>F120</f>
        <v>1656723</v>
      </c>
      <c r="G176" s="161">
        <f>G120</f>
        <v>452336</v>
      </c>
      <c r="L176" s="172"/>
    </row>
    <row r="177" spans="1:11" ht="15.75" x14ac:dyDescent="0.25">
      <c r="A177" s="1014" t="s">
        <v>169</v>
      </c>
      <c r="B177" s="1015"/>
      <c r="C177" s="162">
        <f t="shared" ref="C177:G177" si="72">C175-C176</f>
        <v>152400</v>
      </c>
      <c r="D177" s="162">
        <f t="shared" si="72"/>
        <v>152400</v>
      </c>
      <c r="E177" s="162">
        <f t="shared" si="72"/>
        <v>152400</v>
      </c>
      <c r="F177" s="162">
        <f t="shared" ref="F177" si="73">F175-F176</f>
        <v>163400</v>
      </c>
      <c r="G177" s="162">
        <f t="shared" si="72"/>
        <v>187532</v>
      </c>
    </row>
    <row r="178" spans="1:11" ht="15.75" x14ac:dyDescent="0.25">
      <c r="A178" s="160" t="s">
        <v>170</v>
      </c>
      <c r="B178" s="10"/>
      <c r="C178" s="161">
        <f>C126</f>
        <v>1669100</v>
      </c>
      <c r="D178" s="161">
        <f>D126</f>
        <v>1653200</v>
      </c>
      <c r="E178" s="161">
        <f>E126</f>
        <v>1748000</v>
      </c>
      <c r="F178" s="161">
        <f>F126</f>
        <v>1748000</v>
      </c>
      <c r="G178" s="161">
        <f>G126</f>
        <v>12503</v>
      </c>
    </row>
    <row r="179" spans="1:11" ht="15.75" x14ac:dyDescent="0.25">
      <c r="A179" s="160" t="s">
        <v>171</v>
      </c>
      <c r="B179" s="10"/>
      <c r="C179" s="11">
        <f>C135</f>
        <v>2481900</v>
      </c>
      <c r="D179" s="11">
        <f>D135</f>
        <v>2481900</v>
      </c>
      <c r="E179" s="11">
        <f>E135</f>
        <v>2595700</v>
      </c>
      <c r="F179" s="11">
        <f>F135</f>
        <v>2606700</v>
      </c>
      <c r="G179" s="11">
        <f>G135</f>
        <v>5567</v>
      </c>
      <c r="K179" s="172"/>
    </row>
    <row r="180" spans="1:11" ht="15.75" x14ac:dyDescent="0.25">
      <c r="A180" s="1014" t="s">
        <v>172</v>
      </c>
      <c r="B180" s="1015"/>
      <c r="C180" s="162">
        <f t="shared" ref="C180:G180" si="74">C178-C179</f>
        <v>-812800</v>
      </c>
      <c r="D180" s="162">
        <f t="shared" si="74"/>
        <v>-828700</v>
      </c>
      <c r="E180" s="162">
        <f t="shared" si="74"/>
        <v>-847700</v>
      </c>
      <c r="F180" s="162">
        <f t="shared" ref="F180" si="75">F178-F179</f>
        <v>-858700</v>
      </c>
      <c r="G180" s="162">
        <f t="shared" si="74"/>
        <v>6936</v>
      </c>
    </row>
    <row r="181" spans="1:11" ht="15.75" x14ac:dyDescent="0.25">
      <c r="A181" s="163" t="s">
        <v>173</v>
      </c>
      <c r="B181" s="164"/>
      <c r="C181" s="165">
        <f>C163</f>
        <v>714200</v>
      </c>
      <c r="D181" s="165">
        <f>D163</f>
        <v>730100</v>
      </c>
      <c r="E181" s="165">
        <f>E163</f>
        <v>749100</v>
      </c>
      <c r="F181" s="165">
        <f>F163</f>
        <v>749100</v>
      </c>
      <c r="G181" s="165">
        <f>G163</f>
        <v>39</v>
      </c>
      <c r="H181" s="208"/>
    </row>
    <row r="182" spans="1:11" ht="15.75" x14ac:dyDescent="0.25">
      <c r="A182" s="163" t="s">
        <v>174</v>
      </c>
      <c r="B182" s="164"/>
      <c r="C182" s="165">
        <f>C167</f>
        <v>53800</v>
      </c>
      <c r="D182" s="165">
        <f>D167</f>
        <v>53800</v>
      </c>
      <c r="E182" s="165">
        <f>E167</f>
        <v>53800</v>
      </c>
      <c r="F182" s="165">
        <f>F167</f>
        <v>53800</v>
      </c>
      <c r="G182" s="165">
        <f>G167</f>
        <v>255</v>
      </c>
    </row>
    <row r="183" spans="1:11" ht="16.5" thickBot="1" x14ac:dyDescent="0.3">
      <c r="A183" s="1016" t="s">
        <v>175</v>
      </c>
      <c r="B183" s="1017"/>
      <c r="C183" s="166">
        <f t="shared" ref="C183:G183" si="76">C181-C182</f>
        <v>660400</v>
      </c>
      <c r="D183" s="166">
        <f t="shared" si="76"/>
        <v>676300</v>
      </c>
      <c r="E183" s="166">
        <f t="shared" si="76"/>
        <v>695300</v>
      </c>
      <c r="F183" s="166">
        <f t="shared" ref="F183" si="77">F181-F182</f>
        <v>695300</v>
      </c>
      <c r="G183" s="166">
        <f t="shared" si="76"/>
        <v>-216</v>
      </c>
    </row>
    <row r="184" spans="1:11" ht="16.5" thickBot="1" x14ac:dyDescent="0.3">
      <c r="A184" s="167" t="s">
        <v>176</v>
      </c>
      <c r="B184" s="168"/>
      <c r="C184" s="169">
        <f t="shared" ref="C184:G184" si="78">C177+C180+C183</f>
        <v>0</v>
      </c>
      <c r="D184" s="169">
        <f t="shared" si="78"/>
        <v>0</v>
      </c>
      <c r="E184" s="169">
        <f t="shared" si="78"/>
        <v>0</v>
      </c>
      <c r="F184" s="169">
        <f t="shared" ref="F184" si="79">F177+F180+F183</f>
        <v>0</v>
      </c>
      <c r="G184" s="169">
        <f t="shared" si="78"/>
        <v>194252</v>
      </c>
    </row>
    <row r="186" spans="1:11" x14ac:dyDescent="0.25">
      <c r="B186" s="170" t="s">
        <v>177</v>
      </c>
      <c r="C186" s="171">
        <f t="shared" ref="C186:G187" si="80">C175+C178+C181</f>
        <v>4144840</v>
      </c>
      <c r="D186" s="171">
        <f t="shared" si="80"/>
        <v>4169423</v>
      </c>
      <c r="E186" s="171">
        <f t="shared" si="80"/>
        <v>4288223</v>
      </c>
      <c r="F186" s="171">
        <f t="shared" ref="F186" si="81">F175+F178+F181</f>
        <v>4317223</v>
      </c>
      <c r="G186" s="171">
        <f t="shared" si="80"/>
        <v>652410</v>
      </c>
      <c r="I186" s="171">
        <f>F186-E186</f>
        <v>29000</v>
      </c>
    </row>
    <row r="187" spans="1:11" x14ac:dyDescent="0.25">
      <c r="B187" s="170" t="s">
        <v>178</v>
      </c>
      <c r="C187" s="171">
        <f t="shared" si="80"/>
        <v>4144840</v>
      </c>
      <c r="D187" s="171">
        <f t="shared" si="80"/>
        <v>4169423</v>
      </c>
      <c r="E187" s="171">
        <f t="shared" si="80"/>
        <v>4288223</v>
      </c>
      <c r="F187" s="171">
        <f t="shared" ref="F187" si="82">F176+F179+F182</f>
        <v>4317223</v>
      </c>
      <c r="G187" s="171">
        <f t="shared" si="80"/>
        <v>458158</v>
      </c>
      <c r="I187" s="171">
        <f>F187-E187</f>
        <v>29000</v>
      </c>
    </row>
    <row r="188" spans="1:11" x14ac:dyDescent="0.25">
      <c r="B188" s="170"/>
      <c r="C188" s="171"/>
      <c r="D188" s="171"/>
      <c r="E188" s="171"/>
      <c r="F188" s="171"/>
      <c r="G188" s="171"/>
      <c r="I188" s="171"/>
    </row>
    <row r="189" spans="1:11" x14ac:dyDescent="0.25">
      <c r="B189" s="170" t="s">
        <v>179</v>
      </c>
      <c r="C189" s="171">
        <f>C186-C60</f>
        <v>4141840</v>
      </c>
      <c r="D189" s="171">
        <f>D186-D60</f>
        <v>4166073</v>
      </c>
      <c r="E189" s="171">
        <f>E186-E60</f>
        <v>4284873</v>
      </c>
      <c r="F189" s="171">
        <f>F186-F60</f>
        <v>4313873</v>
      </c>
      <c r="G189" s="171">
        <f>G186-G60</f>
        <v>651778</v>
      </c>
      <c r="H189" s="172"/>
      <c r="I189" s="171">
        <f>F189-E189</f>
        <v>29000</v>
      </c>
    </row>
    <row r="190" spans="1:11" x14ac:dyDescent="0.25">
      <c r="B190" s="170" t="s">
        <v>180</v>
      </c>
      <c r="C190" s="171">
        <f>C187-C119</f>
        <v>3716400</v>
      </c>
      <c r="D190" s="171">
        <f>D187-D119</f>
        <v>3718596</v>
      </c>
      <c r="E190" s="171">
        <f>E187-E119</f>
        <v>3837396</v>
      </c>
      <c r="F190" s="171">
        <f>F187-F119</f>
        <v>3866396</v>
      </c>
      <c r="G190" s="171">
        <f>G187-G119</f>
        <v>293547</v>
      </c>
      <c r="I190" s="171">
        <f>F190-E190</f>
        <v>29000</v>
      </c>
    </row>
    <row r="191" spans="1:11" x14ac:dyDescent="0.25">
      <c r="B191" s="170"/>
      <c r="C191" s="171"/>
      <c r="D191" s="171"/>
      <c r="E191" s="171"/>
      <c r="F191" s="171"/>
      <c r="G191" s="171"/>
      <c r="I191" s="171"/>
    </row>
    <row r="193" spans="2:7" x14ac:dyDescent="0.25">
      <c r="B193" t="s">
        <v>181</v>
      </c>
    </row>
    <row r="195" spans="2:7" x14ac:dyDescent="0.25">
      <c r="B195" s="172" t="s">
        <v>315</v>
      </c>
      <c r="C195" s="172"/>
      <c r="D195" s="172"/>
      <c r="E195" s="172"/>
      <c r="F195" s="172"/>
      <c r="G195" s="172"/>
    </row>
    <row r="196" spans="2:7" x14ac:dyDescent="0.25">
      <c r="B196" s="172" t="s">
        <v>316</v>
      </c>
    </row>
    <row r="197" spans="2:7" x14ac:dyDescent="0.25">
      <c r="B197" s="172" t="s">
        <v>317</v>
      </c>
    </row>
    <row r="198" spans="2:7" x14ac:dyDescent="0.25">
      <c r="B198" s="172" t="s">
        <v>324</v>
      </c>
    </row>
    <row r="199" spans="2:7" x14ac:dyDescent="0.25">
      <c r="B199" s="172"/>
    </row>
    <row r="200" spans="2:7" x14ac:dyDescent="0.25">
      <c r="B200" s="261" t="s">
        <v>325</v>
      </c>
    </row>
  </sheetData>
  <mergeCells count="43">
    <mergeCell ref="A1:H1"/>
    <mergeCell ref="A177:B177"/>
    <mergeCell ref="A180:B180"/>
    <mergeCell ref="A183:B183"/>
    <mergeCell ref="F2:F3"/>
    <mergeCell ref="F65:F66"/>
    <mergeCell ref="F124:F125"/>
    <mergeCell ref="F161:F162"/>
    <mergeCell ref="F173:F174"/>
    <mergeCell ref="A160:H160"/>
    <mergeCell ref="A123:H123"/>
    <mergeCell ref="A173:B174"/>
    <mergeCell ref="C173:C174"/>
    <mergeCell ref="D173:D174"/>
    <mergeCell ref="E173:E174"/>
    <mergeCell ref="G173:G174"/>
    <mergeCell ref="A126:B126"/>
    <mergeCell ref="A135:B135"/>
    <mergeCell ref="A161:B162"/>
    <mergeCell ref="C161:C162"/>
    <mergeCell ref="D161:D162"/>
    <mergeCell ref="E161:E162"/>
    <mergeCell ref="G161:G162"/>
    <mergeCell ref="A172:G172"/>
    <mergeCell ref="G124:G125"/>
    <mergeCell ref="A4:B4"/>
    <mergeCell ref="A12:B12"/>
    <mergeCell ref="A65:B66"/>
    <mergeCell ref="C65:C66"/>
    <mergeCell ref="D65:D66"/>
    <mergeCell ref="E65:E66"/>
    <mergeCell ref="G65:G66"/>
    <mergeCell ref="A64:H64"/>
    <mergeCell ref="A83:B83"/>
    <mergeCell ref="A124:B125"/>
    <mergeCell ref="C124:C125"/>
    <mergeCell ref="D124:D125"/>
    <mergeCell ref="G2:G3"/>
    <mergeCell ref="E124:E125"/>
    <mergeCell ref="A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&amp;C&amp;"-,Tučné"&amp;12Rozpočet obce Heľpa na rok 2017
3. zmena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6"/>
  <sheetViews>
    <sheetView zoomScale="106" zoomScaleNormal="106" workbookViewId="0">
      <selection sqref="A1:F1"/>
    </sheetView>
  </sheetViews>
  <sheetFormatPr defaultRowHeight="15" x14ac:dyDescent="0.25"/>
  <cols>
    <col min="2" max="2" width="60.5703125" customWidth="1"/>
    <col min="3" max="3" width="12.85546875" customWidth="1"/>
    <col min="4" max="5" width="12.7109375" customWidth="1"/>
    <col min="6" max="6" width="12" customWidth="1"/>
    <col min="7" max="7" width="7.85546875" customWidth="1"/>
    <col min="11" max="11" width="12.140625" bestFit="1" customWidth="1"/>
  </cols>
  <sheetData>
    <row r="1" spans="1:7" ht="23.25" customHeight="1" thickBot="1" x14ac:dyDescent="0.3">
      <c r="A1" s="1027" t="s">
        <v>0</v>
      </c>
      <c r="B1" s="1028"/>
      <c r="C1" s="1028"/>
      <c r="D1" s="1028"/>
      <c r="E1" s="1028"/>
      <c r="F1" s="1029"/>
    </row>
    <row r="2" spans="1:7" ht="15" customHeight="1" x14ac:dyDescent="0.25">
      <c r="A2" s="992" t="s">
        <v>1</v>
      </c>
      <c r="B2" s="993"/>
      <c r="C2" s="996">
        <v>2017</v>
      </c>
      <c r="D2" s="996" t="s">
        <v>235</v>
      </c>
      <c r="E2" s="996" t="s">
        <v>279</v>
      </c>
      <c r="F2" s="996" t="s">
        <v>304</v>
      </c>
      <c r="G2" s="308" t="s">
        <v>280</v>
      </c>
    </row>
    <row r="3" spans="1:7" ht="15.75" thickBot="1" x14ac:dyDescent="0.3">
      <c r="A3" s="994"/>
      <c r="B3" s="995"/>
      <c r="C3" s="997"/>
      <c r="D3" s="997"/>
      <c r="E3" s="997"/>
      <c r="F3" s="997"/>
      <c r="G3" s="308" t="s">
        <v>281</v>
      </c>
    </row>
    <row r="4" spans="1:7" ht="15.75" thickBot="1" x14ac:dyDescent="0.3">
      <c r="A4" s="1000" t="s">
        <v>2</v>
      </c>
      <c r="B4" s="1001"/>
      <c r="C4" s="1">
        <f t="shared" ref="C4:F4" si="0">SUM(C5:C11)</f>
        <v>1009400</v>
      </c>
      <c r="D4" s="1">
        <f t="shared" si="0"/>
        <v>1009400</v>
      </c>
      <c r="E4" s="1">
        <f t="shared" ref="E4" si="1">SUM(E5:E11)</f>
        <v>1009400</v>
      </c>
      <c r="F4" s="1">
        <f t="shared" si="0"/>
        <v>296963</v>
      </c>
      <c r="G4" s="309">
        <f>F4/E4</f>
        <v>0.29419754309490787</v>
      </c>
    </row>
    <row r="5" spans="1:7" ht="15.75" thickBot="1" x14ac:dyDescent="0.3">
      <c r="A5" s="2">
        <v>111</v>
      </c>
      <c r="B5" s="3" t="s">
        <v>3</v>
      </c>
      <c r="C5" s="4">
        <v>950000</v>
      </c>
      <c r="D5" s="4">
        <v>950000</v>
      </c>
      <c r="E5" s="4">
        <v>950000</v>
      </c>
      <c r="F5" s="4">
        <v>276591</v>
      </c>
      <c r="G5" s="309">
        <f t="shared" ref="G5:G59" si="2">F5/E5</f>
        <v>0.29114842105263156</v>
      </c>
    </row>
    <row r="6" spans="1:7" ht="15.75" thickBot="1" x14ac:dyDescent="0.3">
      <c r="A6" s="5">
        <v>121</v>
      </c>
      <c r="B6" s="6" t="s">
        <v>4</v>
      </c>
      <c r="C6" s="173">
        <v>32000</v>
      </c>
      <c r="D6" s="173">
        <v>32000</v>
      </c>
      <c r="E6" s="173">
        <v>32000</v>
      </c>
      <c r="F6" s="173">
        <v>10119</v>
      </c>
      <c r="G6" s="309">
        <f t="shared" si="2"/>
        <v>0.31621874999999999</v>
      </c>
    </row>
    <row r="7" spans="1:7" x14ac:dyDescent="0.25">
      <c r="A7" s="7">
        <v>133</v>
      </c>
      <c r="B7" s="8" t="s">
        <v>5</v>
      </c>
      <c r="C7" s="18">
        <v>1000</v>
      </c>
      <c r="D7" s="18">
        <v>1000</v>
      </c>
      <c r="E7" s="18">
        <v>1000</v>
      </c>
      <c r="F7" s="18">
        <v>684</v>
      </c>
      <c r="G7" s="309">
        <f t="shared" si="2"/>
        <v>0.68400000000000005</v>
      </c>
    </row>
    <row r="8" spans="1:7" x14ac:dyDescent="0.25">
      <c r="A8" s="9">
        <v>133</v>
      </c>
      <c r="B8" s="10" t="s">
        <v>6</v>
      </c>
      <c r="C8" s="19">
        <v>400</v>
      </c>
      <c r="D8" s="19">
        <v>400</v>
      </c>
      <c r="E8" s="19">
        <v>400</v>
      </c>
      <c r="F8" s="19">
        <v>50</v>
      </c>
      <c r="G8" s="309">
        <f t="shared" si="2"/>
        <v>0.125</v>
      </c>
    </row>
    <row r="9" spans="1:7" x14ac:dyDescent="0.25">
      <c r="A9" s="9">
        <v>133</v>
      </c>
      <c r="B9" s="10" t="s">
        <v>7</v>
      </c>
      <c r="C9" s="19">
        <v>2000</v>
      </c>
      <c r="D9" s="19">
        <v>2000</v>
      </c>
      <c r="E9" s="19">
        <v>2000</v>
      </c>
      <c r="F9" s="19">
        <v>74</v>
      </c>
      <c r="G9" s="309">
        <f t="shared" si="2"/>
        <v>3.6999999999999998E-2</v>
      </c>
    </row>
    <row r="10" spans="1:7" x14ac:dyDescent="0.25">
      <c r="A10" s="9">
        <v>133</v>
      </c>
      <c r="B10" s="10" t="s">
        <v>8</v>
      </c>
      <c r="C10" s="19">
        <v>5000</v>
      </c>
      <c r="D10" s="19">
        <v>5000</v>
      </c>
      <c r="E10" s="19">
        <v>5000</v>
      </c>
      <c r="F10" s="19">
        <v>300</v>
      </c>
      <c r="G10" s="309">
        <f t="shared" si="2"/>
        <v>0.06</v>
      </c>
    </row>
    <row r="11" spans="1:7" ht="15.75" thickBot="1" x14ac:dyDescent="0.3">
      <c r="A11" s="12">
        <v>133</v>
      </c>
      <c r="B11" s="13" t="s">
        <v>9</v>
      </c>
      <c r="C11" s="14">
        <v>19000</v>
      </c>
      <c r="D11" s="14">
        <v>19000</v>
      </c>
      <c r="E11" s="14">
        <v>19000</v>
      </c>
      <c r="F11" s="14">
        <v>9145</v>
      </c>
      <c r="G11" s="309">
        <f t="shared" si="2"/>
        <v>0.4813157894736842</v>
      </c>
    </row>
    <row r="12" spans="1:7" ht="15.75" thickBot="1" x14ac:dyDescent="0.3">
      <c r="A12" s="1000" t="s">
        <v>10</v>
      </c>
      <c r="B12" s="1001"/>
      <c r="C12" s="1">
        <f t="shared" ref="C12:F12" si="3">SUM(C13:C30)</f>
        <v>159850</v>
      </c>
      <c r="D12" s="1">
        <f t="shared" si="3"/>
        <v>159882</v>
      </c>
      <c r="E12" s="1">
        <f t="shared" ref="E12" si="4">SUM(E13:E30)</f>
        <v>159882</v>
      </c>
      <c r="F12" s="1">
        <f t="shared" si="3"/>
        <v>34328</v>
      </c>
      <c r="G12" s="309">
        <f t="shared" si="2"/>
        <v>0.21470834740621209</v>
      </c>
    </row>
    <row r="13" spans="1:7" x14ac:dyDescent="0.25">
      <c r="A13" s="15">
        <v>212</v>
      </c>
      <c r="B13" s="16" t="s">
        <v>11</v>
      </c>
      <c r="C13" s="17">
        <v>2282</v>
      </c>
      <c r="D13" s="17">
        <v>2282</v>
      </c>
      <c r="E13" s="17">
        <v>2282</v>
      </c>
      <c r="F13" s="17">
        <v>503</v>
      </c>
      <c r="G13" s="309">
        <f t="shared" si="2"/>
        <v>0.22042068361086767</v>
      </c>
    </row>
    <row r="14" spans="1:7" x14ac:dyDescent="0.25">
      <c r="A14" s="7">
        <v>212</v>
      </c>
      <c r="B14" s="8" t="s">
        <v>12</v>
      </c>
      <c r="C14" s="18">
        <v>500</v>
      </c>
      <c r="D14" s="18">
        <v>500</v>
      </c>
      <c r="E14" s="18">
        <v>500</v>
      </c>
      <c r="F14" s="18">
        <v>66</v>
      </c>
      <c r="G14" s="309">
        <f t="shared" si="2"/>
        <v>0.13200000000000001</v>
      </c>
    </row>
    <row r="15" spans="1:7" x14ac:dyDescent="0.25">
      <c r="A15" s="9">
        <v>212</v>
      </c>
      <c r="B15" s="10" t="s">
        <v>13</v>
      </c>
      <c r="C15" s="19">
        <v>3943</v>
      </c>
      <c r="D15" s="295">
        <f>3943+32</f>
        <v>3975</v>
      </c>
      <c r="E15" s="19">
        <f>3943+32</f>
        <v>3975</v>
      </c>
      <c r="F15" s="19">
        <v>853</v>
      </c>
      <c r="G15" s="309">
        <f t="shared" si="2"/>
        <v>0.21459119496855347</v>
      </c>
    </row>
    <row r="16" spans="1:7" x14ac:dyDescent="0.25">
      <c r="A16" s="9">
        <v>212</v>
      </c>
      <c r="B16" s="10" t="s">
        <v>14</v>
      </c>
      <c r="C16" s="20">
        <v>15075</v>
      </c>
      <c r="D16" s="20">
        <f>15075</f>
        <v>15075</v>
      </c>
      <c r="E16" s="20">
        <f>15075</f>
        <v>15075</v>
      </c>
      <c r="F16" s="20">
        <v>2955</v>
      </c>
      <c r="G16" s="309">
        <f t="shared" si="2"/>
        <v>0.19601990049751244</v>
      </c>
    </row>
    <row r="17" spans="1:10" ht="15.75" thickBot="1" x14ac:dyDescent="0.3">
      <c r="A17" s="21">
        <v>212</v>
      </c>
      <c r="B17" s="22" t="s">
        <v>15</v>
      </c>
      <c r="C17" s="23">
        <v>200</v>
      </c>
      <c r="D17" s="23">
        <v>200</v>
      </c>
      <c r="E17" s="23">
        <v>200</v>
      </c>
      <c r="F17" s="23">
        <v>0</v>
      </c>
      <c r="G17" s="309">
        <f t="shared" si="2"/>
        <v>0</v>
      </c>
      <c r="H17" s="171">
        <f>SUM(F13:F17)</f>
        <v>4377</v>
      </c>
      <c r="I17" s="171"/>
      <c r="J17" s="171"/>
    </row>
    <row r="18" spans="1:10" ht="15.75" thickBot="1" x14ac:dyDescent="0.3">
      <c r="A18" s="5">
        <v>221</v>
      </c>
      <c r="B18" s="6" t="s">
        <v>16</v>
      </c>
      <c r="C18" s="24">
        <v>11000</v>
      </c>
      <c r="D18" s="24">
        <v>11000</v>
      </c>
      <c r="E18" s="24">
        <v>11000</v>
      </c>
      <c r="F18" s="24">
        <v>1002</v>
      </c>
      <c r="G18" s="309">
        <f t="shared" si="2"/>
        <v>9.1090909090909097E-2</v>
      </c>
    </row>
    <row r="19" spans="1:10" ht="15.75" thickBot="1" x14ac:dyDescent="0.3">
      <c r="A19" s="21">
        <v>222</v>
      </c>
      <c r="B19" s="22" t="s">
        <v>17</v>
      </c>
      <c r="C19" s="23">
        <v>0</v>
      </c>
      <c r="D19" s="23">
        <v>0</v>
      </c>
      <c r="E19" s="23">
        <v>0</v>
      </c>
      <c r="F19" s="23">
        <v>0</v>
      </c>
      <c r="G19" s="309">
        <v>0</v>
      </c>
    </row>
    <row r="20" spans="1:10" x14ac:dyDescent="0.25">
      <c r="A20" s="7">
        <v>223</v>
      </c>
      <c r="B20" s="8" t="s">
        <v>18</v>
      </c>
      <c r="C20" s="18">
        <v>900</v>
      </c>
      <c r="D20" s="18">
        <v>900</v>
      </c>
      <c r="E20" s="18">
        <v>900</v>
      </c>
      <c r="F20" s="18">
        <v>90</v>
      </c>
      <c r="G20" s="309">
        <f t="shared" si="2"/>
        <v>0.1</v>
      </c>
    </row>
    <row r="21" spans="1:10" x14ac:dyDescent="0.25">
      <c r="A21" s="9">
        <v>223</v>
      </c>
      <c r="B21" s="10" t="s">
        <v>19</v>
      </c>
      <c r="C21" s="19">
        <v>18000</v>
      </c>
      <c r="D21" s="19">
        <v>18000</v>
      </c>
      <c r="E21" s="19">
        <v>18000</v>
      </c>
      <c r="F21" s="19">
        <v>4068</v>
      </c>
      <c r="G21" s="309">
        <f t="shared" si="2"/>
        <v>0.22600000000000001</v>
      </c>
    </row>
    <row r="22" spans="1:10" x14ac:dyDescent="0.25">
      <c r="A22" s="9">
        <v>223</v>
      </c>
      <c r="B22" s="10" t="s">
        <v>20</v>
      </c>
      <c r="C22" s="19">
        <v>30000</v>
      </c>
      <c r="D22" s="19">
        <v>30000</v>
      </c>
      <c r="E22" s="19">
        <v>30000</v>
      </c>
      <c r="F22" s="19">
        <v>294</v>
      </c>
      <c r="G22" s="309">
        <f t="shared" si="2"/>
        <v>9.7999999999999997E-3</v>
      </c>
    </row>
    <row r="23" spans="1:10" x14ac:dyDescent="0.25">
      <c r="A23" s="9">
        <v>223</v>
      </c>
      <c r="B23" s="10" t="s">
        <v>21</v>
      </c>
      <c r="C23" s="19">
        <v>1000</v>
      </c>
      <c r="D23" s="19">
        <v>1000</v>
      </c>
      <c r="E23" s="19">
        <v>1000</v>
      </c>
      <c r="F23" s="19">
        <v>0</v>
      </c>
      <c r="G23" s="309">
        <f t="shared" si="2"/>
        <v>0</v>
      </c>
    </row>
    <row r="24" spans="1:10" x14ac:dyDescent="0.25">
      <c r="A24" s="9">
        <v>223</v>
      </c>
      <c r="B24" s="10" t="s">
        <v>22</v>
      </c>
      <c r="C24" s="19">
        <v>700</v>
      </c>
      <c r="D24" s="19">
        <v>700</v>
      </c>
      <c r="E24" s="19">
        <v>700</v>
      </c>
      <c r="F24" s="19">
        <v>166</v>
      </c>
      <c r="G24" s="309">
        <f t="shared" si="2"/>
        <v>0.23714285714285716</v>
      </c>
    </row>
    <row r="25" spans="1:10" x14ac:dyDescent="0.25">
      <c r="A25" s="9">
        <v>223</v>
      </c>
      <c r="B25" s="10" t="s">
        <v>23</v>
      </c>
      <c r="C25" s="19">
        <v>24000</v>
      </c>
      <c r="D25" s="19">
        <v>24000</v>
      </c>
      <c r="E25" s="19">
        <v>24000</v>
      </c>
      <c r="F25" s="19">
        <v>11483</v>
      </c>
      <c r="G25" s="309">
        <f t="shared" si="2"/>
        <v>0.47845833333333332</v>
      </c>
    </row>
    <row r="26" spans="1:10" x14ac:dyDescent="0.25">
      <c r="A26" s="9">
        <v>223</v>
      </c>
      <c r="B26" s="10" t="s">
        <v>24</v>
      </c>
      <c r="C26" s="19">
        <v>21650</v>
      </c>
      <c r="D26" s="19">
        <v>21650</v>
      </c>
      <c r="E26" s="19">
        <v>21650</v>
      </c>
      <c r="F26" s="19">
        <v>5118</v>
      </c>
      <c r="G26" s="309">
        <f t="shared" si="2"/>
        <v>0.23639722863741339</v>
      </c>
    </row>
    <row r="27" spans="1:10" x14ac:dyDescent="0.25">
      <c r="A27" s="9">
        <v>223</v>
      </c>
      <c r="B27" s="10" t="s">
        <v>25</v>
      </c>
      <c r="C27" s="19">
        <v>18000</v>
      </c>
      <c r="D27" s="19">
        <v>18000</v>
      </c>
      <c r="E27" s="19">
        <v>18000</v>
      </c>
      <c r="F27" s="19">
        <v>3812</v>
      </c>
      <c r="G27" s="309">
        <f t="shared" si="2"/>
        <v>0.21177777777777779</v>
      </c>
    </row>
    <row r="28" spans="1:10" x14ac:dyDescent="0.25">
      <c r="A28" s="9">
        <v>223</v>
      </c>
      <c r="B28" s="10" t="s">
        <v>26</v>
      </c>
      <c r="C28" s="25">
        <v>10000</v>
      </c>
      <c r="D28" s="25">
        <v>10000</v>
      </c>
      <c r="E28" s="25">
        <v>10000</v>
      </c>
      <c r="F28" s="25">
        <v>3375</v>
      </c>
      <c r="G28" s="309">
        <f t="shared" si="2"/>
        <v>0.33750000000000002</v>
      </c>
    </row>
    <row r="29" spans="1:10" x14ac:dyDescent="0.25">
      <c r="A29" s="9">
        <v>223</v>
      </c>
      <c r="B29" s="10" t="s">
        <v>27</v>
      </c>
      <c r="C29" s="19">
        <v>2500</v>
      </c>
      <c r="D29" s="19">
        <v>2500</v>
      </c>
      <c r="E29" s="19">
        <v>2500</v>
      </c>
      <c r="F29" s="19">
        <v>543</v>
      </c>
      <c r="G29" s="309">
        <f t="shared" si="2"/>
        <v>0.2172</v>
      </c>
    </row>
    <row r="30" spans="1:10" ht="15.75" thickBot="1" x14ac:dyDescent="0.3">
      <c r="A30" s="12">
        <v>223</v>
      </c>
      <c r="B30" s="13" t="s">
        <v>28</v>
      </c>
      <c r="C30" s="26">
        <v>100</v>
      </c>
      <c r="D30" s="26">
        <v>100</v>
      </c>
      <c r="E30" s="26">
        <v>100</v>
      </c>
      <c r="F30" s="26">
        <v>0</v>
      </c>
      <c r="G30" s="309">
        <f t="shared" si="2"/>
        <v>0</v>
      </c>
      <c r="H30" s="171">
        <f>SUM(F18:F30)</f>
        <v>29951</v>
      </c>
      <c r="I30" s="171"/>
      <c r="J30" s="171"/>
    </row>
    <row r="31" spans="1:10" ht="15.75" thickBot="1" x14ac:dyDescent="0.3">
      <c r="A31" s="304" t="s">
        <v>29</v>
      </c>
      <c r="B31" s="305"/>
      <c r="C31" s="1">
        <f t="shared" ref="C31:F31" si="5">SUM(C32)</f>
        <v>600</v>
      </c>
      <c r="D31" s="1">
        <f t="shared" si="5"/>
        <v>600</v>
      </c>
      <c r="E31" s="1">
        <f t="shared" si="5"/>
        <v>600</v>
      </c>
      <c r="F31" s="1">
        <f t="shared" si="5"/>
        <v>56</v>
      </c>
      <c r="G31" s="309">
        <f t="shared" si="2"/>
        <v>9.3333333333333338E-2</v>
      </c>
    </row>
    <row r="32" spans="1:10" ht="15.75" thickBot="1" x14ac:dyDescent="0.3">
      <c r="A32" s="27">
        <v>240</v>
      </c>
      <c r="B32" s="28" t="s">
        <v>30</v>
      </c>
      <c r="C32" s="23">
        <v>600</v>
      </c>
      <c r="D32" s="23">
        <v>600</v>
      </c>
      <c r="E32" s="23">
        <v>600</v>
      </c>
      <c r="F32" s="23">
        <v>56</v>
      </c>
      <c r="G32" s="309">
        <f t="shared" si="2"/>
        <v>9.3333333333333338E-2</v>
      </c>
    </row>
    <row r="33" spans="1:7" ht="15.75" thickBot="1" x14ac:dyDescent="0.3">
      <c r="A33" s="304" t="s">
        <v>31</v>
      </c>
      <c r="B33" s="305"/>
      <c r="C33" s="1">
        <f>SUM(C34:C40)</f>
        <v>39730</v>
      </c>
      <c r="D33" s="1">
        <f>SUM(D34:D40)</f>
        <v>41710</v>
      </c>
      <c r="E33" s="1">
        <f>SUM(E34:E40)</f>
        <v>41710</v>
      </c>
      <c r="F33" s="1">
        <f>SUM(F34:F40)</f>
        <v>5486</v>
      </c>
      <c r="G33" s="309">
        <f t="shared" si="2"/>
        <v>0.13152721169983217</v>
      </c>
    </row>
    <row r="34" spans="1:7" x14ac:dyDescent="0.25">
      <c r="A34" s="29">
        <v>292</v>
      </c>
      <c r="B34" s="30" t="s">
        <v>32</v>
      </c>
      <c r="C34" s="31">
        <v>200</v>
      </c>
      <c r="D34" s="31">
        <v>200</v>
      </c>
      <c r="E34" s="31">
        <v>200</v>
      </c>
      <c r="F34" s="31">
        <v>0</v>
      </c>
      <c r="G34" s="309">
        <f t="shared" si="2"/>
        <v>0</v>
      </c>
    </row>
    <row r="35" spans="1:7" x14ac:dyDescent="0.25">
      <c r="A35" s="29">
        <v>292</v>
      </c>
      <c r="B35" s="30" t="s">
        <v>33</v>
      </c>
      <c r="C35" s="31">
        <v>300</v>
      </c>
      <c r="D35" s="31">
        <v>300</v>
      </c>
      <c r="E35" s="31">
        <v>300</v>
      </c>
      <c r="F35" s="31">
        <v>91</v>
      </c>
      <c r="G35" s="309">
        <f t="shared" si="2"/>
        <v>0.30333333333333334</v>
      </c>
    </row>
    <row r="36" spans="1:7" x14ac:dyDescent="0.25">
      <c r="A36" s="32">
        <v>292</v>
      </c>
      <c r="B36" s="33" t="s">
        <v>276</v>
      </c>
      <c r="C36" s="34">
        <v>0</v>
      </c>
      <c r="D36" s="293">
        <v>2000</v>
      </c>
      <c r="E36" s="34">
        <v>2000</v>
      </c>
      <c r="F36" s="34">
        <v>1998</v>
      </c>
      <c r="G36" s="309">
        <f t="shared" si="2"/>
        <v>0.999</v>
      </c>
    </row>
    <row r="37" spans="1:7" x14ac:dyDescent="0.25">
      <c r="A37" s="32">
        <v>292</v>
      </c>
      <c r="B37" s="33" t="s">
        <v>277</v>
      </c>
      <c r="C37" s="34">
        <v>15000</v>
      </c>
      <c r="D37" s="34">
        <v>15000</v>
      </c>
      <c r="E37" s="34">
        <v>15000</v>
      </c>
      <c r="F37" s="34">
        <v>17</v>
      </c>
      <c r="G37" s="309">
        <f t="shared" si="2"/>
        <v>1.1333333333333334E-3</v>
      </c>
    </row>
    <row r="38" spans="1:7" x14ac:dyDescent="0.25">
      <c r="A38" s="32">
        <v>292</v>
      </c>
      <c r="B38" s="10" t="s">
        <v>35</v>
      </c>
      <c r="C38" s="35">
        <v>230</v>
      </c>
      <c r="D38" s="294">
        <f>230-20</f>
        <v>210</v>
      </c>
      <c r="E38" s="35">
        <f>230-20</f>
        <v>210</v>
      </c>
      <c r="F38" s="35">
        <v>0</v>
      </c>
      <c r="G38" s="309">
        <f t="shared" si="2"/>
        <v>0</v>
      </c>
    </row>
    <row r="39" spans="1:7" x14ac:dyDescent="0.25">
      <c r="A39" s="32">
        <v>292</v>
      </c>
      <c r="B39" s="33" t="s">
        <v>36</v>
      </c>
      <c r="C39" s="34">
        <v>21000</v>
      </c>
      <c r="D39" s="34">
        <v>21000</v>
      </c>
      <c r="E39" s="34">
        <v>21000</v>
      </c>
      <c r="F39" s="34">
        <v>3352</v>
      </c>
      <c r="G39" s="309">
        <f t="shared" si="2"/>
        <v>0.15961904761904763</v>
      </c>
    </row>
    <row r="40" spans="1:7" ht="15.75" thickBot="1" x14ac:dyDescent="0.3">
      <c r="A40" s="32">
        <v>292</v>
      </c>
      <c r="B40" s="33" t="s">
        <v>37</v>
      </c>
      <c r="C40" s="34">
        <v>3000</v>
      </c>
      <c r="D40" s="34">
        <v>3000</v>
      </c>
      <c r="E40" s="34">
        <v>3000</v>
      </c>
      <c r="F40" s="34">
        <v>28</v>
      </c>
      <c r="G40" s="309">
        <f t="shared" si="2"/>
        <v>9.3333333333333341E-3</v>
      </c>
    </row>
    <row r="41" spans="1:7" ht="15.75" thickBot="1" x14ac:dyDescent="0.3">
      <c r="A41" s="36" t="s">
        <v>38</v>
      </c>
      <c r="B41" s="37"/>
      <c r="C41" s="1">
        <f>SUM(C42:C56)</f>
        <v>548960</v>
      </c>
      <c r="D41" s="1">
        <f>SUM(D42:D56)</f>
        <v>571181</v>
      </c>
      <c r="E41" s="1">
        <f>SUM(E42:E56)</f>
        <v>576181</v>
      </c>
      <c r="F41" s="1">
        <f>SUM(F42:F56)</f>
        <v>155886</v>
      </c>
      <c r="G41" s="309">
        <f t="shared" si="2"/>
        <v>0.27055039996112334</v>
      </c>
    </row>
    <row r="42" spans="1:7" x14ac:dyDescent="0.25">
      <c r="A42" s="38">
        <v>312</v>
      </c>
      <c r="B42" s="39" t="s">
        <v>39</v>
      </c>
      <c r="C42" s="40">
        <v>3500</v>
      </c>
      <c r="D42" s="40">
        <v>3500</v>
      </c>
      <c r="E42" s="40">
        <v>3500</v>
      </c>
      <c r="F42" s="40">
        <v>0</v>
      </c>
      <c r="G42" s="309">
        <f t="shared" si="2"/>
        <v>0</v>
      </c>
    </row>
    <row r="43" spans="1:7" x14ac:dyDescent="0.25">
      <c r="A43" s="41">
        <v>312</v>
      </c>
      <c r="B43" s="10" t="s">
        <v>40</v>
      </c>
      <c r="C43" s="18">
        <v>7200</v>
      </c>
      <c r="D43" s="18">
        <v>7200</v>
      </c>
      <c r="E43" s="18">
        <v>7200</v>
      </c>
      <c r="F43" s="18">
        <v>3057</v>
      </c>
      <c r="G43" s="309">
        <f t="shared" si="2"/>
        <v>0.42458333333333331</v>
      </c>
    </row>
    <row r="44" spans="1:7" x14ac:dyDescent="0.25">
      <c r="A44" s="41">
        <v>312</v>
      </c>
      <c r="B44" s="10" t="s">
        <v>41</v>
      </c>
      <c r="C44" s="18">
        <v>3000</v>
      </c>
      <c r="D44" s="18">
        <v>3000</v>
      </c>
      <c r="E44" s="18">
        <v>3000</v>
      </c>
      <c r="F44" s="18">
        <v>0</v>
      </c>
      <c r="G44" s="309">
        <f t="shared" si="2"/>
        <v>0</v>
      </c>
    </row>
    <row r="45" spans="1:7" x14ac:dyDescent="0.25">
      <c r="A45" s="41">
        <v>312</v>
      </c>
      <c r="B45" s="42" t="s">
        <v>200</v>
      </c>
      <c r="C45" s="43">
        <v>61000</v>
      </c>
      <c r="D45" s="43">
        <v>61000</v>
      </c>
      <c r="E45" s="43">
        <v>61000</v>
      </c>
      <c r="F45" s="43">
        <v>755</v>
      </c>
      <c r="G45" s="309">
        <f t="shared" si="2"/>
        <v>1.2377049180327868E-2</v>
      </c>
    </row>
    <row r="46" spans="1:7" x14ac:dyDescent="0.25">
      <c r="A46" s="41">
        <v>312</v>
      </c>
      <c r="B46" s="42" t="s">
        <v>42</v>
      </c>
      <c r="C46" s="18">
        <v>12800</v>
      </c>
      <c r="D46" s="18">
        <v>12800</v>
      </c>
      <c r="E46" s="18">
        <v>12800</v>
      </c>
      <c r="F46" s="18">
        <v>2792</v>
      </c>
      <c r="G46" s="309">
        <f t="shared" si="2"/>
        <v>0.21812500000000001</v>
      </c>
    </row>
    <row r="47" spans="1:7" x14ac:dyDescent="0.25">
      <c r="A47" s="41">
        <v>312</v>
      </c>
      <c r="B47" s="42" t="s">
        <v>43</v>
      </c>
      <c r="C47" s="18">
        <v>21800</v>
      </c>
      <c r="D47" s="18">
        <v>21800</v>
      </c>
      <c r="E47" s="18">
        <v>21800</v>
      </c>
      <c r="F47" s="18">
        <v>5450</v>
      </c>
      <c r="G47" s="309">
        <f t="shared" si="2"/>
        <v>0.25</v>
      </c>
    </row>
    <row r="48" spans="1:7" x14ac:dyDescent="0.25">
      <c r="A48" s="41">
        <v>312</v>
      </c>
      <c r="B48" s="42" t="s">
        <v>44</v>
      </c>
      <c r="C48" s="18">
        <v>7700</v>
      </c>
      <c r="D48" s="18">
        <v>7700</v>
      </c>
      <c r="E48" s="18">
        <v>7700</v>
      </c>
      <c r="F48" s="18">
        <v>1911</v>
      </c>
      <c r="G48" s="309">
        <f t="shared" si="2"/>
        <v>0.24818181818181817</v>
      </c>
    </row>
    <row r="49" spans="1:10" x14ac:dyDescent="0.25">
      <c r="A49" s="41">
        <v>312</v>
      </c>
      <c r="B49" s="42" t="s">
        <v>47</v>
      </c>
      <c r="C49" s="18">
        <v>700</v>
      </c>
      <c r="D49" s="18">
        <v>700</v>
      </c>
      <c r="E49" s="18">
        <v>700</v>
      </c>
      <c r="F49" s="18">
        <v>0</v>
      </c>
      <c r="G49" s="309">
        <f t="shared" si="2"/>
        <v>0</v>
      </c>
    </row>
    <row r="50" spans="1:10" x14ac:dyDescent="0.25">
      <c r="A50" s="44">
        <v>312</v>
      </c>
      <c r="B50" s="39" t="s">
        <v>292</v>
      </c>
      <c r="C50" s="45">
        <v>0</v>
      </c>
      <c r="D50" s="45">
        <v>0</v>
      </c>
      <c r="E50" s="314">
        <v>5000</v>
      </c>
      <c r="F50" s="45">
        <v>0</v>
      </c>
      <c r="G50" s="309">
        <v>0</v>
      </c>
    </row>
    <row r="51" spans="1:10" x14ac:dyDescent="0.25">
      <c r="A51" s="41">
        <v>312</v>
      </c>
      <c r="B51" s="42" t="s">
        <v>46</v>
      </c>
      <c r="C51" s="18">
        <v>15500</v>
      </c>
      <c r="D51" s="18">
        <v>15500</v>
      </c>
      <c r="E51" s="18">
        <v>15500</v>
      </c>
      <c r="F51" s="18">
        <v>15485</v>
      </c>
      <c r="G51" s="309">
        <f t="shared" si="2"/>
        <v>0.99903225806451612</v>
      </c>
    </row>
    <row r="52" spans="1:10" x14ac:dyDescent="0.25">
      <c r="A52" s="41">
        <v>312</v>
      </c>
      <c r="B52" s="42" t="s">
        <v>291</v>
      </c>
      <c r="C52" s="18">
        <v>0</v>
      </c>
      <c r="D52" s="18">
        <v>0</v>
      </c>
      <c r="E52" s="18">
        <v>0</v>
      </c>
      <c r="F52" s="18">
        <v>0</v>
      </c>
      <c r="G52" s="309">
        <v>0</v>
      </c>
    </row>
    <row r="53" spans="1:10" x14ac:dyDescent="0.25">
      <c r="A53" s="46">
        <v>312</v>
      </c>
      <c r="B53" s="10" t="s">
        <v>49</v>
      </c>
      <c r="C53" s="19">
        <f t="shared" ref="C53" si="6">3900+220</f>
        <v>4120</v>
      </c>
      <c r="D53" s="295">
        <f>3900+220-220</f>
        <v>3900</v>
      </c>
      <c r="E53" s="19">
        <f>3900+220-220</f>
        <v>3900</v>
      </c>
      <c r="F53" s="19">
        <v>3856</v>
      </c>
      <c r="G53" s="309">
        <f t="shared" si="2"/>
        <v>0.98871794871794871</v>
      </c>
    </row>
    <row r="54" spans="1:10" x14ac:dyDescent="0.25">
      <c r="A54" s="46">
        <v>312</v>
      </c>
      <c r="B54" s="47" t="s">
        <v>50</v>
      </c>
      <c r="C54" s="20">
        <v>3000</v>
      </c>
      <c r="D54" s="20">
        <v>3000</v>
      </c>
      <c r="E54" s="20">
        <v>3000</v>
      </c>
      <c r="F54" s="20">
        <v>0</v>
      </c>
      <c r="G54" s="309">
        <f t="shared" si="2"/>
        <v>0</v>
      </c>
    </row>
    <row r="55" spans="1:10" ht="15" customHeight="1" x14ac:dyDescent="0.25">
      <c r="A55" s="46">
        <v>312</v>
      </c>
      <c r="B55" s="48" t="s">
        <v>51</v>
      </c>
      <c r="C55" s="20">
        <v>2200</v>
      </c>
      <c r="D55" s="292">
        <f>2200+404</f>
        <v>2604</v>
      </c>
      <c r="E55" s="20">
        <f>2200+404</f>
        <v>2604</v>
      </c>
      <c r="F55" s="20">
        <v>1736</v>
      </c>
      <c r="G55" s="309">
        <f t="shared" si="2"/>
        <v>0.66666666666666663</v>
      </c>
    </row>
    <row r="56" spans="1:10" ht="15.75" thickBot="1" x14ac:dyDescent="0.3">
      <c r="A56" s="49">
        <v>312</v>
      </c>
      <c r="B56" s="50" t="s">
        <v>52</v>
      </c>
      <c r="C56" s="51">
        <v>406440</v>
      </c>
      <c r="D56" s="51">
        <f>406440+22037</f>
        <v>428477</v>
      </c>
      <c r="E56" s="51">
        <f>406440+22037</f>
        <v>428477</v>
      </c>
      <c r="F56" s="51">
        <v>120844</v>
      </c>
      <c r="G56" s="309">
        <f t="shared" si="2"/>
        <v>0.28203147426816377</v>
      </c>
    </row>
    <row r="57" spans="1:10" ht="19.5" customHeight="1" thickBot="1" x14ac:dyDescent="0.3">
      <c r="A57" s="52" t="s">
        <v>53</v>
      </c>
      <c r="B57" s="53"/>
      <c r="C57" s="54">
        <f>SUM(C4+C12+C31+C33+C41)</f>
        <v>1758540</v>
      </c>
      <c r="D57" s="54">
        <f>SUM(D4+D12+D31+D33+D41)</f>
        <v>1782773</v>
      </c>
      <c r="E57" s="54">
        <f>SUM(E4+E12+E31+E33+E41)</f>
        <v>1787773</v>
      </c>
      <c r="F57" s="54">
        <f>SUM(F4+F12+F31+F33+F41)</f>
        <v>492719</v>
      </c>
      <c r="G57" s="309">
        <f t="shared" si="2"/>
        <v>0.27560490062217069</v>
      </c>
      <c r="H57" s="171">
        <f>E57-D57</f>
        <v>5000</v>
      </c>
      <c r="I57" s="171"/>
    </row>
    <row r="58" spans="1:10" ht="16.5" thickBot="1" x14ac:dyDescent="0.3">
      <c r="A58" s="55" t="s">
        <v>54</v>
      </c>
      <c r="B58" s="56" t="s">
        <v>55</v>
      </c>
      <c r="C58" s="57">
        <v>3000</v>
      </c>
      <c r="D58" s="57">
        <f>3000+350</f>
        <v>3350</v>
      </c>
      <c r="E58" s="57">
        <f>3000+350</f>
        <v>3350</v>
      </c>
      <c r="F58" s="57">
        <v>345</v>
      </c>
      <c r="G58" s="309">
        <f t="shared" si="2"/>
        <v>0.10298507462686567</v>
      </c>
    </row>
    <row r="59" spans="1:10" ht="16.5" thickBot="1" x14ac:dyDescent="0.3">
      <c r="A59" s="52" t="s">
        <v>56</v>
      </c>
      <c r="B59" s="37"/>
      <c r="C59" s="54">
        <f t="shared" ref="C59:F59" si="7">SUM(C57:C58)</f>
        <v>1761540</v>
      </c>
      <c r="D59" s="54">
        <f t="shared" ref="D59:E59" si="8">SUM(D57:D58)</f>
        <v>1786123</v>
      </c>
      <c r="E59" s="54">
        <f t="shared" si="8"/>
        <v>1791123</v>
      </c>
      <c r="F59" s="54">
        <f t="shared" si="7"/>
        <v>493064</v>
      </c>
      <c r="G59" s="309">
        <f t="shared" si="2"/>
        <v>0.27528204372340703</v>
      </c>
      <c r="J59" s="60"/>
    </row>
    <row r="60" spans="1:10" ht="22.5" customHeight="1" x14ac:dyDescent="0.25">
      <c r="A60" s="58"/>
      <c r="B60" s="59"/>
      <c r="C60" s="60"/>
      <c r="D60" s="60"/>
      <c r="E60" s="60"/>
      <c r="F60" s="60"/>
      <c r="G60" s="60"/>
      <c r="H60" s="60"/>
      <c r="I60" s="60"/>
      <c r="J60" s="59"/>
    </row>
    <row r="61" spans="1:10" ht="15" customHeight="1" thickBot="1" x14ac:dyDescent="0.3">
      <c r="A61" s="58"/>
      <c r="B61" s="59"/>
      <c r="C61" s="59"/>
      <c r="D61" s="59"/>
      <c r="E61" s="59"/>
      <c r="F61" s="59"/>
      <c r="G61" s="59"/>
      <c r="H61" s="59"/>
      <c r="I61" s="59"/>
    </row>
    <row r="62" spans="1:10" ht="18.75" thickBot="1" x14ac:dyDescent="0.3">
      <c r="A62" s="1021" t="s">
        <v>57</v>
      </c>
      <c r="B62" s="1022"/>
      <c r="C62" s="1022"/>
      <c r="D62" s="1022"/>
      <c r="E62" s="1022"/>
      <c r="F62" s="1023"/>
    </row>
    <row r="63" spans="1:10" ht="15" customHeight="1" x14ac:dyDescent="0.25">
      <c r="A63" s="992" t="s">
        <v>1</v>
      </c>
      <c r="B63" s="993"/>
      <c r="C63" s="996">
        <v>2017</v>
      </c>
      <c r="D63" s="996" t="s">
        <v>235</v>
      </c>
      <c r="E63" s="996" t="s">
        <v>279</v>
      </c>
      <c r="F63" s="996" t="s">
        <v>304</v>
      </c>
      <c r="G63" s="308" t="s">
        <v>280</v>
      </c>
    </row>
    <row r="64" spans="1:10" ht="15.75" thickBot="1" x14ac:dyDescent="0.3">
      <c r="A64" s="994"/>
      <c r="B64" s="995"/>
      <c r="C64" s="997"/>
      <c r="D64" s="997"/>
      <c r="E64" s="997"/>
      <c r="F64" s="997"/>
      <c r="G64" s="308" t="s">
        <v>281</v>
      </c>
    </row>
    <row r="65" spans="1:7" ht="15.75" thickBot="1" x14ac:dyDescent="0.3">
      <c r="A65" s="61" t="s">
        <v>58</v>
      </c>
      <c r="B65" s="62"/>
      <c r="C65" s="63">
        <f t="shared" ref="C65:F65" si="9">SUM(C66:C70)</f>
        <v>188500</v>
      </c>
      <c r="D65" s="63">
        <f t="shared" si="9"/>
        <v>188480</v>
      </c>
      <c r="E65" s="63">
        <f t="shared" ref="E65" si="10">SUM(E66:E70)</f>
        <v>188480</v>
      </c>
      <c r="F65" s="63">
        <f t="shared" si="9"/>
        <v>33930</v>
      </c>
      <c r="G65" s="310">
        <f>F65/E65</f>
        <v>0.18001910016977929</v>
      </c>
    </row>
    <row r="66" spans="1:7" x14ac:dyDescent="0.25">
      <c r="A66" s="64" t="s">
        <v>59</v>
      </c>
      <c r="B66" s="65" t="s">
        <v>60</v>
      </c>
      <c r="C66" s="66">
        <f>80000+16500</f>
        <v>96500</v>
      </c>
      <c r="D66" s="298">
        <f>80000+16500+200</f>
        <v>96700</v>
      </c>
      <c r="E66" s="66">
        <f>80000+16500+200</f>
        <v>96700</v>
      </c>
      <c r="F66" s="66">
        <v>16041</v>
      </c>
      <c r="G66" s="310">
        <f t="shared" ref="G66:G118" si="11">F66/E66</f>
        <v>0.16588417786970011</v>
      </c>
    </row>
    <row r="67" spans="1:7" x14ac:dyDescent="0.25">
      <c r="A67" s="67" t="s">
        <v>61</v>
      </c>
      <c r="B67" s="42" t="s">
        <v>209</v>
      </c>
      <c r="C67" s="68">
        <f>7100+10600+32300</f>
        <v>50000</v>
      </c>
      <c r="D67" s="68">
        <f t="shared" ref="D67:E67" si="12">7100+10600+32300</f>
        <v>50000</v>
      </c>
      <c r="E67" s="68">
        <f t="shared" si="12"/>
        <v>50000</v>
      </c>
      <c r="F67" s="68">
        <v>7636</v>
      </c>
      <c r="G67" s="310">
        <f t="shared" si="11"/>
        <v>0.15271999999999999</v>
      </c>
    </row>
    <row r="68" spans="1:7" x14ac:dyDescent="0.25">
      <c r="A68" s="67" t="s">
        <v>62</v>
      </c>
      <c r="B68" s="42" t="s">
        <v>208</v>
      </c>
      <c r="C68" s="68">
        <v>2000</v>
      </c>
      <c r="D68" s="68">
        <v>2000</v>
      </c>
      <c r="E68" s="68">
        <v>2000</v>
      </c>
      <c r="F68" s="68">
        <v>27</v>
      </c>
      <c r="G68" s="310">
        <f t="shared" si="11"/>
        <v>1.35E-2</v>
      </c>
    </row>
    <row r="69" spans="1:7" x14ac:dyDescent="0.25">
      <c r="A69" s="69" t="s">
        <v>63</v>
      </c>
      <c r="B69" s="42" t="s">
        <v>64</v>
      </c>
      <c r="C69" s="34">
        <f>3000+900+220+32380</f>
        <v>36500</v>
      </c>
      <c r="D69" s="293">
        <f>3000+900+220+32380-220</f>
        <v>36280</v>
      </c>
      <c r="E69" s="34">
        <f>3000+900+220+32380-220</f>
        <v>36280</v>
      </c>
      <c r="F69" s="34">
        <v>10226</v>
      </c>
      <c r="G69" s="310">
        <f t="shared" si="11"/>
        <v>0.28186328555678059</v>
      </c>
    </row>
    <row r="70" spans="1:7" ht="15.75" thickBot="1" x14ac:dyDescent="0.3">
      <c r="A70" s="70" t="s">
        <v>65</v>
      </c>
      <c r="B70" s="3" t="s">
        <v>66</v>
      </c>
      <c r="C70" s="71">
        <v>3500</v>
      </c>
      <c r="D70" s="71">
        <v>3500</v>
      </c>
      <c r="E70" s="71">
        <v>3500</v>
      </c>
      <c r="F70" s="71">
        <v>0</v>
      </c>
      <c r="G70" s="310">
        <f t="shared" si="11"/>
        <v>0</v>
      </c>
    </row>
    <row r="71" spans="1:7" ht="15.75" thickBot="1" x14ac:dyDescent="0.3">
      <c r="A71" s="72" t="s">
        <v>67</v>
      </c>
      <c r="B71" s="73"/>
      <c r="C71" s="63">
        <f t="shared" ref="C71:F71" si="13">SUM(C72)</f>
        <v>1500</v>
      </c>
      <c r="D71" s="63">
        <f t="shared" si="13"/>
        <v>1480</v>
      </c>
      <c r="E71" s="63">
        <f t="shared" si="13"/>
        <v>1480</v>
      </c>
      <c r="F71" s="63">
        <f t="shared" si="13"/>
        <v>0</v>
      </c>
      <c r="G71" s="310">
        <f t="shared" si="11"/>
        <v>0</v>
      </c>
    </row>
    <row r="72" spans="1:7" ht="15.75" thickBot="1" x14ac:dyDescent="0.3">
      <c r="A72" s="74" t="s">
        <v>68</v>
      </c>
      <c r="B72" s="59" t="s">
        <v>69</v>
      </c>
      <c r="C72" s="75">
        <v>1500</v>
      </c>
      <c r="D72" s="299">
        <f>1500-20</f>
        <v>1480</v>
      </c>
      <c r="E72" s="75">
        <f>1500-20</f>
        <v>1480</v>
      </c>
      <c r="F72" s="75">
        <v>0</v>
      </c>
      <c r="G72" s="310">
        <f t="shared" si="11"/>
        <v>0</v>
      </c>
    </row>
    <row r="73" spans="1:7" ht="15.75" thickBot="1" x14ac:dyDescent="0.3">
      <c r="A73" s="72" t="s">
        <v>70</v>
      </c>
      <c r="B73" s="73"/>
      <c r="C73" s="63">
        <f t="shared" ref="C73" si="14">SUM(C74:C75)</f>
        <v>10900</v>
      </c>
      <c r="D73" s="63">
        <f t="shared" ref="D73:F73" si="15">SUM(D74:D75)</f>
        <v>10900</v>
      </c>
      <c r="E73" s="63">
        <f t="shared" ref="E73" si="16">SUM(E74:E75)</f>
        <v>10900</v>
      </c>
      <c r="F73" s="63">
        <f t="shared" si="15"/>
        <v>1816</v>
      </c>
      <c r="G73" s="310">
        <f t="shared" si="11"/>
        <v>0.16660550458715595</v>
      </c>
    </row>
    <row r="74" spans="1:7" x14ac:dyDescent="0.25">
      <c r="A74" s="76" t="s">
        <v>71</v>
      </c>
      <c r="B74" s="77" t="s">
        <v>72</v>
      </c>
      <c r="C74" s="78">
        <v>10600</v>
      </c>
      <c r="D74" s="78">
        <v>10600</v>
      </c>
      <c r="E74" s="78">
        <v>10600</v>
      </c>
      <c r="F74" s="78">
        <v>1816</v>
      </c>
      <c r="G74" s="310">
        <f t="shared" si="11"/>
        <v>0.17132075471698113</v>
      </c>
    </row>
    <row r="75" spans="1:7" ht="15.75" thickBot="1" x14ac:dyDescent="0.3">
      <c r="A75" s="79" t="s">
        <v>73</v>
      </c>
      <c r="B75" s="80" t="s">
        <v>74</v>
      </c>
      <c r="C75" s="81">
        <v>300</v>
      </c>
      <c r="D75" s="81">
        <v>300</v>
      </c>
      <c r="E75" s="81">
        <v>300</v>
      </c>
      <c r="F75" s="81">
        <v>0</v>
      </c>
      <c r="G75" s="310">
        <f t="shared" si="11"/>
        <v>0</v>
      </c>
    </row>
    <row r="76" spans="1:7" ht="15.75" thickBot="1" x14ac:dyDescent="0.3">
      <c r="A76" s="61" t="s">
        <v>75</v>
      </c>
      <c r="B76" s="82"/>
      <c r="C76" s="63">
        <f t="shared" ref="C76:F76" si="17">SUM(C77:C80)</f>
        <v>57000</v>
      </c>
      <c r="D76" s="63">
        <f t="shared" si="17"/>
        <v>57000</v>
      </c>
      <c r="E76" s="63">
        <f t="shared" ref="E76" si="18">SUM(E77:E80)</f>
        <v>57000</v>
      </c>
      <c r="F76" s="63">
        <f t="shared" si="17"/>
        <v>10059</v>
      </c>
      <c r="G76" s="310">
        <f t="shared" si="11"/>
        <v>0.17647368421052631</v>
      </c>
    </row>
    <row r="77" spans="1:7" x14ac:dyDescent="0.25">
      <c r="A77" s="83" t="s">
        <v>76</v>
      </c>
      <c r="B77" s="30" t="s">
        <v>77</v>
      </c>
      <c r="C77" s="31">
        <f>15900+1500+6000</f>
        <v>23400</v>
      </c>
      <c r="D77" s="31">
        <f t="shared" ref="D77:E77" si="19">15900+1500+6000</f>
        <v>23400</v>
      </c>
      <c r="E77" s="31">
        <f t="shared" si="19"/>
        <v>23400</v>
      </c>
      <c r="F77" s="31">
        <v>2275</v>
      </c>
      <c r="G77" s="310">
        <f t="shared" si="11"/>
        <v>9.7222222222222224E-2</v>
      </c>
    </row>
    <row r="78" spans="1:7" x14ac:dyDescent="0.25">
      <c r="A78" s="69" t="s">
        <v>78</v>
      </c>
      <c r="B78" s="42" t="s">
        <v>79</v>
      </c>
      <c r="C78" s="68">
        <v>18500</v>
      </c>
      <c r="D78" s="68">
        <v>18500</v>
      </c>
      <c r="E78" s="68">
        <v>18500</v>
      </c>
      <c r="F78" s="68">
        <v>4300</v>
      </c>
      <c r="G78" s="310">
        <f t="shared" si="11"/>
        <v>0.23243243243243245</v>
      </c>
    </row>
    <row r="79" spans="1:7" x14ac:dyDescent="0.25">
      <c r="A79" s="69" t="s">
        <v>80</v>
      </c>
      <c r="B79" s="42" t="s">
        <v>81</v>
      </c>
      <c r="C79" s="34">
        <v>15000</v>
      </c>
      <c r="D79" s="34">
        <v>15000</v>
      </c>
      <c r="E79" s="34">
        <v>15000</v>
      </c>
      <c r="F79" s="34">
        <v>3484</v>
      </c>
      <c r="G79" s="310">
        <f t="shared" si="11"/>
        <v>0.23226666666666668</v>
      </c>
    </row>
    <row r="80" spans="1:7" ht="15.75" thickBot="1" x14ac:dyDescent="0.3">
      <c r="A80" s="69" t="s">
        <v>82</v>
      </c>
      <c r="B80" s="42" t="s">
        <v>83</v>
      </c>
      <c r="C80" s="34">
        <v>100</v>
      </c>
      <c r="D80" s="34">
        <v>100</v>
      </c>
      <c r="E80" s="34">
        <v>100</v>
      </c>
      <c r="F80" s="34">
        <v>0</v>
      </c>
      <c r="G80" s="310">
        <f t="shared" si="11"/>
        <v>0</v>
      </c>
    </row>
    <row r="81" spans="1:7" ht="15.75" thickBot="1" x14ac:dyDescent="0.3">
      <c r="A81" s="1006" t="s">
        <v>84</v>
      </c>
      <c r="B81" s="1007"/>
      <c r="C81" s="63">
        <f t="shared" ref="C81:F81" si="20">SUM(C82:C85)</f>
        <v>88750</v>
      </c>
      <c r="D81" s="63">
        <f t="shared" si="20"/>
        <v>88750</v>
      </c>
      <c r="E81" s="63">
        <f t="shared" ref="E81" si="21">SUM(E82:E85)</f>
        <v>88750</v>
      </c>
      <c r="F81" s="63">
        <f t="shared" si="20"/>
        <v>18072</v>
      </c>
      <c r="G81" s="310">
        <f t="shared" si="11"/>
        <v>0.20362816901408451</v>
      </c>
    </row>
    <row r="82" spans="1:7" x14ac:dyDescent="0.25">
      <c r="A82" s="84" t="s">
        <v>85</v>
      </c>
      <c r="B82" s="85" t="s">
        <v>86</v>
      </c>
      <c r="C82" s="86">
        <f>25000+20000</f>
        <v>45000</v>
      </c>
      <c r="D82" s="86">
        <f t="shared" ref="D82:E82" si="22">25000+20000</f>
        <v>45000</v>
      </c>
      <c r="E82" s="86">
        <f t="shared" si="22"/>
        <v>45000</v>
      </c>
      <c r="F82" s="86">
        <v>11437</v>
      </c>
      <c r="G82" s="310">
        <f t="shared" si="11"/>
        <v>0.25415555555555558</v>
      </c>
    </row>
    <row r="83" spans="1:7" x14ac:dyDescent="0.25">
      <c r="A83" s="69" t="s">
        <v>87</v>
      </c>
      <c r="B83" s="42" t="s">
        <v>88</v>
      </c>
      <c r="C83" s="68">
        <v>36000</v>
      </c>
      <c r="D83" s="68">
        <v>36000</v>
      </c>
      <c r="E83" s="68">
        <v>36000</v>
      </c>
      <c r="F83" s="68">
        <v>6338</v>
      </c>
      <c r="G83" s="310">
        <f t="shared" si="11"/>
        <v>0.17605555555555555</v>
      </c>
    </row>
    <row r="84" spans="1:7" x14ac:dyDescent="0.25">
      <c r="A84" s="74" t="s">
        <v>89</v>
      </c>
      <c r="B84" s="87" t="s">
        <v>90</v>
      </c>
      <c r="C84" s="88">
        <v>950</v>
      </c>
      <c r="D84" s="88">
        <v>950</v>
      </c>
      <c r="E84" s="88">
        <v>950</v>
      </c>
      <c r="F84" s="88">
        <v>0</v>
      </c>
      <c r="G84" s="310">
        <f t="shared" si="11"/>
        <v>0</v>
      </c>
    </row>
    <row r="85" spans="1:7" ht="15.75" thickBot="1" x14ac:dyDescent="0.3">
      <c r="A85" s="89" t="s">
        <v>91</v>
      </c>
      <c r="B85" s="90" t="s">
        <v>204</v>
      </c>
      <c r="C85" s="91">
        <f>5700+1000+100</f>
        <v>6800</v>
      </c>
      <c r="D85" s="91">
        <f t="shared" ref="D85:E85" si="23">5700+1000+100</f>
        <v>6800</v>
      </c>
      <c r="E85" s="91">
        <f t="shared" si="23"/>
        <v>6800</v>
      </c>
      <c r="F85" s="91">
        <v>297</v>
      </c>
      <c r="G85" s="310">
        <f t="shared" si="11"/>
        <v>4.3676470588235296E-2</v>
      </c>
    </row>
    <row r="86" spans="1:7" ht="15.75" thickBot="1" x14ac:dyDescent="0.3">
      <c r="A86" s="61" t="s">
        <v>92</v>
      </c>
      <c r="B86" s="82"/>
      <c r="C86" s="63">
        <f t="shared" ref="C86:F86" si="24">SUM(C87:C89)</f>
        <v>144000</v>
      </c>
      <c r="D86" s="63">
        <f t="shared" si="24"/>
        <v>145232</v>
      </c>
      <c r="E86" s="63">
        <f t="shared" ref="E86" si="25">SUM(E87:E89)</f>
        <v>145232</v>
      </c>
      <c r="F86" s="63">
        <f t="shared" si="24"/>
        <v>32068</v>
      </c>
      <c r="G86" s="310">
        <f t="shared" si="11"/>
        <v>0.22080533215820206</v>
      </c>
    </row>
    <row r="87" spans="1:7" x14ac:dyDescent="0.25">
      <c r="A87" s="83" t="s">
        <v>93</v>
      </c>
      <c r="B87" s="65" t="s">
        <v>94</v>
      </c>
      <c r="C87" s="92">
        <v>108000</v>
      </c>
      <c r="D87" s="300">
        <f>108000+1232</f>
        <v>109232</v>
      </c>
      <c r="E87" s="92">
        <f>108000+1232</f>
        <v>109232</v>
      </c>
      <c r="F87" s="92">
        <v>23094</v>
      </c>
      <c r="G87" s="310">
        <f t="shared" si="11"/>
        <v>0.21142156144719496</v>
      </c>
    </row>
    <row r="88" spans="1:7" x14ac:dyDescent="0.25">
      <c r="A88" s="93" t="s">
        <v>95</v>
      </c>
      <c r="B88" s="42" t="s">
        <v>96</v>
      </c>
      <c r="C88" s="94">
        <v>19000</v>
      </c>
      <c r="D88" s="94">
        <v>19000</v>
      </c>
      <c r="E88" s="94">
        <v>19000</v>
      </c>
      <c r="F88" s="94">
        <v>4759</v>
      </c>
      <c r="G88" s="310">
        <f t="shared" si="11"/>
        <v>0.25047368421052629</v>
      </c>
    </row>
    <row r="89" spans="1:7" ht="15.75" thickBot="1" x14ac:dyDescent="0.3">
      <c r="A89" s="95" t="s">
        <v>97</v>
      </c>
      <c r="B89" s="90" t="s">
        <v>98</v>
      </c>
      <c r="C89" s="209">
        <f>2000+14000+400+600</f>
        <v>17000</v>
      </c>
      <c r="D89" s="209">
        <f t="shared" ref="D89:E89" si="26">2000+14000+400+600</f>
        <v>17000</v>
      </c>
      <c r="E89" s="209">
        <f t="shared" si="26"/>
        <v>17000</v>
      </c>
      <c r="F89" s="209">
        <v>4215</v>
      </c>
      <c r="G89" s="310">
        <f t="shared" si="11"/>
        <v>0.24794117647058825</v>
      </c>
    </row>
    <row r="90" spans="1:7" ht="15.75" thickBot="1" x14ac:dyDescent="0.3">
      <c r="A90" s="97" t="s">
        <v>99</v>
      </c>
      <c r="B90" s="98"/>
      <c r="C90" s="99">
        <f t="shared" ref="C90:F90" si="27">SUM(C91:C93)</f>
        <v>450</v>
      </c>
      <c r="D90" s="99">
        <f t="shared" si="27"/>
        <v>530</v>
      </c>
      <c r="E90" s="99">
        <f t="shared" ref="E90" si="28">SUM(E91:E93)</f>
        <v>530</v>
      </c>
      <c r="F90" s="99">
        <f t="shared" si="27"/>
        <v>87</v>
      </c>
      <c r="G90" s="310">
        <f t="shared" si="11"/>
        <v>0.16415094339622641</v>
      </c>
    </row>
    <row r="91" spans="1:7" x14ac:dyDescent="0.25">
      <c r="A91" s="76" t="s">
        <v>100</v>
      </c>
      <c r="B91" s="85" t="s">
        <v>101</v>
      </c>
      <c r="C91" s="100">
        <v>50</v>
      </c>
      <c r="D91" s="100">
        <v>50</v>
      </c>
      <c r="E91" s="100">
        <v>50</v>
      </c>
      <c r="F91" s="100">
        <v>0</v>
      </c>
      <c r="G91" s="310">
        <f t="shared" si="11"/>
        <v>0</v>
      </c>
    </row>
    <row r="92" spans="1:7" x14ac:dyDescent="0.25">
      <c r="A92" s="93" t="s">
        <v>102</v>
      </c>
      <c r="B92" s="42" t="s">
        <v>103</v>
      </c>
      <c r="C92" s="94">
        <v>50</v>
      </c>
      <c r="D92" s="301">
        <f>50+80</f>
        <v>130</v>
      </c>
      <c r="E92" s="94">
        <f>50+80</f>
        <v>130</v>
      </c>
      <c r="F92" s="94">
        <v>76</v>
      </c>
      <c r="G92" s="310">
        <f t="shared" si="11"/>
        <v>0.58461538461538465</v>
      </c>
    </row>
    <row r="93" spans="1:7" ht="15.75" thickBot="1" x14ac:dyDescent="0.3">
      <c r="A93" s="95" t="s">
        <v>104</v>
      </c>
      <c r="B93" s="90" t="s">
        <v>105</v>
      </c>
      <c r="C93" s="96">
        <v>350</v>
      </c>
      <c r="D93" s="96">
        <v>350</v>
      </c>
      <c r="E93" s="96">
        <v>350</v>
      </c>
      <c r="F93" s="96">
        <v>11</v>
      </c>
      <c r="G93" s="310">
        <f t="shared" si="11"/>
        <v>3.1428571428571431E-2</v>
      </c>
    </row>
    <row r="94" spans="1:7" ht="15.75" thickBot="1" x14ac:dyDescent="0.3">
      <c r="A94" s="101" t="s">
        <v>106</v>
      </c>
      <c r="B94" s="102"/>
      <c r="C94" s="103">
        <f t="shared" ref="C94:F94" si="29">SUM(C95:C99)</f>
        <v>108100</v>
      </c>
      <c r="D94" s="103">
        <f t="shared" si="29"/>
        <v>108100</v>
      </c>
      <c r="E94" s="103">
        <f t="shared" ref="E94" si="30">SUM(E95:E99)</f>
        <v>113100</v>
      </c>
      <c r="F94" s="103">
        <f t="shared" si="29"/>
        <v>11982</v>
      </c>
      <c r="G94" s="310">
        <f t="shared" si="11"/>
        <v>0.10594164456233422</v>
      </c>
    </row>
    <row r="95" spans="1:7" x14ac:dyDescent="0.25">
      <c r="A95" s="84" t="s">
        <v>107</v>
      </c>
      <c r="B95" s="85" t="s">
        <v>108</v>
      </c>
      <c r="C95" s="86">
        <f>9300+7300</f>
        <v>16600</v>
      </c>
      <c r="D95" s="86">
        <f t="shared" ref="D95:E95" si="31">9300+7300</f>
        <v>16600</v>
      </c>
      <c r="E95" s="86">
        <f t="shared" si="31"/>
        <v>16600</v>
      </c>
      <c r="F95" s="86">
        <v>3723</v>
      </c>
      <c r="G95" s="310">
        <f t="shared" si="11"/>
        <v>0.22427710843373494</v>
      </c>
    </row>
    <row r="96" spans="1:7" x14ac:dyDescent="0.25">
      <c r="A96" s="104" t="s">
        <v>109</v>
      </c>
      <c r="B96" s="105" t="s">
        <v>110</v>
      </c>
      <c r="C96" s="31">
        <f>12600+1800+2000+48600</f>
        <v>65000</v>
      </c>
      <c r="D96" s="31">
        <f t="shared" ref="D96" si="32">12600+1800+2000+48600</f>
        <v>65000</v>
      </c>
      <c r="E96" s="333">
        <f>12600+1800+2000+48600+5820</f>
        <v>70820</v>
      </c>
      <c r="F96" s="31">
        <v>4786</v>
      </c>
      <c r="G96" s="310">
        <f t="shared" si="11"/>
        <v>6.7579779723242028E-2</v>
      </c>
    </row>
    <row r="97" spans="1:7" x14ac:dyDescent="0.25">
      <c r="A97" s="104" t="s">
        <v>111</v>
      </c>
      <c r="B97" s="65" t="s">
        <v>112</v>
      </c>
      <c r="C97" s="66">
        <f>2800+700</f>
        <v>3500</v>
      </c>
      <c r="D97" s="66">
        <f t="shared" ref="D97:E97" si="33">2800+700</f>
        <v>3500</v>
      </c>
      <c r="E97" s="66">
        <f t="shared" si="33"/>
        <v>3500</v>
      </c>
      <c r="F97" s="66">
        <v>1172</v>
      </c>
      <c r="G97" s="310">
        <f t="shared" si="11"/>
        <v>0.33485714285714285</v>
      </c>
    </row>
    <row r="98" spans="1:7" x14ac:dyDescent="0.25">
      <c r="A98" s="104" t="s">
        <v>113</v>
      </c>
      <c r="B98" s="65" t="s">
        <v>114</v>
      </c>
      <c r="C98" s="66">
        <f>7400+3000+2600</f>
        <v>13000</v>
      </c>
      <c r="D98" s="66">
        <f t="shared" ref="D98:E98" si="34">7400+3000+2600</f>
        <v>13000</v>
      </c>
      <c r="E98" s="66">
        <f t="shared" si="34"/>
        <v>13000</v>
      </c>
      <c r="F98" s="66">
        <v>931</v>
      </c>
      <c r="G98" s="310">
        <f t="shared" si="11"/>
        <v>7.1615384615384609E-2</v>
      </c>
    </row>
    <row r="99" spans="1:7" ht="15.75" thickBot="1" x14ac:dyDescent="0.3">
      <c r="A99" s="89" t="s">
        <v>115</v>
      </c>
      <c r="B99" s="90" t="s">
        <v>203</v>
      </c>
      <c r="C99" s="91">
        <v>10000</v>
      </c>
      <c r="D99" s="91">
        <v>10000</v>
      </c>
      <c r="E99" s="332">
        <f>10000-820</f>
        <v>9180</v>
      </c>
      <c r="F99" s="91">
        <v>1370</v>
      </c>
      <c r="G99" s="310">
        <f t="shared" si="11"/>
        <v>0.14923747276688454</v>
      </c>
    </row>
    <row r="100" spans="1:7" ht="15.75" thickBot="1" x14ac:dyDescent="0.3">
      <c r="A100" s="72" t="s">
        <v>116</v>
      </c>
      <c r="B100" s="73"/>
      <c r="C100" s="63">
        <f t="shared" ref="C100:F100" si="35">SUM(C101:C107)</f>
        <v>384700</v>
      </c>
      <c r="D100" s="63">
        <f t="shared" si="35"/>
        <v>385624</v>
      </c>
      <c r="E100" s="63">
        <f t="shared" ref="E100" si="36">SUM(E101:E107)</f>
        <v>385624</v>
      </c>
      <c r="F100" s="63">
        <f t="shared" si="35"/>
        <v>81829</v>
      </c>
      <c r="G100" s="310">
        <f t="shared" si="11"/>
        <v>0.21219892952720784</v>
      </c>
    </row>
    <row r="101" spans="1:7" x14ac:dyDescent="0.25">
      <c r="A101" s="106" t="s">
        <v>117</v>
      </c>
      <c r="B101" s="107" t="s">
        <v>118</v>
      </c>
      <c r="C101" s="78">
        <v>118000</v>
      </c>
      <c r="D101" s="302">
        <f>118000+404</f>
        <v>118404</v>
      </c>
      <c r="E101" s="78">
        <f>118000+404</f>
        <v>118404</v>
      </c>
      <c r="F101" s="78">
        <v>26678</v>
      </c>
      <c r="G101" s="310">
        <f t="shared" si="11"/>
        <v>0.22531333400898618</v>
      </c>
    </row>
    <row r="102" spans="1:7" x14ac:dyDescent="0.25">
      <c r="A102" s="108" t="s">
        <v>119</v>
      </c>
      <c r="B102" s="33" t="s">
        <v>187</v>
      </c>
      <c r="C102" s="34">
        <f>177000+2600</f>
        <v>179600</v>
      </c>
      <c r="D102" s="293">
        <f>177000+2600+520</f>
        <v>180120</v>
      </c>
      <c r="E102" s="34">
        <f>177000+2600+520</f>
        <v>180120</v>
      </c>
      <c r="F102" s="34">
        <v>36415</v>
      </c>
      <c r="G102" s="310">
        <f t="shared" si="11"/>
        <v>0.20217077503886299</v>
      </c>
    </row>
    <row r="103" spans="1:7" x14ac:dyDescent="0.25">
      <c r="A103" s="108" t="s">
        <v>120</v>
      </c>
      <c r="B103" s="33" t="s">
        <v>121</v>
      </c>
      <c r="C103" s="34">
        <v>11800</v>
      </c>
      <c r="D103" s="34">
        <v>11800</v>
      </c>
      <c r="E103" s="34">
        <v>11800</v>
      </c>
      <c r="F103" s="34">
        <v>2171</v>
      </c>
      <c r="G103" s="310">
        <f t="shared" si="11"/>
        <v>0.18398305084745764</v>
      </c>
    </row>
    <row r="104" spans="1:7" x14ac:dyDescent="0.25">
      <c r="A104" s="108" t="s">
        <v>122</v>
      </c>
      <c r="B104" s="33" t="s">
        <v>123</v>
      </c>
      <c r="C104" s="34">
        <v>17200</v>
      </c>
      <c r="D104" s="34">
        <v>17200</v>
      </c>
      <c r="E104" s="34">
        <v>17200</v>
      </c>
      <c r="F104" s="34">
        <v>3261</v>
      </c>
      <c r="G104" s="310">
        <f t="shared" si="11"/>
        <v>0.18959302325581395</v>
      </c>
    </row>
    <row r="105" spans="1:7" x14ac:dyDescent="0.25">
      <c r="A105" s="108" t="s">
        <v>124</v>
      </c>
      <c r="B105" s="33" t="s">
        <v>125</v>
      </c>
      <c r="C105" s="34">
        <v>17200</v>
      </c>
      <c r="D105" s="34">
        <v>17200</v>
      </c>
      <c r="E105" s="34">
        <v>17200</v>
      </c>
      <c r="F105" s="34">
        <v>3261</v>
      </c>
      <c r="G105" s="310">
        <f t="shared" si="11"/>
        <v>0.18959302325581395</v>
      </c>
    </row>
    <row r="106" spans="1:7" x14ac:dyDescent="0.25">
      <c r="A106" s="109" t="s">
        <v>126</v>
      </c>
      <c r="B106" s="33" t="s">
        <v>127</v>
      </c>
      <c r="C106" s="110">
        <f>11800+4400+21800+300</f>
        <v>38300</v>
      </c>
      <c r="D106" s="110">
        <f t="shared" ref="D106:E106" si="37">11800+4400+21800+300</f>
        <v>38300</v>
      </c>
      <c r="E106" s="110">
        <f t="shared" si="37"/>
        <v>38300</v>
      </c>
      <c r="F106" s="110">
        <v>10028</v>
      </c>
      <c r="G106" s="310">
        <f t="shared" si="11"/>
        <v>0.26182767624020886</v>
      </c>
    </row>
    <row r="107" spans="1:7" ht="15.75" thickBot="1" x14ac:dyDescent="0.3">
      <c r="A107" s="108" t="s">
        <v>128</v>
      </c>
      <c r="B107" s="33" t="s">
        <v>129</v>
      </c>
      <c r="C107" s="110">
        <v>2600</v>
      </c>
      <c r="D107" s="110">
        <v>2600</v>
      </c>
      <c r="E107" s="110">
        <v>2600</v>
      </c>
      <c r="F107" s="110">
        <v>15</v>
      </c>
      <c r="G107" s="310">
        <f t="shared" si="11"/>
        <v>5.7692307692307696E-3</v>
      </c>
    </row>
    <row r="108" spans="1:7" ht="15.75" thickBot="1" x14ac:dyDescent="0.3">
      <c r="A108" s="61" t="s">
        <v>130</v>
      </c>
      <c r="B108" s="62"/>
      <c r="C108" s="63">
        <f t="shared" ref="C108" si="38">SUM(C109:C113)</f>
        <v>196800</v>
      </c>
      <c r="D108" s="63">
        <f t="shared" ref="D108:F108" si="39">SUM(D109:D113)</f>
        <v>196800</v>
      </c>
      <c r="E108" s="63">
        <f t="shared" ref="E108" si="40">SUM(E109:E113)</f>
        <v>196800</v>
      </c>
      <c r="F108" s="63">
        <f t="shared" si="39"/>
        <v>28122</v>
      </c>
      <c r="G108" s="310">
        <f t="shared" si="11"/>
        <v>0.14289634146341462</v>
      </c>
    </row>
    <row r="109" spans="1:7" x14ac:dyDescent="0.25">
      <c r="A109" s="104" t="s">
        <v>131</v>
      </c>
      <c r="B109" s="65" t="s">
        <v>132</v>
      </c>
      <c r="C109" s="66">
        <f>100000+15600</f>
        <v>115600</v>
      </c>
      <c r="D109" s="66">
        <f t="shared" ref="D109:E109" si="41">100000+15600</f>
        <v>115600</v>
      </c>
      <c r="E109" s="66">
        <f t="shared" si="41"/>
        <v>115600</v>
      </c>
      <c r="F109" s="66">
        <v>23371</v>
      </c>
      <c r="G109" s="310">
        <f t="shared" si="11"/>
        <v>0.20217128027681661</v>
      </c>
    </row>
    <row r="110" spans="1:7" x14ac:dyDescent="0.25">
      <c r="A110" s="104" t="s">
        <v>133</v>
      </c>
      <c r="B110" s="65" t="s">
        <v>201</v>
      </c>
      <c r="C110" s="66">
        <f>7200+3000</f>
        <v>10200</v>
      </c>
      <c r="D110" s="66">
        <f t="shared" ref="D110:E110" si="42">7200+3000</f>
        <v>10200</v>
      </c>
      <c r="E110" s="66">
        <f t="shared" si="42"/>
        <v>10200</v>
      </c>
      <c r="F110" s="66">
        <v>1556</v>
      </c>
      <c r="G110" s="310">
        <f t="shared" si="11"/>
        <v>0.15254901960784314</v>
      </c>
    </row>
    <row r="111" spans="1:7" x14ac:dyDescent="0.25">
      <c r="A111" s="69" t="s">
        <v>134</v>
      </c>
      <c r="B111" s="42" t="s">
        <v>202</v>
      </c>
      <c r="C111" s="68">
        <f>12000+49000+9000</f>
        <v>70000</v>
      </c>
      <c r="D111" s="68">
        <f t="shared" ref="D111:E111" si="43">12000+49000+9000</f>
        <v>70000</v>
      </c>
      <c r="E111" s="68">
        <f t="shared" si="43"/>
        <v>70000</v>
      </c>
      <c r="F111" s="68">
        <v>3195</v>
      </c>
      <c r="G111" s="310">
        <f t="shared" si="11"/>
        <v>4.5642857142857145E-2</v>
      </c>
    </row>
    <row r="112" spans="1:7" x14ac:dyDescent="0.25">
      <c r="A112" s="69" t="s">
        <v>135</v>
      </c>
      <c r="B112" s="42" t="s">
        <v>136</v>
      </c>
      <c r="C112" s="68">
        <v>500</v>
      </c>
      <c r="D112" s="68">
        <v>500</v>
      </c>
      <c r="E112" s="68">
        <v>500</v>
      </c>
      <c r="F112" s="68">
        <v>0</v>
      </c>
      <c r="G112" s="310">
        <f t="shared" si="11"/>
        <v>0</v>
      </c>
    </row>
    <row r="113" spans="1:8" ht="15.75" thickBot="1" x14ac:dyDescent="0.3">
      <c r="A113" s="89" t="s">
        <v>137</v>
      </c>
      <c r="B113" s="90" t="s">
        <v>138</v>
      </c>
      <c r="C113" s="91">
        <v>500</v>
      </c>
      <c r="D113" s="91">
        <v>500</v>
      </c>
      <c r="E113" s="91">
        <v>500</v>
      </c>
      <c r="F113" s="91">
        <v>0</v>
      </c>
      <c r="G113" s="310">
        <f t="shared" si="11"/>
        <v>0</v>
      </c>
    </row>
    <row r="114" spans="1:8" ht="16.5" thickBot="1" x14ac:dyDescent="0.3">
      <c r="A114" s="111" t="s">
        <v>139</v>
      </c>
      <c r="B114" s="98"/>
      <c r="C114" s="112">
        <f t="shared" ref="C114:F114" si="44">SUM(C65+C71+C73+C76+C81+C86+C90+C94+C100+C108)</f>
        <v>1180700</v>
      </c>
      <c r="D114" s="112">
        <f t="shared" si="44"/>
        <v>1182896</v>
      </c>
      <c r="E114" s="112">
        <f t="shared" ref="E114" si="45">SUM(E65+E71+E73+E76+E81+E86+E90+E94+E100+E108)</f>
        <v>1187896</v>
      </c>
      <c r="F114" s="112">
        <f t="shared" si="44"/>
        <v>217965</v>
      </c>
      <c r="G114" s="310">
        <f t="shared" si="11"/>
        <v>0.1834882851697455</v>
      </c>
      <c r="H114" s="171">
        <f>E114-D114</f>
        <v>5000</v>
      </c>
    </row>
    <row r="115" spans="1:8" x14ac:dyDescent="0.25">
      <c r="A115" s="181" t="s">
        <v>140</v>
      </c>
      <c r="B115" s="113" t="s">
        <v>141</v>
      </c>
      <c r="C115" s="114">
        <f>C56+C58</f>
        <v>409440</v>
      </c>
      <c r="D115" s="114">
        <f t="shared" ref="D115:F115" si="46">D56+D58</f>
        <v>431827</v>
      </c>
      <c r="E115" s="114">
        <f t="shared" ref="E115" si="47">E56+E58</f>
        <v>431827</v>
      </c>
      <c r="F115" s="114">
        <f t="shared" si="46"/>
        <v>121189</v>
      </c>
      <c r="G115" s="310">
        <f t="shared" si="11"/>
        <v>0.28064247951147103</v>
      </c>
    </row>
    <row r="116" spans="1:8" x14ac:dyDescent="0.25">
      <c r="A116" s="180" t="s">
        <v>142</v>
      </c>
      <c r="B116" s="50" t="s">
        <v>143</v>
      </c>
      <c r="C116" s="115">
        <v>19000</v>
      </c>
      <c r="D116" s="115">
        <v>19000</v>
      </c>
      <c r="E116" s="115">
        <v>19000</v>
      </c>
      <c r="F116" s="115">
        <v>4750</v>
      </c>
      <c r="G116" s="310">
        <f t="shared" si="11"/>
        <v>0.25</v>
      </c>
    </row>
    <row r="117" spans="1:8" ht="15.75" thickBot="1" x14ac:dyDescent="0.3">
      <c r="A117" s="116" t="s">
        <v>144</v>
      </c>
      <c r="B117" s="117"/>
      <c r="C117" s="118">
        <f>SUM(C115:C116)</f>
        <v>428440</v>
      </c>
      <c r="D117" s="118">
        <f t="shared" ref="D117:F117" si="48">SUM(D115:D116)</f>
        <v>450827</v>
      </c>
      <c r="E117" s="118">
        <f t="shared" ref="E117" si="49">SUM(E115:E116)</f>
        <v>450827</v>
      </c>
      <c r="F117" s="118">
        <f t="shared" si="48"/>
        <v>125939</v>
      </c>
      <c r="G117" s="310">
        <f t="shared" si="11"/>
        <v>0.27935105927550924</v>
      </c>
    </row>
    <row r="118" spans="1:8" ht="16.5" thickBot="1" x14ac:dyDescent="0.3">
      <c r="A118" s="119" t="s">
        <v>145</v>
      </c>
      <c r="B118" s="82"/>
      <c r="C118" s="120">
        <f>C114+C117</f>
        <v>1609140</v>
      </c>
      <c r="D118" s="120">
        <f t="shared" ref="D118:F118" si="50">D114+D117</f>
        <v>1633723</v>
      </c>
      <c r="E118" s="120">
        <f t="shared" ref="E118" si="51">E114+E117</f>
        <v>1638723</v>
      </c>
      <c r="F118" s="120">
        <f t="shared" si="50"/>
        <v>343904</v>
      </c>
      <c r="G118" s="310">
        <f t="shared" si="11"/>
        <v>0.20986097101218448</v>
      </c>
    </row>
    <row r="119" spans="1:8" ht="23.25" customHeight="1" x14ac:dyDescent="0.25"/>
    <row r="120" spans="1:8" ht="15" customHeight="1" thickBot="1" x14ac:dyDescent="0.3"/>
    <row r="121" spans="1:8" ht="18.75" thickBot="1" x14ac:dyDescent="0.3">
      <c r="A121" s="1024" t="s">
        <v>146</v>
      </c>
      <c r="B121" s="1025"/>
      <c r="C121" s="1025"/>
      <c r="D121" s="1025"/>
      <c r="E121" s="1025"/>
      <c r="F121" s="1026"/>
    </row>
    <row r="122" spans="1:8" ht="15" customHeight="1" x14ac:dyDescent="0.25">
      <c r="A122" s="992" t="s">
        <v>1</v>
      </c>
      <c r="B122" s="993"/>
      <c r="C122" s="996">
        <v>2017</v>
      </c>
      <c r="D122" s="996" t="s">
        <v>235</v>
      </c>
      <c r="E122" s="996" t="s">
        <v>279</v>
      </c>
      <c r="F122" s="996" t="s">
        <v>304</v>
      </c>
      <c r="G122" s="308" t="s">
        <v>280</v>
      </c>
    </row>
    <row r="123" spans="1:8" ht="15.75" thickBot="1" x14ac:dyDescent="0.3">
      <c r="A123" s="994"/>
      <c r="B123" s="995"/>
      <c r="C123" s="997"/>
      <c r="D123" s="997"/>
      <c r="E123" s="997"/>
      <c r="F123" s="997"/>
      <c r="G123" s="308" t="s">
        <v>281</v>
      </c>
    </row>
    <row r="124" spans="1:8" ht="16.5" thickBot="1" x14ac:dyDescent="0.3">
      <c r="A124" s="1010" t="s">
        <v>147</v>
      </c>
      <c r="B124" s="1011"/>
      <c r="C124" s="121">
        <f t="shared" ref="C124" si="52">SUM(C125:C132)</f>
        <v>1669100</v>
      </c>
      <c r="D124" s="121">
        <f t="shared" ref="D124:F124" si="53">SUM(D125:D132)</f>
        <v>1653200</v>
      </c>
      <c r="E124" s="121">
        <f t="shared" ref="E124" si="54">SUM(E125:E132)</f>
        <v>1748000</v>
      </c>
      <c r="F124" s="121">
        <f t="shared" si="53"/>
        <v>3</v>
      </c>
      <c r="G124" s="311">
        <f>F124/E124</f>
        <v>1.7162471395881007E-6</v>
      </c>
      <c r="H124" s="171">
        <f>E124-D124</f>
        <v>94800</v>
      </c>
    </row>
    <row r="125" spans="1:8" x14ac:dyDescent="0.25">
      <c r="A125" s="122">
        <v>231</v>
      </c>
      <c r="B125" s="85" t="s">
        <v>148</v>
      </c>
      <c r="C125" s="123">
        <v>0</v>
      </c>
      <c r="D125" s="123">
        <v>0</v>
      </c>
      <c r="E125" s="123">
        <v>0</v>
      </c>
      <c r="F125" s="123">
        <v>0</v>
      </c>
      <c r="G125" s="311">
        <v>0</v>
      </c>
    </row>
    <row r="126" spans="1:8" x14ac:dyDescent="0.25">
      <c r="A126" s="46">
        <v>233</v>
      </c>
      <c r="B126" s="42" t="s">
        <v>149</v>
      </c>
      <c r="C126" s="124">
        <v>1000</v>
      </c>
      <c r="D126" s="124">
        <v>1000</v>
      </c>
      <c r="E126" s="124">
        <v>1000</v>
      </c>
      <c r="F126" s="124">
        <v>3</v>
      </c>
      <c r="G126" s="311">
        <f t="shared" ref="G126:G153" si="55">F126/E126</f>
        <v>3.0000000000000001E-3</v>
      </c>
    </row>
    <row r="127" spans="1:8" x14ac:dyDescent="0.25">
      <c r="A127" s="174">
        <v>322</v>
      </c>
      <c r="B127" s="175" t="s">
        <v>192</v>
      </c>
      <c r="C127" s="176">
        <v>134200</v>
      </c>
      <c r="D127" s="176">
        <v>134200</v>
      </c>
      <c r="E127" s="296">
        <f>134200+65800</f>
        <v>200000</v>
      </c>
      <c r="F127" s="176">
        <v>0</v>
      </c>
      <c r="G127" s="311">
        <f t="shared" si="55"/>
        <v>0</v>
      </c>
    </row>
    <row r="128" spans="1:8" x14ac:dyDescent="0.25">
      <c r="A128" s="174">
        <v>322</v>
      </c>
      <c r="B128" s="175" t="s">
        <v>193</v>
      </c>
      <c r="C128" s="176">
        <v>155400</v>
      </c>
      <c r="D128" s="176">
        <v>155400</v>
      </c>
      <c r="E128" s="176">
        <v>155400</v>
      </c>
      <c r="F128" s="176">
        <v>0</v>
      </c>
      <c r="G128" s="311">
        <f t="shared" si="55"/>
        <v>0</v>
      </c>
    </row>
    <row r="129" spans="1:11" x14ac:dyDescent="0.25">
      <c r="A129" s="174">
        <v>322</v>
      </c>
      <c r="B129" s="175" t="s">
        <v>194</v>
      </c>
      <c r="C129" s="176">
        <v>39900</v>
      </c>
      <c r="D129" s="296">
        <f>39900-15900</f>
        <v>24000</v>
      </c>
      <c r="E129" s="176">
        <f>39900-15900</f>
        <v>24000</v>
      </c>
      <c r="F129" s="176">
        <v>0</v>
      </c>
      <c r="G129" s="311">
        <f t="shared" si="55"/>
        <v>0</v>
      </c>
    </row>
    <row r="130" spans="1:11" x14ac:dyDescent="0.25">
      <c r="A130" s="174">
        <v>322</v>
      </c>
      <c r="B130" s="175" t="s">
        <v>195</v>
      </c>
      <c r="C130" s="176">
        <v>1222600</v>
      </c>
      <c r="D130" s="176">
        <v>1222600</v>
      </c>
      <c r="E130" s="176">
        <v>1222600</v>
      </c>
      <c r="F130" s="176">
        <v>0</v>
      </c>
      <c r="G130" s="311">
        <f t="shared" si="55"/>
        <v>0</v>
      </c>
      <c r="K130" s="178"/>
    </row>
    <row r="131" spans="1:11" x14ac:dyDescent="0.25">
      <c r="A131" s="174">
        <v>322</v>
      </c>
      <c r="B131" s="175" t="s">
        <v>196</v>
      </c>
      <c r="C131" s="176">
        <v>103500</v>
      </c>
      <c r="D131" s="176">
        <v>103500</v>
      </c>
      <c r="E131" s="296">
        <f>103500+29000</f>
        <v>132500</v>
      </c>
      <c r="F131" s="176">
        <v>0</v>
      </c>
      <c r="G131" s="311">
        <f t="shared" si="55"/>
        <v>0</v>
      </c>
    </row>
    <row r="132" spans="1:11" ht="15.75" thickBot="1" x14ac:dyDescent="0.3">
      <c r="A132" s="125">
        <v>322</v>
      </c>
      <c r="B132" s="126" t="s">
        <v>150</v>
      </c>
      <c r="C132" s="127">
        <v>12500</v>
      </c>
      <c r="D132" s="127">
        <v>12500</v>
      </c>
      <c r="E132" s="127">
        <v>12500</v>
      </c>
      <c r="F132" s="127">
        <v>0</v>
      </c>
      <c r="G132" s="311">
        <f t="shared" si="55"/>
        <v>0</v>
      </c>
    </row>
    <row r="133" spans="1:11" ht="16.5" thickBot="1" x14ac:dyDescent="0.3">
      <c r="A133" s="1010" t="s">
        <v>151</v>
      </c>
      <c r="B133" s="1011"/>
      <c r="C133" s="121">
        <f>SUM(C134:C153)</f>
        <v>2481900</v>
      </c>
      <c r="D133" s="121">
        <f>SUM(D134:D153)</f>
        <v>2481900</v>
      </c>
      <c r="E133" s="121">
        <f>SUM(E134:E153)</f>
        <v>2595700</v>
      </c>
      <c r="F133" s="121">
        <f>SUM(F134:F153)</f>
        <v>3434</v>
      </c>
      <c r="G133" s="311">
        <f t="shared" si="55"/>
        <v>1.3229571984435798E-3</v>
      </c>
      <c r="H133" s="171">
        <f>E133-D133</f>
        <v>113800</v>
      </c>
    </row>
    <row r="134" spans="1:11" x14ac:dyDescent="0.25">
      <c r="A134" s="128" t="s">
        <v>59</v>
      </c>
      <c r="B134" s="129" t="s">
        <v>185</v>
      </c>
      <c r="C134" s="135">
        <v>3000</v>
      </c>
      <c r="D134" s="135">
        <v>3000</v>
      </c>
      <c r="E134" s="135">
        <v>3000</v>
      </c>
      <c r="F134" s="135">
        <v>0</v>
      </c>
      <c r="G134" s="311">
        <f t="shared" si="55"/>
        <v>0</v>
      </c>
    </row>
    <row r="135" spans="1:11" ht="15.75" thickBot="1" x14ac:dyDescent="0.3">
      <c r="A135" s="200" t="s">
        <v>59</v>
      </c>
      <c r="B135" s="201" t="s">
        <v>184</v>
      </c>
      <c r="C135" s="210">
        <v>108200</v>
      </c>
      <c r="D135" s="210">
        <v>108200</v>
      </c>
      <c r="E135" s="316">
        <f>108200+31800</f>
        <v>140000</v>
      </c>
      <c r="F135" s="210">
        <v>0</v>
      </c>
      <c r="G135" s="311">
        <f t="shared" si="55"/>
        <v>0</v>
      </c>
      <c r="I135" s="171"/>
    </row>
    <row r="136" spans="1:11" ht="15.75" thickBot="1" x14ac:dyDescent="0.3">
      <c r="A136" s="330" t="s">
        <v>73</v>
      </c>
      <c r="B136" s="331" t="s">
        <v>152</v>
      </c>
      <c r="C136" s="134">
        <v>14800</v>
      </c>
      <c r="D136" s="134">
        <v>14800</v>
      </c>
      <c r="E136" s="134">
        <v>14800</v>
      </c>
      <c r="F136" s="134">
        <v>0</v>
      </c>
      <c r="G136" s="311">
        <f t="shared" si="55"/>
        <v>0</v>
      </c>
      <c r="I136" s="171"/>
    </row>
    <row r="137" spans="1:11" x14ac:dyDescent="0.25">
      <c r="A137" s="190" t="s">
        <v>78</v>
      </c>
      <c r="B137" s="185" t="s">
        <v>190</v>
      </c>
      <c r="C137" s="133">
        <v>0</v>
      </c>
      <c r="D137" s="133">
        <v>0</v>
      </c>
      <c r="E137" s="133">
        <v>0</v>
      </c>
      <c r="F137" s="133">
        <v>0</v>
      </c>
      <c r="G137" s="311">
        <v>0</v>
      </c>
    </row>
    <row r="138" spans="1:11" x14ac:dyDescent="0.25">
      <c r="A138" s="190" t="s">
        <v>78</v>
      </c>
      <c r="B138" s="185" t="s">
        <v>301</v>
      </c>
      <c r="C138" s="133">
        <v>0</v>
      </c>
      <c r="D138" s="133">
        <v>0</v>
      </c>
      <c r="E138" s="328">
        <v>5000</v>
      </c>
      <c r="F138" s="133">
        <v>0</v>
      </c>
      <c r="G138" s="311"/>
    </row>
    <row r="139" spans="1:11" x14ac:dyDescent="0.25">
      <c r="A139" s="190" t="s">
        <v>80</v>
      </c>
      <c r="B139" s="185" t="s">
        <v>153</v>
      </c>
      <c r="C139" s="133">
        <v>10000</v>
      </c>
      <c r="D139" s="133">
        <v>10000</v>
      </c>
      <c r="E139" s="133">
        <v>10000</v>
      </c>
      <c r="F139" s="133">
        <v>0</v>
      </c>
      <c r="G139" s="311">
        <f>F139/E139</f>
        <v>0</v>
      </c>
    </row>
    <row r="140" spans="1:11" ht="15.75" thickBot="1" x14ac:dyDescent="0.3">
      <c r="A140" s="198" t="s">
        <v>80</v>
      </c>
      <c r="B140" s="199" t="s">
        <v>197</v>
      </c>
      <c r="C140" s="133">
        <v>40000</v>
      </c>
      <c r="D140" s="133">
        <v>40000</v>
      </c>
      <c r="E140" s="133">
        <v>40000</v>
      </c>
      <c r="F140" s="133">
        <v>0</v>
      </c>
      <c r="G140" s="311">
        <f t="shared" si="55"/>
        <v>0</v>
      </c>
    </row>
    <row r="141" spans="1:11" ht="15.75" thickBot="1" x14ac:dyDescent="0.3">
      <c r="A141" s="187" t="s">
        <v>87</v>
      </c>
      <c r="B141" s="186" t="s">
        <v>198</v>
      </c>
      <c r="C141" s="135">
        <v>1287000</v>
      </c>
      <c r="D141" s="135">
        <v>1287000</v>
      </c>
      <c r="E141" s="135">
        <v>1287000</v>
      </c>
      <c r="F141" s="135">
        <v>0</v>
      </c>
      <c r="G141" s="311">
        <f t="shared" si="55"/>
        <v>0</v>
      </c>
      <c r="J141" s="140"/>
      <c r="K141" s="142"/>
    </row>
    <row r="142" spans="1:11" x14ac:dyDescent="0.25">
      <c r="A142" s="191" t="s">
        <v>154</v>
      </c>
      <c r="B142" s="186" t="s">
        <v>295</v>
      </c>
      <c r="C142" s="135">
        <v>50000</v>
      </c>
      <c r="D142" s="135">
        <v>50000</v>
      </c>
      <c r="E142" s="325">
        <f>50000+4000</f>
        <v>54000</v>
      </c>
      <c r="F142" s="135">
        <v>0</v>
      </c>
      <c r="G142" s="311">
        <f t="shared" si="55"/>
        <v>0</v>
      </c>
      <c r="J142" s="140"/>
      <c r="K142" s="142"/>
    </row>
    <row r="143" spans="1:11" x14ac:dyDescent="0.25">
      <c r="A143" s="326" t="s">
        <v>93</v>
      </c>
      <c r="B143" s="327" t="s">
        <v>293</v>
      </c>
      <c r="C143" s="136">
        <v>0</v>
      </c>
      <c r="D143" s="136">
        <v>0</v>
      </c>
      <c r="E143" s="315">
        <v>1000</v>
      </c>
      <c r="F143" s="136">
        <v>736</v>
      </c>
      <c r="G143" s="311"/>
      <c r="J143" s="143"/>
    </row>
    <row r="144" spans="1:11" ht="15.75" thickBot="1" x14ac:dyDescent="0.3">
      <c r="A144" s="323" t="s">
        <v>97</v>
      </c>
      <c r="B144" s="324" t="s">
        <v>206</v>
      </c>
      <c r="C144" s="182">
        <v>163600</v>
      </c>
      <c r="D144" s="182">
        <v>163600</v>
      </c>
      <c r="E144" s="182">
        <v>163600</v>
      </c>
      <c r="F144" s="182">
        <v>0</v>
      </c>
      <c r="G144" s="311">
        <f t="shared" si="55"/>
        <v>0</v>
      </c>
      <c r="H144" s="140"/>
    </row>
    <row r="145" spans="1:11" x14ac:dyDescent="0.25">
      <c r="A145" s="198" t="s">
        <v>107</v>
      </c>
      <c r="B145" s="199" t="s">
        <v>207</v>
      </c>
      <c r="C145" s="133">
        <v>42000</v>
      </c>
      <c r="D145" s="133">
        <v>42000</v>
      </c>
      <c r="E145" s="133">
        <v>42000</v>
      </c>
      <c r="F145" s="133">
        <v>0</v>
      </c>
      <c r="G145" s="311">
        <f t="shared" si="55"/>
        <v>0</v>
      </c>
      <c r="H145" s="140"/>
    </row>
    <row r="146" spans="1:11" ht="15" customHeight="1" x14ac:dyDescent="0.25">
      <c r="A146" s="193" t="s">
        <v>107</v>
      </c>
      <c r="B146" s="189" t="s">
        <v>205</v>
      </c>
      <c r="C146" s="177">
        <v>56400</v>
      </c>
      <c r="D146" s="177">
        <v>56400</v>
      </c>
      <c r="E146" s="177">
        <v>56400</v>
      </c>
      <c r="F146" s="177">
        <v>0</v>
      </c>
      <c r="G146" s="311">
        <f t="shared" si="55"/>
        <v>0</v>
      </c>
      <c r="H146" s="140"/>
      <c r="I146" s="138"/>
    </row>
    <row r="147" spans="1:11" x14ac:dyDescent="0.25">
      <c r="A147" s="193" t="s">
        <v>107</v>
      </c>
      <c r="B147" s="189" t="s">
        <v>188</v>
      </c>
      <c r="C147" s="177">
        <v>10000</v>
      </c>
      <c r="D147" s="177">
        <v>10000</v>
      </c>
      <c r="E147" s="177">
        <v>10000</v>
      </c>
      <c r="F147" s="177">
        <v>0</v>
      </c>
      <c r="G147" s="311">
        <f t="shared" si="55"/>
        <v>0</v>
      </c>
      <c r="H147" s="140"/>
      <c r="I147" s="157"/>
      <c r="J147" s="141"/>
    </row>
    <row r="148" spans="1:11" x14ac:dyDescent="0.25">
      <c r="A148" s="193" t="s">
        <v>107</v>
      </c>
      <c r="B148" s="189" t="s">
        <v>189</v>
      </c>
      <c r="C148" s="177">
        <v>10000</v>
      </c>
      <c r="D148" s="177">
        <v>10000</v>
      </c>
      <c r="E148" s="177">
        <v>10000</v>
      </c>
      <c r="F148" s="177">
        <v>0</v>
      </c>
      <c r="G148" s="311">
        <f t="shared" si="55"/>
        <v>0</v>
      </c>
      <c r="H148" s="140"/>
    </row>
    <row r="149" spans="1:11" x14ac:dyDescent="0.25">
      <c r="A149" s="193" t="s">
        <v>107</v>
      </c>
      <c r="B149" s="189" t="s">
        <v>183</v>
      </c>
      <c r="C149" s="177">
        <v>30000</v>
      </c>
      <c r="D149" s="177">
        <v>30000</v>
      </c>
      <c r="E149" s="177">
        <v>30000</v>
      </c>
      <c r="F149" s="177">
        <v>0</v>
      </c>
      <c r="G149" s="311">
        <f>F149/E149</f>
        <v>0</v>
      </c>
      <c r="H149" s="140"/>
      <c r="I149" s="138"/>
    </row>
    <row r="150" spans="1:11" ht="16.5" customHeight="1" x14ac:dyDescent="0.25">
      <c r="A150" s="193" t="s">
        <v>109</v>
      </c>
      <c r="B150" s="189" t="s">
        <v>182</v>
      </c>
      <c r="C150" s="177">
        <v>500000</v>
      </c>
      <c r="D150" s="177">
        <v>500000</v>
      </c>
      <c r="E150" s="177">
        <v>500000</v>
      </c>
      <c r="F150" s="177">
        <v>0</v>
      </c>
      <c r="G150" s="311">
        <f t="shared" si="55"/>
        <v>0</v>
      </c>
      <c r="H150" s="143"/>
    </row>
    <row r="151" spans="1:11" ht="15.75" thickBot="1" x14ac:dyDescent="0.3">
      <c r="A151" s="329" t="s">
        <v>111</v>
      </c>
      <c r="B151" s="203" t="s">
        <v>156</v>
      </c>
      <c r="C151" s="210">
        <v>2700</v>
      </c>
      <c r="D151" s="210">
        <v>2700</v>
      </c>
      <c r="E151" s="210">
        <v>2700</v>
      </c>
      <c r="F151" s="210">
        <v>2698</v>
      </c>
      <c r="G151" s="311">
        <f t="shared" si="55"/>
        <v>0.99925925925925929</v>
      </c>
      <c r="H151" s="143"/>
    </row>
    <row r="152" spans="1:11" x14ac:dyDescent="0.25">
      <c r="A152" s="197" t="s">
        <v>117</v>
      </c>
      <c r="B152" s="185" t="s">
        <v>199</v>
      </c>
      <c r="C152" s="133">
        <v>141200</v>
      </c>
      <c r="D152" s="133">
        <v>141200</v>
      </c>
      <c r="E152" s="328">
        <f>141200+72000</f>
        <v>213200</v>
      </c>
      <c r="F152" s="133">
        <v>0</v>
      </c>
      <c r="G152" s="311">
        <f t="shared" si="55"/>
        <v>0</v>
      </c>
      <c r="H152" s="143"/>
      <c r="K152" s="157"/>
    </row>
    <row r="153" spans="1:11" ht="15" customHeight="1" thickBot="1" x14ac:dyDescent="0.3">
      <c r="A153" s="306" t="s">
        <v>126</v>
      </c>
      <c r="B153" s="307" t="s">
        <v>186</v>
      </c>
      <c r="C153" s="182">
        <v>13000</v>
      </c>
      <c r="D153" s="182">
        <v>13000</v>
      </c>
      <c r="E153" s="182">
        <v>13000</v>
      </c>
      <c r="F153" s="182">
        <v>0</v>
      </c>
      <c r="G153" s="311">
        <f t="shared" si="55"/>
        <v>0</v>
      </c>
      <c r="H153" s="141"/>
      <c r="K153" s="157"/>
    </row>
    <row r="154" spans="1:11" x14ac:dyDescent="0.25">
      <c r="A154" s="137"/>
      <c r="B154" s="138"/>
      <c r="C154" s="140"/>
      <c r="D154" s="140"/>
      <c r="E154" s="140"/>
      <c r="J154" s="157"/>
      <c r="K154" s="138"/>
    </row>
    <row r="155" spans="1:11" ht="15.75" thickBot="1" x14ac:dyDescent="0.3">
      <c r="A155" s="141"/>
      <c r="B155" s="142"/>
      <c r="C155" s="143" t="s">
        <v>157</v>
      </c>
      <c r="D155" s="143"/>
      <c r="E155" s="143"/>
      <c r="J155" s="157"/>
    </row>
    <row r="156" spans="1:11" ht="16.5" customHeight="1" thickBot="1" x14ac:dyDescent="0.3">
      <c r="A156" s="1030" t="s">
        <v>158</v>
      </c>
      <c r="B156" s="1031"/>
      <c r="C156" s="1031"/>
      <c r="D156" s="1031"/>
      <c r="E156" s="1031"/>
      <c r="F156" s="1032"/>
      <c r="J156" s="157"/>
    </row>
    <row r="157" spans="1:11" ht="15.75" customHeight="1" x14ac:dyDescent="0.25">
      <c r="A157" s="992" t="s">
        <v>1</v>
      </c>
      <c r="B157" s="993"/>
      <c r="C157" s="996">
        <v>2017</v>
      </c>
      <c r="D157" s="996" t="s">
        <v>235</v>
      </c>
      <c r="E157" s="996" t="s">
        <v>279</v>
      </c>
      <c r="F157" s="996" t="s">
        <v>304</v>
      </c>
      <c r="G157" s="308" t="s">
        <v>280</v>
      </c>
    </row>
    <row r="158" spans="1:11" ht="15.75" thickBot="1" x14ac:dyDescent="0.3">
      <c r="A158" s="994"/>
      <c r="B158" s="995"/>
      <c r="C158" s="997"/>
      <c r="D158" s="997"/>
      <c r="E158" s="997"/>
      <c r="F158" s="997"/>
      <c r="G158" s="308" t="s">
        <v>281</v>
      </c>
    </row>
    <row r="159" spans="1:11" ht="16.5" thickBot="1" x14ac:dyDescent="0.3">
      <c r="A159" s="144" t="s">
        <v>159</v>
      </c>
      <c r="B159" s="145"/>
      <c r="C159" s="146">
        <f t="shared" ref="C159:F159" si="56">SUM(C160:C162)</f>
        <v>714200</v>
      </c>
      <c r="D159" s="146">
        <f t="shared" si="56"/>
        <v>730100</v>
      </c>
      <c r="E159" s="146">
        <f t="shared" ref="E159" si="57">SUM(E160:E162)</f>
        <v>749100</v>
      </c>
      <c r="F159" s="146">
        <f t="shared" si="56"/>
        <v>39</v>
      </c>
      <c r="G159" s="313">
        <f>F159/E159</f>
        <v>5.2062474969963958E-5</v>
      </c>
      <c r="H159" s="171">
        <f>E159-D159</f>
        <v>19000</v>
      </c>
    </row>
    <row r="160" spans="1:11" x14ac:dyDescent="0.25">
      <c r="A160" s="147">
        <v>454</v>
      </c>
      <c r="B160" s="47" t="s">
        <v>160</v>
      </c>
      <c r="C160" s="148">
        <f>312800</f>
        <v>312800</v>
      </c>
      <c r="D160" s="297">
        <f>312800+15900</f>
        <v>328700</v>
      </c>
      <c r="E160" s="297">
        <f>312800+15900-11000</f>
        <v>317700</v>
      </c>
      <c r="F160" s="148">
        <v>0</v>
      </c>
      <c r="G160" s="313">
        <f>F160/E160</f>
        <v>0</v>
      </c>
    </row>
    <row r="161" spans="1:11" x14ac:dyDescent="0.25">
      <c r="A161" s="149">
        <v>453</v>
      </c>
      <c r="B161" s="150" t="s">
        <v>161</v>
      </c>
      <c r="C161" s="151">
        <v>1500</v>
      </c>
      <c r="D161" s="151">
        <v>1500</v>
      </c>
      <c r="E161" s="151">
        <v>1500</v>
      </c>
      <c r="F161" s="151">
        <v>39</v>
      </c>
      <c r="G161" s="313">
        <f>F161/E161</f>
        <v>2.5999999999999999E-2</v>
      </c>
    </row>
    <row r="162" spans="1:11" ht="15.75" thickBot="1" x14ac:dyDescent="0.3">
      <c r="A162" s="149">
        <v>513</v>
      </c>
      <c r="B162" s="150" t="s">
        <v>162</v>
      </c>
      <c r="C162" s="151">
        <f>500000-100100</f>
        <v>399900</v>
      </c>
      <c r="D162" s="151">
        <f t="shared" ref="D162" si="58">500000-100100</f>
        <v>399900</v>
      </c>
      <c r="E162" s="334">
        <f>500000-100100+11000+19000</f>
        <v>429900</v>
      </c>
      <c r="F162" s="151">
        <v>0</v>
      </c>
      <c r="G162" s="313">
        <f t="shared" ref="G162:G165" si="59">F162/E162</f>
        <v>0</v>
      </c>
      <c r="H162" s="312"/>
    </row>
    <row r="163" spans="1:11" ht="16.5" thickBot="1" x14ac:dyDescent="0.3">
      <c r="A163" s="144" t="s">
        <v>163</v>
      </c>
      <c r="B163" s="145"/>
      <c r="C163" s="146">
        <f t="shared" ref="C163:F163" si="60">SUM(C164:C165)</f>
        <v>53800</v>
      </c>
      <c r="D163" s="146">
        <f t="shared" si="60"/>
        <v>53800</v>
      </c>
      <c r="E163" s="146">
        <f t="shared" ref="E163" si="61">SUM(E164:E165)</f>
        <v>53800</v>
      </c>
      <c r="F163" s="146">
        <f t="shared" si="60"/>
        <v>197</v>
      </c>
      <c r="G163" s="313">
        <f t="shared" si="59"/>
        <v>3.6617100371747211E-3</v>
      </c>
      <c r="H163" s="157"/>
    </row>
    <row r="164" spans="1:11" x14ac:dyDescent="0.25">
      <c r="A164" s="152">
        <v>821</v>
      </c>
      <c r="B164" s="153" t="s">
        <v>164</v>
      </c>
      <c r="C164" s="154">
        <v>53000</v>
      </c>
      <c r="D164" s="154">
        <v>53000</v>
      </c>
      <c r="E164" s="154">
        <v>53000</v>
      </c>
      <c r="F164" s="154">
        <v>0</v>
      </c>
      <c r="G164" s="313">
        <f t="shared" si="59"/>
        <v>0</v>
      </c>
      <c r="H164" s="138"/>
    </row>
    <row r="165" spans="1:11" ht="15.75" thickBot="1" x14ac:dyDescent="0.3">
      <c r="A165" s="27">
        <v>821</v>
      </c>
      <c r="B165" s="155" t="s">
        <v>165</v>
      </c>
      <c r="C165" s="71">
        <v>800</v>
      </c>
      <c r="D165" s="71">
        <v>800</v>
      </c>
      <c r="E165" s="71">
        <v>800</v>
      </c>
      <c r="F165" s="71">
        <v>197</v>
      </c>
      <c r="G165" s="313">
        <f t="shared" si="59"/>
        <v>0.24625</v>
      </c>
    </row>
    <row r="166" spans="1:11" x14ac:dyDescent="0.25">
      <c r="A166" s="141"/>
      <c r="B166" s="156"/>
      <c r="C166" s="157"/>
      <c r="D166" s="157"/>
      <c r="E166" s="157"/>
      <c r="F166" s="157"/>
    </row>
    <row r="167" spans="1:11" x14ac:dyDescent="0.25">
      <c r="A167" s="141"/>
      <c r="B167" s="156"/>
      <c r="C167" s="157"/>
      <c r="D167" s="157"/>
      <c r="E167" s="157"/>
      <c r="F167" s="157"/>
    </row>
    <row r="168" spans="1:11" ht="16.5" thickBot="1" x14ac:dyDescent="0.3">
      <c r="A168" s="58"/>
      <c r="B168" s="138"/>
      <c r="C168" s="138"/>
      <c r="D168" s="138"/>
      <c r="E168" s="138"/>
      <c r="F168" s="138"/>
      <c r="I168" s="172"/>
    </row>
    <row r="169" spans="1:11" ht="18.75" thickBot="1" x14ac:dyDescent="0.3">
      <c r="A169" s="1018" t="s">
        <v>166</v>
      </c>
      <c r="B169" s="1019"/>
      <c r="C169" s="1019"/>
      <c r="D169" s="1019"/>
      <c r="E169" s="1019"/>
      <c r="F169" s="1020"/>
    </row>
    <row r="170" spans="1:11" x14ac:dyDescent="0.25">
      <c r="A170" s="992" t="s">
        <v>1</v>
      </c>
      <c r="B170" s="993"/>
      <c r="C170" s="996">
        <v>2017</v>
      </c>
      <c r="D170" s="996" t="s">
        <v>235</v>
      </c>
      <c r="E170" s="996" t="s">
        <v>279</v>
      </c>
      <c r="F170" s="996" t="s">
        <v>304</v>
      </c>
    </row>
    <row r="171" spans="1:11" ht="15.75" thickBot="1" x14ac:dyDescent="0.3">
      <c r="A171" s="994"/>
      <c r="B171" s="995"/>
      <c r="C171" s="997"/>
      <c r="D171" s="997"/>
      <c r="E171" s="997"/>
      <c r="F171" s="997"/>
    </row>
    <row r="172" spans="1:11" ht="15.75" x14ac:dyDescent="0.25">
      <c r="A172" s="158" t="s">
        <v>167</v>
      </c>
      <c r="B172" s="16"/>
      <c r="C172" s="159">
        <f>C59</f>
        <v>1761540</v>
      </c>
      <c r="D172" s="159">
        <f>D59</f>
        <v>1786123</v>
      </c>
      <c r="E172" s="159">
        <f>E59</f>
        <v>1791123</v>
      </c>
      <c r="F172" s="159">
        <f>F59</f>
        <v>493064</v>
      </c>
    </row>
    <row r="173" spans="1:11" ht="15.75" x14ac:dyDescent="0.25">
      <c r="A173" s="160" t="s">
        <v>168</v>
      </c>
      <c r="B173" s="10"/>
      <c r="C173" s="161">
        <f>C118</f>
        <v>1609140</v>
      </c>
      <c r="D173" s="161">
        <f>D118</f>
        <v>1633723</v>
      </c>
      <c r="E173" s="161">
        <f>E118</f>
        <v>1638723</v>
      </c>
      <c r="F173" s="161">
        <f>F118</f>
        <v>343904</v>
      </c>
    </row>
    <row r="174" spans="1:11" ht="15.75" x14ac:dyDescent="0.25">
      <c r="A174" s="1014" t="s">
        <v>169</v>
      </c>
      <c r="B174" s="1015"/>
      <c r="C174" s="162">
        <f t="shared" ref="C174:F174" si="62">C172-C173</f>
        <v>152400</v>
      </c>
      <c r="D174" s="162">
        <f t="shared" si="62"/>
        <v>152400</v>
      </c>
      <c r="E174" s="162">
        <f t="shared" ref="E174" si="63">E172-E173</f>
        <v>152400</v>
      </c>
      <c r="F174" s="162">
        <f t="shared" si="62"/>
        <v>149160</v>
      </c>
    </row>
    <row r="175" spans="1:11" ht="15.75" x14ac:dyDescent="0.25">
      <c r="A175" s="160" t="s">
        <v>170</v>
      </c>
      <c r="B175" s="10"/>
      <c r="C175" s="161">
        <f>C124</f>
        <v>1669100</v>
      </c>
      <c r="D175" s="161">
        <f>D124</f>
        <v>1653200</v>
      </c>
      <c r="E175" s="161">
        <f>E124</f>
        <v>1748000</v>
      </c>
      <c r="F175" s="161">
        <f>F124</f>
        <v>3</v>
      </c>
    </row>
    <row r="176" spans="1:11" ht="15.75" x14ac:dyDescent="0.25">
      <c r="A176" s="160" t="s">
        <v>171</v>
      </c>
      <c r="B176" s="10"/>
      <c r="C176" s="11">
        <f>C133</f>
        <v>2481900</v>
      </c>
      <c r="D176" s="11">
        <f>D133</f>
        <v>2481900</v>
      </c>
      <c r="E176" s="11">
        <f>E133</f>
        <v>2595700</v>
      </c>
      <c r="F176" s="11">
        <f>F133</f>
        <v>3434</v>
      </c>
      <c r="K176" s="172"/>
    </row>
    <row r="177" spans="1:10" ht="15.75" x14ac:dyDescent="0.25">
      <c r="A177" s="1014" t="s">
        <v>172</v>
      </c>
      <c r="B177" s="1015"/>
      <c r="C177" s="162">
        <f t="shared" ref="C177:F177" si="64">C175-C176</f>
        <v>-812800</v>
      </c>
      <c r="D177" s="162">
        <f t="shared" si="64"/>
        <v>-828700</v>
      </c>
      <c r="E177" s="162">
        <f t="shared" ref="E177" si="65">E175-E176</f>
        <v>-847700</v>
      </c>
      <c r="F177" s="162">
        <f t="shared" si="64"/>
        <v>-3431</v>
      </c>
    </row>
    <row r="178" spans="1:10" ht="15.75" x14ac:dyDescent="0.25">
      <c r="A178" s="163" t="s">
        <v>173</v>
      </c>
      <c r="B178" s="164"/>
      <c r="C178" s="165">
        <f>C159</f>
        <v>714200</v>
      </c>
      <c r="D178" s="165">
        <f>D159</f>
        <v>730100</v>
      </c>
      <c r="E178" s="165">
        <f>E159</f>
        <v>749100</v>
      </c>
      <c r="F178" s="165">
        <f>F159</f>
        <v>39</v>
      </c>
      <c r="G178" s="208"/>
      <c r="J178" s="172"/>
    </row>
    <row r="179" spans="1:10" ht="15.75" x14ac:dyDescent="0.25">
      <c r="A179" s="163" t="s">
        <v>174</v>
      </c>
      <c r="B179" s="164"/>
      <c r="C179" s="165">
        <f>C163</f>
        <v>53800</v>
      </c>
      <c r="D179" s="165">
        <f>D163</f>
        <v>53800</v>
      </c>
      <c r="E179" s="165">
        <f>E163</f>
        <v>53800</v>
      </c>
      <c r="F179" s="165">
        <f>F163</f>
        <v>197</v>
      </c>
    </row>
    <row r="180" spans="1:10" ht="16.5" thickBot="1" x14ac:dyDescent="0.3">
      <c r="A180" s="1016" t="s">
        <v>175</v>
      </c>
      <c r="B180" s="1017"/>
      <c r="C180" s="166">
        <f t="shared" ref="C180:F180" si="66">C178-C179</f>
        <v>660400</v>
      </c>
      <c r="D180" s="166">
        <f t="shared" si="66"/>
        <v>676300</v>
      </c>
      <c r="E180" s="166">
        <f t="shared" ref="E180" si="67">E178-E179</f>
        <v>695300</v>
      </c>
      <c r="F180" s="166">
        <f t="shared" si="66"/>
        <v>-158</v>
      </c>
    </row>
    <row r="181" spans="1:10" ht="16.5" thickBot="1" x14ac:dyDescent="0.3">
      <c r="A181" s="167" t="s">
        <v>176</v>
      </c>
      <c r="B181" s="168"/>
      <c r="C181" s="169">
        <f t="shared" ref="C181:F181" si="68">C174+C177+C180</f>
        <v>0</v>
      </c>
      <c r="D181" s="169">
        <f t="shared" si="68"/>
        <v>0</v>
      </c>
      <c r="E181" s="169">
        <f t="shared" ref="E181" si="69">E174+E177+E180</f>
        <v>0</v>
      </c>
      <c r="F181" s="169">
        <f t="shared" si="68"/>
        <v>145571</v>
      </c>
    </row>
    <row r="183" spans="1:10" x14ac:dyDescent="0.25">
      <c r="B183" s="170" t="s">
        <v>177</v>
      </c>
      <c r="C183" s="171">
        <f t="shared" ref="C183:F184" si="70">C172+C175+C178</f>
        <v>4144840</v>
      </c>
      <c r="D183" s="171">
        <f t="shared" si="70"/>
        <v>4169423</v>
      </c>
      <c r="E183" s="171">
        <f t="shared" ref="E183" si="71">E172+E175+E178</f>
        <v>4288223</v>
      </c>
      <c r="F183" s="171">
        <f t="shared" si="70"/>
        <v>493106</v>
      </c>
      <c r="H183" s="171">
        <f>E183-D183</f>
        <v>118800</v>
      </c>
    </row>
    <row r="184" spans="1:10" x14ac:dyDescent="0.25">
      <c r="B184" s="170" t="s">
        <v>178</v>
      </c>
      <c r="C184" s="171">
        <f t="shared" si="70"/>
        <v>4144840</v>
      </c>
      <c r="D184" s="171">
        <f t="shared" si="70"/>
        <v>4169423</v>
      </c>
      <c r="E184" s="171">
        <f t="shared" ref="E184" si="72">E173+E176+E179</f>
        <v>4288223</v>
      </c>
      <c r="F184" s="171">
        <f t="shared" si="70"/>
        <v>347535</v>
      </c>
      <c r="H184" s="171">
        <f t="shared" ref="H184:H187" si="73">E184-D184</f>
        <v>118800</v>
      </c>
    </row>
    <row r="185" spans="1:10" x14ac:dyDescent="0.25">
      <c r="B185" s="170"/>
      <c r="C185" s="171"/>
      <c r="D185" s="171"/>
      <c r="E185" s="171"/>
      <c r="F185" s="171"/>
      <c r="H185" s="171"/>
    </row>
    <row r="186" spans="1:10" x14ac:dyDescent="0.25">
      <c r="B186" s="170" t="s">
        <v>179</v>
      </c>
      <c r="C186" s="171">
        <f>C183-C58</f>
        <v>4141840</v>
      </c>
      <c r="D186" s="171">
        <f>D183-D58</f>
        <v>4166073</v>
      </c>
      <c r="E186" s="171">
        <f>E183-E58</f>
        <v>4284873</v>
      </c>
      <c r="F186" s="171">
        <f>F183-F58</f>
        <v>492761</v>
      </c>
      <c r="G186" s="172"/>
      <c r="H186" s="171">
        <f t="shared" si="73"/>
        <v>118800</v>
      </c>
    </row>
    <row r="187" spans="1:10" x14ac:dyDescent="0.25">
      <c r="B187" s="170" t="s">
        <v>180</v>
      </c>
      <c r="C187" s="171">
        <f>C184-C117</f>
        <v>3716400</v>
      </c>
      <c r="D187" s="171">
        <f>D184-D117</f>
        <v>3718596</v>
      </c>
      <c r="E187" s="171">
        <f>E184-E117</f>
        <v>3837396</v>
      </c>
      <c r="F187" s="171">
        <f>F184-F117</f>
        <v>221596</v>
      </c>
      <c r="H187" s="171">
        <f t="shared" si="73"/>
        <v>118800</v>
      </c>
    </row>
    <row r="188" spans="1:10" x14ac:dyDescent="0.25">
      <c r="B188" s="170"/>
      <c r="C188" s="171"/>
      <c r="D188" s="171"/>
      <c r="E188" s="171"/>
      <c r="F188" s="171"/>
      <c r="H188" s="171"/>
    </row>
    <row r="190" spans="1:10" x14ac:dyDescent="0.25">
      <c r="B190" t="s">
        <v>181</v>
      </c>
    </row>
    <row r="192" spans="1:10" x14ac:dyDescent="0.25">
      <c r="B192" s="172" t="s">
        <v>274</v>
      </c>
      <c r="C192" s="172"/>
      <c r="D192" s="172"/>
      <c r="E192" s="172"/>
      <c r="F192" s="172"/>
    </row>
    <row r="193" spans="2:2" x14ac:dyDescent="0.25">
      <c r="B193" s="172" t="s">
        <v>275</v>
      </c>
    </row>
    <row r="194" spans="2:2" x14ac:dyDescent="0.25">
      <c r="B194" s="172" t="s">
        <v>299</v>
      </c>
    </row>
    <row r="195" spans="2:2" x14ac:dyDescent="0.25">
      <c r="B195" s="172"/>
    </row>
    <row r="196" spans="2:2" x14ac:dyDescent="0.25">
      <c r="B196" s="261" t="s">
        <v>303</v>
      </c>
    </row>
  </sheetData>
  <mergeCells count="38">
    <mergeCell ref="A174:B174"/>
    <mergeCell ref="A177:B177"/>
    <mergeCell ref="A180:B180"/>
    <mergeCell ref="A169:F169"/>
    <mergeCell ref="A170:B171"/>
    <mergeCell ref="C170:C171"/>
    <mergeCell ref="D170:D171"/>
    <mergeCell ref="F170:F171"/>
    <mergeCell ref="E170:E171"/>
    <mergeCell ref="F122:F123"/>
    <mergeCell ref="A124:B124"/>
    <mergeCell ref="A133:B133"/>
    <mergeCell ref="A156:F156"/>
    <mergeCell ref="A157:B158"/>
    <mergeCell ref="C157:C158"/>
    <mergeCell ref="D157:D158"/>
    <mergeCell ref="F157:F158"/>
    <mergeCell ref="A1:F1"/>
    <mergeCell ref="A2:B3"/>
    <mergeCell ref="C2:C3"/>
    <mergeCell ref="D2:D3"/>
    <mergeCell ref="F2:F3"/>
    <mergeCell ref="A4:B4"/>
    <mergeCell ref="E2:E3"/>
    <mergeCell ref="E63:E64"/>
    <mergeCell ref="E122:E123"/>
    <mergeCell ref="E157:E158"/>
    <mergeCell ref="A12:B12"/>
    <mergeCell ref="A62:F62"/>
    <mergeCell ref="A63:B64"/>
    <mergeCell ref="C63:C64"/>
    <mergeCell ref="D63:D64"/>
    <mergeCell ref="F63:F64"/>
    <mergeCell ref="A81:B81"/>
    <mergeCell ref="A121:F121"/>
    <mergeCell ref="A122:B123"/>
    <mergeCell ref="C122:C123"/>
    <mergeCell ref="D122:D123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&amp;C&amp;"-,Tučné"&amp;12Rozpočet obce Heľpa na rok 2017
2. zmena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89"/>
  <sheetViews>
    <sheetView zoomScale="106" zoomScaleNormal="106" workbookViewId="0">
      <selection sqref="A1:E1"/>
    </sheetView>
  </sheetViews>
  <sheetFormatPr defaultRowHeight="15" x14ac:dyDescent="0.25"/>
  <cols>
    <col min="2" max="2" width="60.5703125" customWidth="1"/>
    <col min="3" max="3" width="12.85546875" customWidth="1"/>
    <col min="4" max="4" width="12.7109375" customWidth="1"/>
    <col min="5" max="5" width="12" customWidth="1"/>
    <col min="6" max="6" width="9.7109375" bestFit="1" customWidth="1"/>
    <col min="10" max="10" width="12.140625" bestFit="1" customWidth="1"/>
  </cols>
  <sheetData>
    <row r="1" spans="1:5" ht="23.25" customHeight="1" thickBot="1" x14ac:dyDescent="0.3">
      <c r="A1" s="1027" t="s">
        <v>0</v>
      </c>
      <c r="B1" s="1028"/>
      <c r="C1" s="1028"/>
      <c r="D1" s="1028"/>
      <c r="E1" s="1029"/>
    </row>
    <row r="2" spans="1:5" ht="15" customHeight="1" x14ac:dyDescent="0.25">
      <c r="A2" s="992" t="s">
        <v>1</v>
      </c>
      <c r="B2" s="993"/>
      <c r="C2" s="996">
        <v>2017</v>
      </c>
      <c r="D2" s="996" t="s">
        <v>235</v>
      </c>
      <c r="E2" s="996" t="s">
        <v>273</v>
      </c>
    </row>
    <row r="3" spans="1:5" ht="15.75" thickBot="1" x14ac:dyDescent="0.3">
      <c r="A3" s="994"/>
      <c r="B3" s="995"/>
      <c r="C3" s="997"/>
      <c r="D3" s="997"/>
      <c r="E3" s="997"/>
    </row>
    <row r="4" spans="1:5" ht="15.75" thickBot="1" x14ac:dyDescent="0.3">
      <c r="A4" s="1000" t="s">
        <v>2</v>
      </c>
      <c r="B4" s="1001"/>
      <c r="C4" s="1">
        <f t="shared" ref="C4:E4" si="0">SUM(C5:C11)</f>
        <v>1009400</v>
      </c>
      <c r="D4" s="1">
        <f t="shared" ref="D4" si="1">SUM(D5:D11)</f>
        <v>1009400</v>
      </c>
      <c r="E4" s="1">
        <f t="shared" si="0"/>
        <v>114188</v>
      </c>
    </row>
    <row r="5" spans="1:5" ht="15.75" thickBot="1" x14ac:dyDescent="0.3">
      <c r="A5" s="2">
        <v>111</v>
      </c>
      <c r="B5" s="3" t="s">
        <v>3</v>
      </c>
      <c r="C5" s="4">
        <v>950000</v>
      </c>
      <c r="D5" s="4">
        <v>950000</v>
      </c>
      <c r="E5" s="4">
        <v>104032</v>
      </c>
    </row>
    <row r="6" spans="1:5" ht="15.75" thickBot="1" x14ac:dyDescent="0.3">
      <c r="A6" s="5">
        <v>121</v>
      </c>
      <c r="B6" s="6" t="s">
        <v>4</v>
      </c>
      <c r="C6" s="173">
        <v>32000</v>
      </c>
      <c r="D6" s="173">
        <v>32000</v>
      </c>
      <c r="E6" s="173">
        <v>4713</v>
      </c>
    </row>
    <row r="7" spans="1:5" x14ac:dyDescent="0.25">
      <c r="A7" s="7">
        <v>133</v>
      </c>
      <c r="B7" s="8" t="s">
        <v>5</v>
      </c>
      <c r="C7" s="18">
        <v>1000</v>
      </c>
      <c r="D7" s="18">
        <v>1000</v>
      </c>
      <c r="E7" s="18">
        <v>318</v>
      </c>
    </row>
    <row r="8" spans="1:5" x14ac:dyDescent="0.25">
      <c r="A8" s="9">
        <v>133</v>
      </c>
      <c r="B8" s="10" t="s">
        <v>6</v>
      </c>
      <c r="C8" s="19">
        <v>400</v>
      </c>
      <c r="D8" s="19">
        <v>400</v>
      </c>
      <c r="E8" s="19">
        <v>0</v>
      </c>
    </row>
    <row r="9" spans="1:5" x14ac:dyDescent="0.25">
      <c r="A9" s="9">
        <v>133</v>
      </c>
      <c r="B9" s="10" t="s">
        <v>7</v>
      </c>
      <c r="C9" s="19">
        <v>2000</v>
      </c>
      <c r="D9" s="19">
        <v>2000</v>
      </c>
      <c r="E9" s="19">
        <v>28</v>
      </c>
    </row>
    <row r="10" spans="1:5" x14ac:dyDescent="0.25">
      <c r="A10" s="9">
        <v>133</v>
      </c>
      <c r="B10" s="10" t="s">
        <v>8</v>
      </c>
      <c r="C10" s="19">
        <v>5000</v>
      </c>
      <c r="D10" s="19">
        <v>5000</v>
      </c>
      <c r="E10" s="19">
        <v>60</v>
      </c>
    </row>
    <row r="11" spans="1:5" ht="15.75" thickBot="1" x14ac:dyDescent="0.3">
      <c r="A11" s="12">
        <v>133</v>
      </c>
      <c r="B11" s="13" t="s">
        <v>9</v>
      </c>
      <c r="C11" s="14">
        <v>19000</v>
      </c>
      <c r="D11" s="14">
        <v>19000</v>
      </c>
      <c r="E11" s="14">
        <v>5037</v>
      </c>
    </row>
    <row r="12" spans="1:5" ht="15.75" thickBot="1" x14ac:dyDescent="0.3">
      <c r="A12" s="1000" t="s">
        <v>10</v>
      </c>
      <c r="B12" s="1001"/>
      <c r="C12" s="1">
        <f t="shared" ref="C12:E12" si="2">SUM(C13:C30)</f>
        <v>159850</v>
      </c>
      <c r="D12" s="1">
        <f t="shared" ref="D12" si="3">SUM(D13:D30)</f>
        <v>159882</v>
      </c>
      <c r="E12" s="1">
        <f t="shared" si="2"/>
        <v>6977</v>
      </c>
    </row>
    <row r="13" spans="1:5" x14ac:dyDescent="0.25">
      <c r="A13" s="15">
        <v>212</v>
      </c>
      <c r="B13" s="16" t="s">
        <v>11</v>
      </c>
      <c r="C13" s="17">
        <v>2282</v>
      </c>
      <c r="D13" s="17">
        <v>2282</v>
      </c>
      <c r="E13" s="17">
        <v>188</v>
      </c>
    </row>
    <row r="14" spans="1:5" x14ac:dyDescent="0.25">
      <c r="A14" s="7">
        <v>212</v>
      </c>
      <c r="B14" s="8" t="s">
        <v>12</v>
      </c>
      <c r="C14" s="18">
        <v>500</v>
      </c>
      <c r="D14" s="18">
        <v>500</v>
      </c>
      <c r="E14" s="18">
        <v>66</v>
      </c>
    </row>
    <row r="15" spans="1:5" x14ac:dyDescent="0.25">
      <c r="A15" s="9">
        <v>212</v>
      </c>
      <c r="B15" s="10" t="s">
        <v>13</v>
      </c>
      <c r="C15" s="19">
        <v>3943</v>
      </c>
      <c r="D15" s="295">
        <f>3943+32</f>
        <v>3975</v>
      </c>
      <c r="E15" s="19">
        <v>288</v>
      </c>
    </row>
    <row r="16" spans="1:5" x14ac:dyDescent="0.25">
      <c r="A16" s="9">
        <v>212</v>
      </c>
      <c r="B16" s="10" t="s">
        <v>14</v>
      </c>
      <c r="C16" s="20">
        <v>15075</v>
      </c>
      <c r="D16" s="20">
        <f>15075</f>
        <v>15075</v>
      </c>
      <c r="E16" s="20">
        <v>988</v>
      </c>
    </row>
    <row r="17" spans="1:9" ht="15.75" thickBot="1" x14ac:dyDescent="0.3">
      <c r="A17" s="21">
        <v>212</v>
      </c>
      <c r="B17" s="22" t="s">
        <v>15</v>
      </c>
      <c r="C17" s="23">
        <v>200</v>
      </c>
      <c r="D17" s="23">
        <v>200</v>
      </c>
      <c r="E17" s="23">
        <v>0</v>
      </c>
      <c r="F17" s="171">
        <f>SUM(D13:D17)</f>
        <v>22032</v>
      </c>
      <c r="G17" s="171">
        <f>SUM(E13:E17)</f>
        <v>1530</v>
      </c>
      <c r="H17" s="171"/>
      <c r="I17" s="171"/>
    </row>
    <row r="18" spans="1:9" ht="15.75" thickBot="1" x14ac:dyDescent="0.3">
      <c r="A18" s="5">
        <v>221</v>
      </c>
      <c r="B18" s="6" t="s">
        <v>16</v>
      </c>
      <c r="C18" s="24">
        <v>11000</v>
      </c>
      <c r="D18" s="24">
        <v>11000</v>
      </c>
      <c r="E18" s="24">
        <v>135</v>
      </c>
    </row>
    <row r="19" spans="1:9" ht="15.75" thickBot="1" x14ac:dyDescent="0.3">
      <c r="A19" s="21">
        <v>222</v>
      </c>
      <c r="B19" s="22" t="s">
        <v>17</v>
      </c>
      <c r="C19" s="23">
        <v>0</v>
      </c>
      <c r="D19" s="23">
        <v>0</v>
      </c>
      <c r="E19" s="23">
        <v>0</v>
      </c>
    </row>
    <row r="20" spans="1:9" x14ac:dyDescent="0.25">
      <c r="A20" s="7">
        <v>223</v>
      </c>
      <c r="B20" s="8" t="s">
        <v>18</v>
      </c>
      <c r="C20" s="18">
        <v>900</v>
      </c>
      <c r="D20" s="18">
        <v>900</v>
      </c>
      <c r="E20" s="18">
        <v>24</v>
      </c>
    </row>
    <row r="21" spans="1:9" x14ac:dyDescent="0.25">
      <c r="A21" s="9">
        <v>223</v>
      </c>
      <c r="B21" s="10" t="s">
        <v>19</v>
      </c>
      <c r="C21" s="19">
        <v>18000</v>
      </c>
      <c r="D21" s="19">
        <v>18000</v>
      </c>
      <c r="E21" s="19">
        <v>1266</v>
      </c>
    </row>
    <row r="22" spans="1:9" x14ac:dyDescent="0.25">
      <c r="A22" s="9">
        <v>223</v>
      </c>
      <c r="B22" s="10" t="s">
        <v>20</v>
      </c>
      <c r="C22" s="19">
        <v>30000</v>
      </c>
      <c r="D22" s="19">
        <v>30000</v>
      </c>
      <c r="E22" s="19">
        <v>0</v>
      </c>
    </row>
    <row r="23" spans="1:9" x14ac:dyDescent="0.25">
      <c r="A23" s="9">
        <v>223</v>
      </c>
      <c r="B23" s="10" t="s">
        <v>21</v>
      </c>
      <c r="C23" s="19">
        <v>1000</v>
      </c>
      <c r="D23" s="19">
        <v>1000</v>
      </c>
      <c r="E23" s="19">
        <v>0</v>
      </c>
    </row>
    <row r="24" spans="1:9" x14ac:dyDescent="0.25">
      <c r="A24" s="9">
        <v>223</v>
      </c>
      <c r="B24" s="10" t="s">
        <v>22</v>
      </c>
      <c r="C24" s="19">
        <v>700</v>
      </c>
      <c r="D24" s="19">
        <v>700</v>
      </c>
      <c r="E24" s="19">
        <v>66</v>
      </c>
    </row>
    <row r="25" spans="1:9" x14ac:dyDescent="0.25">
      <c r="A25" s="9">
        <v>223</v>
      </c>
      <c r="B25" s="10" t="s">
        <v>23</v>
      </c>
      <c r="C25" s="19">
        <v>24000</v>
      </c>
      <c r="D25" s="19">
        <v>24000</v>
      </c>
      <c r="E25" s="19">
        <v>1370</v>
      </c>
    </row>
    <row r="26" spans="1:9" x14ac:dyDescent="0.25">
      <c r="A26" s="9">
        <v>223</v>
      </c>
      <c r="B26" s="10" t="s">
        <v>24</v>
      </c>
      <c r="C26" s="19">
        <v>21650</v>
      </c>
      <c r="D26" s="19">
        <v>21650</v>
      </c>
      <c r="E26" s="19">
        <v>1180</v>
      </c>
    </row>
    <row r="27" spans="1:9" x14ac:dyDescent="0.25">
      <c r="A27" s="9">
        <v>223</v>
      </c>
      <c r="B27" s="10" t="s">
        <v>25</v>
      </c>
      <c r="C27" s="19">
        <v>18000</v>
      </c>
      <c r="D27" s="19">
        <v>18000</v>
      </c>
      <c r="E27" s="19">
        <v>997</v>
      </c>
    </row>
    <row r="28" spans="1:9" x14ac:dyDescent="0.25">
      <c r="A28" s="9">
        <v>223</v>
      </c>
      <c r="B28" s="10" t="s">
        <v>26</v>
      </c>
      <c r="C28" s="25">
        <v>10000</v>
      </c>
      <c r="D28" s="25">
        <v>10000</v>
      </c>
      <c r="E28" s="25">
        <v>265</v>
      </c>
    </row>
    <row r="29" spans="1:9" x14ac:dyDescent="0.25">
      <c r="A29" s="9">
        <v>223</v>
      </c>
      <c r="B29" s="10" t="s">
        <v>27</v>
      </c>
      <c r="C29" s="19">
        <v>2500</v>
      </c>
      <c r="D29" s="19">
        <v>2500</v>
      </c>
      <c r="E29" s="19">
        <v>144</v>
      </c>
    </row>
    <row r="30" spans="1:9" ht="15.75" thickBot="1" x14ac:dyDescent="0.3">
      <c r="A30" s="12">
        <v>223</v>
      </c>
      <c r="B30" s="13" t="s">
        <v>28</v>
      </c>
      <c r="C30" s="26">
        <v>100</v>
      </c>
      <c r="D30" s="26">
        <v>100</v>
      </c>
      <c r="E30" s="26">
        <v>0</v>
      </c>
      <c r="F30" s="171">
        <f>SUM(D18:D30)</f>
        <v>137850</v>
      </c>
      <c r="G30" s="171">
        <f>SUM(E18:E30)</f>
        <v>5447</v>
      </c>
      <c r="H30" s="171"/>
      <c r="I30" s="171"/>
    </row>
    <row r="31" spans="1:9" ht="15.75" thickBot="1" x14ac:dyDescent="0.3">
      <c r="A31" s="264" t="s">
        <v>29</v>
      </c>
      <c r="B31" s="265"/>
      <c r="C31" s="1">
        <f t="shared" ref="C31:E31" si="4">SUM(C32)</f>
        <v>600</v>
      </c>
      <c r="D31" s="1">
        <f t="shared" si="4"/>
        <v>600</v>
      </c>
      <c r="E31" s="1">
        <f t="shared" si="4"/>
        <v>11</v>
      </c>
    </row>
    <row r="32" spans="1:9" ht="15.75" thickBot="1" x14ac:dyDescent="0.3">
      <c r="A32" s="27">
        <v>240</v>
      </c>
      <c r="B32" s="28" t="s">
        <v>30</v>
      </c>
      <c r="C32" s="23">
        <v>600</v>
      </c>
      <c r="D32" s="23">
        <v>600</v>
      </c>
      <c r="E32" s="23">
        <v>11</v>
      </c>
    </row>
    <row r="33" spans="1:6" ht="15.75" thickBot="1" x14ac:dyDescent="0.3">
      <c r="A33" s="264" t="s">
        <v>31</v>
      </c>
      <c r="B33" s="265"/>
      <c r="C33" s="1">
        <f>SUM(C34:C40)</f>
        <v>39730</v>
      </c>
      <c r="D33" s="1">
        <f>SUM(D34:D40)</f>
        <v>41710</v>
      </c>
      <c r="E33" s="1">
        <f>SUM(E34:E40)</f>
        <v>3571</v>
      </c>
    </row>
    <row r="34" spans="1:6" x14ac:dyDescent="0.25">
      <c r="A34" s="29">
        <v>292</v>
      </c>
      <c r="B34" s="30" t="s">
        <v>32</v>
      </c>
      <c r="C34" s="31">
        <v>200</v>
      </c>
      <c r="D34" s="31">
        <v>200</v>
      </c>
      <c r="E34" s="31">
        <v>0</v>
      </c>
    </row>
    <row r="35" spans="1:6" x14ac:dyDescent="0.25">
      <c r="A35" s="29">
        <v>292</v>
      </c>
      <c r="B35" s="30" t="s">
        <v>33</v>
      </c>
      <c r="C35" s="31">
        <v>300</v>
      </c>
      <c r="D35" s="31">
        <v>300</v>
      </c>
      <c r="E35" s="31">
        <v>24</v>
      </c>
    </row>
    <row r="36" spans="1:6" x14ac:dyDescent="0.25">
      <c r="A36" s="32">
        <v>292</v>
      </c>
      <c r="B36" s="33" t="s">
        <v>276</v>
      </c>
      <c r="C36" s="34">
        <v>0</v>
      </c>
      <c r="D36" s="293">
        <v>2000</v>
      </c>
      <c r="E36" s="34">
        <v>1998</v>
      </c>
    </row>
    <row r="37" spans="1:6" x14ac:dyDescent="0.25">
      <c r="A37" s="32">
        <v>292</v>
      </c>
      <c r="B37" s="33" t="s">
        <v>277</v>
      </c>
      <c r="C37" s="34">
        <v>15000</v>
      </c>
      <c r="D37" s="34">
        <v>15000</v>
      </c>
      <c r="E37" s="34">
        <v>0</v>
      </c>
    </row>
    <row r="38" spans="1:6" x14ac:dyDescent="0.25">
      <c r="A38" s="32">
        <v>292</v>
      </c>
      <c r="B38" s="10" t="s">
        <v>35</v>
      </c>
      <c r="C38" s="35">
        <v>230</v>
      </c>
      <c r="D38" s="294">
        <f>230-20</f>
        <v>210</v>
      </c>
      <c r="E38" s="35">
        <v>0</v>
      </c>
    </row>
    <row r="39" spans="1:6" x14ac:dyDescent="0.25">
      <c r="A39" s="32">
        <v>292</v>
      </c>
      <c r="B39" s="33" t="s">
        <v>36</v>
      </c>
      <c r="C39" s="34">
        <v>21000</v>
      </c>
      <c r="D39" s="34">
        <v>21000</v>
      </c>
      <c r="E39" s="34">
        <v>1545</v>
      </c>
    </row>
    <row r="40" spans="1:6" ht="15.75" thickBot="1" x14ac:dyDescent="0.3">
      <c r="A40" s="32">
        <v>292</v>
      </c>
      <c r="B40" s="33" t="s">
        <v>37</v>
      </c>
      <c r="C40" s="34">
        <v>3000</v>
      </c>
      <c r="D40" s="34">
        <v>3000</v>
      </c>
      <c r="E40" s="34">
        <v>4</v>
      </c>
      <c r="F40" s="171"/>
    </row>
    <row r="41" spans="1:6" ht="15.75" thickBot="1" x14ac:dyDescent="0.3">
      <c r="A41" s="36" t="s">
        <v>38</v>
      </c>
      <c r="B41" s="37"/>
      <c r="C41" s="1">
        <f>SUM(C42:C56)</f>
        <v>548960</v>
      </c>
      <c r="D41" s="1">
        <f>SUM(D42:D56)</f>
        <v>571181</v>
      </c>
      <c r="E41" s="1">
        <f>SUM(E42:E56)</f>
        <v>43995</v>
      </c>
    </row>
    <row r="42" spans="1:6" x14ac:dyDescent="0.25">
      <c r="A42" s="38">
        <v>312</v>
      </c>
      <c r="B42" s="39" t="s">
        <v>39</v>
      </c>
      <c r="C42" s="40">
        <v>3500</v>
      </c>
      <c r="D42" s="40">
        <v>3500</v>
      </c>
      <c r="E42" s="40">
        <v>0</v>
      </c>
    </row>
    <row r="43" spans="1:6" x14ac:dyDescent="0.25">
      <c r="A43" s="41">
        <v>312</v>
      </c>
      <c r="B43" s="10" t="s">
        <v>40</v>
      </c>
      <c r="C43" s="18">
        <v>7200</v>
      </c>
      <c r="D43" s="18">
        <v>7200</v>
      </c>
      <c r="E43" s="18">
        <v>1426</v>
      </c>
    </row>
    <row r="44" spans="1:6" x14ac:dyDescent="0.25">
      <c r="A44" s="41">
        <v>312</v>
      </c>
      <c r="B44" s="10" t="s">
        <v>41</v>
      </c>
      <c r="C44" s="18">
        <v>3000</v>
      </c>
      <c r="D44" s="18">
        <v>3000</v>
      </c>
      <c r="E44" s="18">
        <v>0</v>
      </c>
    </row>
    <row r="45" spans="1:6" x14ac:dyDescent="0.25">
      <c r="A45" s="41">
        <v>312</v>
      </c>
      <c r="B45" s="42" t="s">
        <v>200</v>
      </c>
      <c r="C45" s="43">
        <v>61000</v>
      </c>
      <c r="D45" s="43">
        <v>61000</v>
      </c>
      <c r="E45" s="43">
        <v>244</v>
      </c>
    </row>
    <row r="46" spans="1:6" x14ac:dyDescent="0.25">
      <c r="A46" s="41">
        <v>312</v>
      </c>
      <c r="B46" s="42" t="s">
        <v>42</v>
      </c>
      <c r="C46" s="18">
        <v>12800</v>
      </c>
      <c r="D46" s="18">
        <v>12800</v>
      </c>
      <c r="E46" s="18">
        <v>0</v>
      </c>
    </row>
    <row r="47" spans="1:6" x14ac:dyDescent="0.25">
      <c r="A47" s="41">
        <v>312</v>
      </c>
      <c r="B47" s="42" t="s">
        <v>43</v>
      </c>
      <c r="C47" s="18">
        <v>21800</v>
      </c>
      <c r="D47" s="18">
        <v>21800</v>
      </c>
      <c r="E47" s="18">
        <v>0</v>
      </c>
    </row>
    <row r="48" spans="1:6" x14ac:dyDescent="0.25">
      <c r="A48" s="41">
        <v>312</v>
      </c>
      <c r="B48" s="42" t="s">
        <v>44</v>
      </c>
      <c r="C48" s="18">
        <v>7700</v>
      </c>
      <c r="D48" s="18">
        <v>7700</v>
      </c>
      <c r="E48" s="18">
        <v>0</v>
      </c>
    </row>
    <row r="49" spans="1:9" x14ac:dyDescent="0.25">
      <c r="A49" s="41">
        <v>312</v>
      </c>
      <c r="B49" s="42" t="s">
        <v>47</v>
      </c>
      <c r="C49" s="18">
        <v>700</v>
      </c>
      <c r="D49" s="18">
        <v>700</v>
      </c>
      <c r="E49" s="18">
        <v>0</v>
      </c>
    </row>
    <row r="50" spans="1:9" x14ac:dyDescent="0.25">
      <c r="A50" s="41">
        <v>312</v>
      </c>
      <c r="B50" s="42" t="s">
        <v>46</v>
      </c>
      <c r="C50" s="18">
        <v>15500</v>
      </c>
      <c r="D50" s="18">
        <v>15500</v>
      </c>
      <c r="E50" s="18">
        <v>0</v>
      </c>
    </row>
    <row r="51" spans="1:9" x14ac:dyDescent="0.25">
      <c r="A51" s="41">
        <v>312</v>
      </c>
      <c r="B51" s="42" t="s">
        <v>45</v>
      </c>
      <c r="C51" s="18"/>
      <c r="D51" s="18"/>
      <c r="E51" s="18"/>
    </row>
    <row r="52" spans="1:9" x14ac:dyDescent="0.25">
      <c r="A52" s="44">
        <v>312</v>
      </c>
      <c r="B52" s="39" t="s">
        <v>48</v>
      </c>
      <c r="C52" s="45"/>
      <c r="D52" s="45"/>
      <c r="E52" s="45"/>
    </row>
    <row r="53" spans="1:9" x14ac:dyDescent="0.25">
      <c r="A53" s="46">
        <v>312</v>
      </c>
      <c r="B53" s="10" t="s">
        <v>49</v>
      </c>
      <c r="C53" s="19">
        <f t="shared" ref="C53" si="5">3900+220</f>
        <v>4120</v>
      </c>
      <c r="D53" s="295">
        <f>3900+220-220</f>
        <v>3900</v>
      </c>
      <c r="E53" s="19">
        <v>0</v>
      </c>
    </row>
    <row r="54" spans="1:9" x14ac:dyDescent="0.25">
      <c r="A54" s="46">
        <v>312</v>
      </c>
      <c r="B54" s="47" t="s">
        <v>50</v>
      </c>
      <c r="C54" s="20">
        <v>3000</v>
      </c>
      <c r="D54" s="20">
        <v>3000</v>
      </c>
      <c r="E54" s="20">
        <v>0</v>
      </c>
    </row>
    <row r="55" spans="1:9" ht="15" customHeight="1" x14ac:dyDescent="0.25">
      <c r="A55" s="46">
        <v>312</v>
      </c>
      <c r="B55" s="48" t="s">
        <v>51</v>
      </c>
      <c r="C55" s="20">
        <v>2200</v>
      </c>
      <c r="D55" s="292">
        <f>2200+404</f>
        <v>2604</v>
      </c>
      <c r="E55" s="20">
        <v>0</v>
      </c>
    </row>
    <row r="56" spans="1:9" ht="15.75" thickBot="1" x14ac:dyDescent="0.3">
      <c r="A56" s="49">
        <v>312</v>
      </c>
      <c r="B56" s="50" t="s">
        <v>52</v>
      </c>
      <c r="C56" s="51">
        <v>406440</v>
      </c>
      <c r="D56" s="51">
        <f>406440+22037</f>
        <v>428477</v>
      </c>
      <c r="E56" s="51">
        <v>42325</v>
      </c>
    </row>
    <row r="57" spans="1:9" ht="19.5" customHeight="1" thickBot="1" x14ac:dyDescent="0.3">
      <c r="A57" s="52" t="s">
        <v>53</v>
      </c>
      <c r="B57" s="53"/>
      <c r="C57" s="54">
        <f>SUM(C4+C12+C31+C33+C41)</f>
        <v>1758540</v>
      </c>
      <c r="D57" s="54">
        <f>SUM(D4+D12+D31+D33+D41)</f>
        <v>1782773</v>
      </c>
      <c r="E57" s="54">
        <f>SUM(E4+E12+E31+E33+E41)</f>
        <v>168742</v>
      </c>
      <c r="F57" s="171"/>
      <c r="G57" s="171"/>
      <c r="H57" s="171"/>
    </row>
    <row r="58" spans="1:9" ht="16.5" thickBot="1" x14ac:dyDescent="0.3">
      <c r="A58" s="55" t="s">
        <v>54</v>
      </c>
      <c r="B58" s="56" t="s">
        <v>55</v>
      </c>
      <c r="C58" s="57">
        <v>3000</v>
      </c>
      <c r="D58" s="57">
        <f>3000+350</f>
        <v>3350</v>
      </c>
      <c r="E58" s="57">
        <v>0</v>
      </c>
    </row>
    <row r="59" spans="1:9" ht="16.5" thickBot="1" x14ac:dyDescent="0.3">
      <c r="A59" s="52" t="s">
        <v>56</v>
      </c>
      <c r="B59" s="37"/>
      <c r="C59" s="54">
        <f t="shared" ref="C59:E59" si="6">SUM(C57:C58)</f>
        <v>1761540</v>
      </c>
      <c r="D59" s="54">
        <f t="shared" ref="D59" si="7">SUM(D57:D58)</f>
        <v>1786123</v>
      </c>
      <c r="E59" s="54">
        <f t="shared" si="6"/>
        <v>168742</v>
      </c>
      <c r="I59" s="60"/>
    </row>
    <row r="60" spans="1:9" ht="22.5" customHeight="1" x14ac:dyDescent="0.25">
      <c r="A60" s="58"/>
      <c r="B60" s="59"/>
      <c r="C60" s="60"/>
      <c r="D60" s="60"/>
      <c r="E60" s="60"/>
      <c r="F60" s="60"/>
      <c r="G60" s="60"/>
      <c r="H60" s="60"/>
      <c r="I60" s="59"/>
    </row>
    <row r="61" spans="1:9" ht="15" customHeight="1" thickBot="1" x14ac:dyDescent="0.3">
      <c r="A61" s="58"/>
      <c r="B61" s="59"/>
      <c r="C61" s="59"/>
      <c r="D61" s="59"/>
      <c r="E61" s="59"/>
      <c r="F61" s="59"/>
      <c r="G61" s="59"/>
      <c r="H61" s="59"/>
    </row>
    <row r="62" spans="1:9" ht="18.75" thickBot="1" x14ac:dyDescent="0.3">
      <c r="A62" s="1021" t="s">
        <v>57</v>
      </c>
      <c r="B62" s="1022"/>
      <c r="C62" s="1022"/>
      <c r="D62" s="1022"/>
      <c r="E62" s="1023"/>
    </row>
    <row r="63" spans="1:9" x14ac:dyDescent="0.25">
      <c r="A63" s="992" t="s">
        <v>1</v>
      </c>
      <c r="B63" s="993"/>
      <c r="C63" s="996">
        <v>2017</v>
      </c>
      <c r="D63" s="996" t="s">
        <v>235</v>
      </c>
      <c r="E63" s="996" t="s">
        <v>273</v>
      </c>
    </row>
    <row r="64" spans="1:9" ht="15.75" thickBot="1" x14ac:dyDescent="0.3">
      <c r="A64" s="994"/>
      <c r="B64" s="995"/>
      <c r="C64" s="997"/>
      <c r="D64" s="997"/>
      <c r="E64" s="997"/>
    </row>
    <row r="65" spans="1:5" ht="15.75" thickBot="1" x14ac:dyDescent="0.3">
      <c r="A65" s="61" t="s">
        <v>58</v>
      </c>
      <c r="B65" s="62"/>
      <c r="C65" s="63">
        <f t="shared" ref="C65" si="8">SUM(C66:C70)</f>
        <v>188500</v>
      </c>
      <c r="D65" s="63">
        <f t="shared" ref="D65:E65" si="9">SUM(D66:D70)</f>
        <v>188480</v>
      </c>
      <c r="E65" s="63">
        <f t="shared" si="9"/>
        <v>9523</v>
      </c>
    </row>
    <row r="66" spans="1:5" x14ac:dyDescent="0.25">
      <c r="A66" s="64" t="s">
        <v>59</v>
      </c>
      <c r="B66" s="65" t="s">
        <v>60</v>
      </c>
      <c r="C66" s="66">
        <f>80000+16500</f>
        <v>96500</v>
      </c>
      <c r="D66" s="298">
        <f>80000+16500+200</f>
        <v>96700</v>
      </c>
      <c r="E66" s="66">
        <v>4303</v>
      </c>
    </row>
    <row r="67" spans="1:5" x14ac:dyDescent="0.25">
      <c r="A67" s="67" t="s">
        <v>61</v>
      </c>
      <c r="B67" s="42" t="s">
        <v>209</v>
      </c>
      <c r="C67" s="68">
        <f>7100+10600+32300</f>
        <v>50000</v>
      </c>
      <c r="D67" s="68">
        <f t="shared" ref="D67" si="10">7100+10600+32300</f>
        <v>50000</v>
      </c>
      <c r="E67" s="68">
        <v>2739</v>
      </c>
    </row>
    <row r="68" spans="1:5" x14ac:dyDescent="0.25">
      <c r="A68" s="67" t="s">
        <v>62</v>
      </c>
      <c r="B68" s="42" t="s">
        <v>208</v>
      </c>
      <c r="C68" s="68">
        <v>2000</v>
      </c>
      <c r="D68" s="68">
        <v>2000</v>
      </c>
      <c r="E68" s="68">
        <v>0</v>
      </c>
    </row>
    <row r="69" spans="1:5" x14ac:dyDescent="0.25">
      <c r="A69" s="69" t="s">
        <v>63</v>
      </c>
      <c r="B69" s="42" t="s">
        <v>64</v>
      </c>
      <c r="C69" s="34">
        <f>3000+900+220+32380</f>
        <v>36500</v>
      </c>
      <c r="D69" s="293">
        <f>3000+900+220+32380-220</f>
        <v>36280</v>
      </c>
      <c r="E69" s="34">
        <v>2481</v>
      </c>
    </row>
    <row r="70" spans="1:5" ht="15.75" thickBot="1" x14ac:dyDescent="0.3">
      <c r="A70" s="70" t="s">
        <v>65</v>
      </c>
      <c r="B70" s="3" t="s">
        <v>66</v>
      </c>
      <c r="C70" s="71">
        <v>3500</v>
      </c>
      <c r="D70" s="71">
        <v>3500</v>
      </c>
      <c r="E70" s="71">
        <v>0</v>
      </c>
    </row>
    <row r="71" spans="1:5" ht="15.75" thickBot="1" x14ac:dyDescent="0.3">
      <c r="A71" s="72" t="s">
        <v>67</v>
      </c>
      <c r="B71" s="73"/>
      <c r="C71" s="63">
        <f t="shared" ref="C71:E71" si="11">SUM(C72)</f>
        <v>1500</v>
      </c>
      <c r="D71" s="63">
        <f t="shared" si="11"/>
        <v>1480</v>
      </c>
      <c r="E71" s="63">
        <f t="shared" si="11"/>
        <v>0</v>
      </c>
    </row>
    <row r="72" spans="1:5" ht="15.75" thickBot="1" x14ac:dyDescent="0.3">
      <c r="A72" s="74" t="s">
        <v>68</v>
      </c>
      <c r="B72" s="59" t="s">
        <v>69</v>
      </c>
      <c r="C72" s="75">
        <v>1500</v>
      </c>
      <c r="D72" s="299">
        <f>1500-20</f>
        <v>1480</v>
      </c>
      <c r="E72" s="75">
        <v>0</v>
      </c>
    </row>
    <row r="73" spans="1:5" ht="15.75" thickBot="1" x14ac:dyDescent="0.3">
      <c r="A73" s="72" t="s">
        <v>70</v>
      </c>
      <c r="B73" s="73"/>
      <c r="C73" s="63">
        <f t="shared" ref="C73" si="12">SUM(C74:C75)</f>
        <v>10900</v>
      </c>
      <c r="D73" s="63">
        <f t="shared" ref="D73:E73" si="13">SUM(D74:D75)</f>
        <v>10900</v>
      </c>
      <c r="E73" s="63">
        <f t="shared" si="13"/>
        <v>-54</v>
      </c>
    </row>
    <row r="74" spans="1:5" x14ac:dyDescent="0.25">
      <c r="A74" s="76" t="s">
        <v>71</v>
      </c>
      <c r="B74" s="77" t="s">
        <v>72</v>
      </c>
      <c r="C74" s="78">
        <v>10600</v>
      </c>
      <c r="D74" s="78">
        <v>10600</v>
      </c>
      <c r="E74" s="78">
        <v>-54</v>
      </c>
    </row>
    <row r="75" spans="1:5" ht="15.75" thickBot="1" x14ac:dyDescent="0.3">
      <c r="A75" s="79" t="s">
        <v>73</v>
      </c>
      <c r="B75" s="80" t="s">
        <v>74</v>
      </c>
      <c r="C75" s="81">
        <v>300</v>
      </c>
      <c r="D75" s="81">
        <v>300</v>
      </c>
      <c r="E75" s="81">
        <v>0</v>
      </c>
    </row>
    <row r="76" spans="1:5" ht="15.75" thickBot="1" x14ac:dyDescent="0.3">
      <c r="A76" s="61" t="s">
        <v>75</v>
      </c>
      <c r="B76" s="82"/>
      <c r="C76" s="63">
        <f t="shared" ref="C76" si="14">SUM(C77:C80)</f>
        <v>57000</v>
      </c>
      <c r="D76" s="63">
        <f t="shared" ref="D76:E76" si="15">SUM(D77:D80)</f>
        <v>57000</v>
      </c>
      <c r="E76" s="63">
        <f t="shared" si="15"/>
        <v>3175</v>
      </c>
    </row>
    <row r="77" spans="1:5" x14ac:dyDescent="0.25">
      <c r="A77" s="83" t="s">
        <v>76</v>
      </c>
      <c r="B77" s="30" t="s">
        <v>77</v>
      </c>
      <c r="C77" s="31">
        <f>15900+1500+6000</f>
        <v>23400</v>
      </c>
      <c r="D77" s="31">
        <f t="shared" ref="D77" si="16">15900+1500+6000</f>
        <v>23400</v>
      </c>
      <c r="E77" s="31">
        <v>1067</v>
      </c>
    </row>
    <row r="78" spans="1:5" x14ac:dyDescent="0.25">
      <c r="A78" s="69" t="s">
        <v>78</v>
      </c>
      <c r="B78" s="42" t="s">
        <v>79</v>
      </c>
      <c r="C78" s="68">
        <v>18500</v>
      </c>
      <c r="D78" s="68">
        <v>18500</v>
      </c>
      <c r="E78" s="68">
        <v>523</v>
      </c>
    </row>
    <row r="79" spans="1:5" x14ac:dyDescent="0.25">
      <c r="A79" s="69" t="s">
        <v>80</v>
      </c>
      <c r="B79" s="42" t="s">
        <v>81</v>
      </c>
      <c r="C79" s="34">
        <v>15000</v>
      </c>
      <c r="D79" s="34">
        <v>15000</v>
      </c>
      <c r="E79" s="34">
        <v>1585</v>
      </c>
    </row>
    <row r="80" spans="1:5" ht="15.75" thickBot="1" x14ac:dyDescent="0.3">
      <c r="A80" s="69" t="s">
        <v>82</v>
      </c>
      <c r="B80" s="42" t="s">
        <v>83</v>
      </c>
      <c r="C80" s="34">
        <v>100</v>
      </c>
      <c r="D80" s="34">
        <v>100</v>
      </c>
      <c r="E80" s="34">
        <v>0</v>
      </c>
    </row>
    <row r="81" spans="1:6" ht="15.75" thickBot="1" x14ac:dyDescent="0.3">
      <c r="A81" s="1006" t="s">
        <v>84</v>
      </c>
      <c r="B81" s="1007"/>
      <c r="C81" s="63">
        <f t="shared" ref="C81" si="17">SUM(C82:C85)</f>
        <v>88750</v>
      </c>
      <c r="D81" s="63">
        <f t="shared" ref="D81:E81" si="18">SUM(D82:D85)</f>
        <v>88750</v>
      </c>
      <c r="E81" s="63">
        <f t="shared" si="18"/>
        <v>5728</v>
      </c>
    </row>
    <row r="82" spans="1:6" x14ac:dyDescent="0.25">
      <c r="A82" s="84" t="s">
        <v>85</v>
      </c>
      <c r="B82" s="85" t="s">
        <v>86</v>
      </c>
      <c r="C82" s="86">
        <f>25000+20000</f>
        <v>45000</v>
      </c>
      <c r="D82" s="86">
        <f t="shared" ref="D82" si="19">25000+20000</f>
        <v>45000</v>
      </c>
      <c r="E82" s="86">
        <v>5044</v>
      </c>
    </row>
    <row r="83" spans="1:6" x14ac:dyDescent="0.25">
      <c r="A83" s="69" t="s">
        <v>87</v>
      </c>
      <c r="B83" s="42" t="s">
        <v>88</v>
      </c>
      <c r="C83" s="68">
        <v>36000</v>
      </c>
      <c r="D83" s="68">
        <v>36000</v>
      </c>
      <c r="E83" s="68">
        <v>684</v>
      </c>
    </row>
    <row r="84" spans="1:6" x14ac:dyDescent="0.25">
      <c r="A84" s="74" t="s">
        <v>89</v>
      </c>
      <c r="B84" s="87" t="s">
        <v>90</v>
      </c>
      <c r="C84" s="88">
        <v>950</v>
      </c>
      <c r="D84" s="88">
        <v>950</v>
      </c>
      <c r="E84" s="88">
        <v>0</v>
      </c>
    </row>
    <row r="85" spans="1:6" ht="15.75" thickBot="1" x14ac:dyDescent="0.3">
      <c r="A85" s="89" t="s">
        <v>91</v>
      </c>
      <c r="B85" s="90" t="s">
        <v>204</v>
      </c>
      <c r="C85" s="91">
        <f>5700+1000+100</f>
        <v>6800</v>
      </c>
      <c r="D85" s="91">
        <f t="shared" ref="D85" si="20">5700+1000+100</f>
        <v>6800</v>
      </c>
      <c r="E85" s="91">
        <v>0</v>
      </c>
      <c r="F85" s="171"/>
    </row>
    <row r="86" spans="1:6" ht="15.75" thickBot="1" x14ac:dyDescent="0.3">
      <c r="A86" s="61" t="s">
        <v>92</v>
      </c>
      <c r="B86" s="82"/>
      <c r="C86" s="63">
        <f t="shared" ref="C86" si="21">SUM(C87:C89)</f>
        <v>144000</v>
      </c>
      <c r="D86" s="63">
        <f t="shared" ref="D86:E86" si="22">SUM(D87:D89)</f>
        <v>145232</v>
      </c>
      <c r="E86" s="63">
        <f t="shared" si="22"/>
        <v>9463</v>
      </c>
    </row>
    <row r="87" spans="1:6" x14ac:dyDescent="0.25">
      <c r="A87" s="83" t="s">
        <v>93</v>
      </c>
      <c r="B87" s="65" t="s">
        <v>94</v>
      </c>
      <c r="C87" s="92">
        <v>108000</v>
      </c>
      <c r="D87" s="300">
        <f>108000+1232</f>
        <v>109232</v>
      </c>
      <c r="E87" s="92">
        <v>6150</v>
      </c>
    </row>
    <row r="88" spans="1:6" x14ac:dyDescent="0.25">
      <c r="A88" s="93" t="s">
        <v>95</v>
      </c>
      <c r="B88" s="42" t="s">
        <v>96</v>
      </c>
      <c r="C88" s="94">
        <v>19000</v>
      </c>
      <c r="D88" s="94">
        <v>19000</v>
      </c>
      <c r="E88" s="94">
        <v>1937</v>
      </c>
    </row>
    <row r="89" spans="1:6" ht="15.75" thickBot="1" x14ac:dyDescent="0.3">
      <c r="A89" s="95" t="s">
        <v>97</v>
      </c>
      <c r="B89" s="90" t="s">
        <v>98</v>
      </c>
      <c r="C89" s="209">
        <f>2000+14000+400+600</f>
        <v>17000</v>
      </c>
      <c r="D89" s="209">
        <f t="shared" ref="D89" si="23">2000+14000+400+600</f>
        <v>17000</v>
      </c>
      <c r="E89" s="209">
        <v>1376</v>
      </c>
    </row>
    <row r="90" spans="1:6" ht="15.75" thickBot="1" x14ac:dyDescent="0.3">
      <c r="A90" s="97" t="s">
        <v>99</v>
      </c>
      <c r="B90" s="98"/>
      <c r="C90" s="99">
        <f t="shared" ref="C90" si="24">SUM(C91:C93)</f>
        <v>450</v>
      </c>
      <c r="D90" s="99">
        <f t="shared" ref="D90:E90" si="25">SUM(D91:D93)</f>
        <v>530</v>
      </c>
      <c r="E90" s="99">
        <f t="shared" si="25"/>
        <v>11</v>
      </c>
    </row>
    <row r="91" spans="1:6" x14ac:dyDescent="0.25">
      <c r="A91" s="76" t="s">
        <v>100</v>
      </c>
      <c r="B91" s="85" t="s">
        <v>101</v>
      </c>
      <c r="C91" s="100">
        <v>50</v>
      </c>
      <c r="D91" s="100">
        <v>50</v>
      </c>
      <c r="E91" s="100">
        <v>0</v>
      </c>
    </row>
    <row r="92" spans="1:6" x14ac:dyDescent="0.25">
      <c r="A92" s="93" t="s">
        <v>102</v>
      </c>
      <c r="B92" s="42" t="s">
        <v>103</v>
      </c>
      <c r="C92" s="94">
        <v>50</v>
      </c>
      <c r="D92" s="301">
        <f>50+80</f>
        <v>130</v>
      </c>
      <c r="E92" s="94">
        <v>0</v>
      </c>
    </row>
    <row r="93" spans="1:6" ht="15.75" thickBot="1" x14ac:dyDescent="0.3">
      <c r="A93" s="95" t="s">
        <v>104</v>
      </c>
      <c r="B93" s="90" t="s">
        <v>105</v>
      </c>
      <c r="C93" s="96">
        <v>350</v>
      </c>
      <c r="D93" s="96">
        <v>350</v>
      </c>
      <c r="E93" s="96">
        <v>11</v>
      </c>
    </row>
    <row r="94" spans="1:6" ht="15.75" thickBot="1" x14ac:dyDescent="0.3">
      <c r="A94" s="101" t="s">
        <v>106</v>
      </c>
      <c r="B94" s="102"/>
      <c r="C94" s="103">
        <f t="shared" ref="C94" si="26">SUM(C95:C99)</f>
        <v>108100</v>
      </c>
      <c r="D94" s="103">
        <f t="shared" ref="D94:E94" si="27">SUM(D95:D99)</f>
        <v>108100</v>
      </c>
      <c r="E94" s="103">
        <f t="shared" si="27"/>
        <v>5834</v>
      </c>
    </row>
    <row r="95" spans="1:6" x14ac:dyDescent="0.25">
      <c r="A95" s="84" t="s">
        <v>107</v>
      </c>
      <c r="B95" s="85" t="s">
        <v>108</v>
      </c>
      <c r="C95" s="86">
        <f>9300+7300</f>
        <v>16600</v>
      </c>
      <c r="D95" s="86">
        <f t="shared" ref="D95" si="28">9300+7300</f>
        <v>16600</v>
      </c>
      <c r="E95" s="86">
        <v>2320</v>
      </c>
    </row>
    <row r="96" spans="1:6" x14ac:dyDescent="0.25">
      <c r="A96" s="104" t="s">
        <v>109</v>
      </c>
      <c r="B96" s="105" t="s">
        <v>110</v>
      </c>
      <c r="C96" s="31">
        <f>12600+1800+2000+48600</f>
        <v>65000</v>
      </c>
      <c r="D96" s="31">
        <f t="shared" ref="D96" si="29">12600+1800+2000+48600</f>
        <v>65000</v>
      </c>
      <c r="E96" s="31">
        <v>1219</v>
      </c>
    </row>
    <row r="97" spans="1:6" x14ac:dyDescent="0.25">
      <c r="A97" s="104" t="s">
        <v>111</v>
      </c>
      <c r="B97" s="65" t="s">
        <v>112</v>
      </c>
      <c r="C97" s="66">
        <f>2800+700</f>
        <v>3500</v>
      </c>
      <c r="D97" s="66">
        <f t="shared" ref="D97" si="30">2800+700</f>
        <v>3500</v>
      </c>
      <c r="E97" s="66">
        <v>970</v>
      </c>
    </row>
    <row r="98" spans="1:6" x14ac:dyDescent="0.25">
      <c r="A98" s="104" t="s">
        <v>113</v>
      </c>
      <c r="B98" s="65" t="s">
        <v>114</v>
      </c>
      <c r="C98" s="66">
        <f>7400+3000+2600</f>
        <v>13000</v>
      </c>
      <c r="D98" s="66">
        <f t="shared" ref="D98" si="31">7400+3000+2600</f>
        <v>13000</v>
      </c>
      <c r="E98" s="66">
        <v>332</v>
      </c>
    </row>
    <row r="99" spans="1:6" ht="15.75" thickBot="1" x14ac:dyDescent="0.3">
      <c r="A99" s="89" t="s">
        <v>115</v>
      </c>
      <c r="B99" s="90" t="s">
        <v>203</v>
      </c>
      <c r="C99" s="91">
        <v>10000</v>
      </c>
      <c r="D99" s="91">
        <v>10000</v>
      </c>
      <c r="E99" s="91">
        <v>993</v>
      </c>
    </row>
    <row r="100" spans="1:6" ht="15.75" thickBot="1" x14ac:dyDescent="0.3">
      <c r="A100" s="72" t="s">
        <v>116</v>
      </c>
      <c r="B100" s="73"/>
      <c r="C100" s="63">
        <f t="shared" ref="C100" si="32">SUM(C101:C107)</f>
        <v>384700</v>
      </c>
      <c r="D100" s="63">
        <f t="shared" ref="D100:E100" si="33">SUM(D101:D107)</f>
        <v>385624</v>
      </c>
      <c r="E100" s="63">
        <f t="shared" si="33"/>
        <v>25914</v>
      </c>
    </row>
    <row r="101" spans="1:6" x14ac:dyDescent="0.25">
      <c r="A101" s="106" t="s">
        <v>117</v>
      </c>
      <c r="B101" s="107" t="s">
        <v>118</v>
      </c>
      <c r="C101" s="78">
        <v>118000</v>
      </c>
      <c r="D101" s="302">
        <f>118000+404</f>
        <v>118404</v>
      </c>
      <c r="E101" s="78">
        <v>8284</v>
      </c>
    </row>
    <row r="102" spans="1:6" x14ac:dyDescent="0.25">
      <c r="A102" s="108" t="s">
        <v>119</v>
      </c>
      <c r="B102" s="33" t="s">
        <v>187</v>
      </c>
      <c r="C102" s="34">
        <f>177000+2600</f>
        <v>179600</v>
      </c>
      <c r="D102" s="293">
        <f>177000+2600+520</f>
        <v>180120</v>
      </c>
      <c r="E102" s="34">
        <v>11745</v>
      </c>
      <c r="F102" s="207"/>
    </row>
    <row r="103" spans="1:6" x14ac:dyDescent="0.25">
      <c r="A103" s="108" t="s">
        <v>120</v>
      </c>
      <c r="B103" s="33" t="s">
        <v>121</v>
      </c>
      <c r="C103" s="34">
        <v>11800</v>
      </c>
      <c r="D103" s="34">
        <v>11800</v>
      </c>
      <c r="E103" s="34">
        <v>710</v>
      </c>
    </row>
    <row r="104" spans="1:6" x14ac:dyDescent="0.25">
      <c r="A104" s="108" t="s">
        <v>122</v>
      </c>
      <c r="B104" s="33" t="s">
        <v>123</v>
      </c>
      <c r="C104" s="34">
        <v>17200</v>
      </c>
      <c r="D104" s="34">
        <v>17200</v>
      </c>
      <c r="E104" s="34">
        <v>1064</v>
      </c>
    </row>
    <row r="105" spans="1:6" x14ac:dyDescent="0.25">
      <c r="A105" s="108" t="s">
        <v>124</v>
      </c>
      <c r="B105" s="33" t="s">
        <v>125</v>
      </c>
      <c r="C105" s="34">
        <v>17200</v>
      </c>
      <c r="D105" s="34">
        <v>17200</v>
      </c>
      <c r="E105" s="34">
        <v>1064</v>
      </c>
    </row>
    <row r="106" spans="1:6" x14ac:dyDescent="0.25">
      <c r="A106" s="109" t="s">
        <v>126</v>
      </c>
      <c r="B106" s="33" t="s">
        <v>127</v>
      </c>
      <c r="C106" s="110">
        <f>11800+4400+21800+300</f>
        <v>38300</v>
      </c>
      <c r="D106" s="110">
        <f t="shared" ref="D106" si="34">11800+4400+21800+300</f>
        <v>38300</v>
      </c>
      <c r="E106" s="110">
        <v>3047</v>
      </c>
      <c r="F106" s="171"/>
    </row>
    <row r="107" spans="1:6" ht="15.75" thickBot="1" x14ac:dyDescent="0.3">
      <c r="A107" s="108" t="s">
        <v>128</v>
      </c>
      <c r="B107" s="33" t="s">
        <v>129</v>
      </c>
      <c r="C107" s="110">
        <v>2600</v>
      </c>
      <c r="D107" s="110">
        <v>2600</v>
      </c>
      <c r="E107" s="110">
        <v>0</v>
      </c>
    </row>
    <row r="108" spans="1:6" ht="15.75" thickBot="1" x14ac:dyDescent="0.3">
      <c r="A108" s="61" t="s">
        <v>130</v>
      </c>
      <c r="B108" s="62"/>
      <c r="C108" s="63">
        <f t="shared" ref="C108" si="35">SUM(C109:C113)</f>
        <v>196800</v>
      </c>
      <c r="D108" s="63">
        <f t="shared" ref="D108:E108" si="36">SUM(D109:D113)</f>
        <v>196800</v>
      </c>
      <c r="E108" s="63">
        <f t="shared" si="36"/>
        <v>9109</v>
      </c>
    </row>
    <row r="109" spans="1:6" x14ac:dyDescent="0.25">
      <c r="A109" s="104" t="s">
        <v>131</v>
      </c>
      <c r="B109" s="65" t="s">
        <v>132</v>
      </c>
      <c r="C109" s="66">
        <f>100000+15600</f>
        <v>115600</v>
      </c>
      <c r="D109" s="66">
        <f t="shared" ref="D109" si="37">100000+15600</f>
        <v>115600</v>
      </c>
      <c r="E109" s="66">
        <v>8094</v>
      </c>
    </row>
    <row r="110" spans="1:6" x14ac:dyDescent="0.25">
      <c r="A110" s="104" t="s">
        <v>133</v>
      </c>
      <c r="B110" s="65" t="s">
        <v>201</v>
      </c>
      <c r="C110" s="66">
        <f>7200+3000</f>
        <v>10200</v>
      </c>
      <c r="D110" s="66">
        <f t="shared" ref="D110" si="38">7200+3000</f>
        <v>10200</v>
      </c>
      <c r="E110" s="66">
        <v>0</v>
      </c>
    </row>
    <row r="111" spans="1:6" x14ac:dyDescent="0.25">
      <c r="A111" s="69" t="s">
        <v>134</v>
      </c>
      <c r="B111" s="42" t="s">
        <v>202</v>
      </c>
      <c r="C111" s="68">
        <f>12000+49000+9000</f>
        <v>70000</v>
      </c>
      <c r="D111" s="68">
        <f t="shared" ref="D111" si="39">12000+49000+9000</f>
        <v>70000</v>
      </c>
      <c r="E111" s="68">
        <v>1015</v>
      </c>
    </row>
    <row r="112" spans="1:6" x14ac:dyDescent="0.25">
      <c r="A112" s="69" t="s">
        <v>135</v>
      </c>
      <c r="B112" s="42" t="s">
        <v>136</v>
      </c>
      <c r="C112" s="68">
        <v>500</v>
      </c>
      <c r="D112" s="68">
        <v>500</v>
      </c>
      <c r="E112" s="68">
        <v>0</v>
      </c>
    </row>
    <row r="113" spans="1:6" ht="15.75" thickBot="1" x14ac:dyDescent="0.3">
      <c r="A113" s="89" t="s">
        <v>137</v>
      </c>
      <c r="B113" s="90" t="s">
        <v>138</v>
      </c>
      <c r="C113" s="91">
        <v>500</v>
      </c>
      <c r="D113" s="91">
        <v>500</v>
      </c>
      <c r="E113" s="91">
        <v>0</v>
      </c>
    </row>
    <row r="114" spans="1:6" ht="16.5" thickBot="1" x14ac:dyDescent="0.3">
      <c r="A114" s="111" t="s">
        <v>139</v>
      </c>
      <c r="B114" s="98"/>
      <c r="C114" s="112">
        <f t="shared" ref="C114" si="40">SUM(C65+C71+C73+C76+C81+C86+C90+C94+C100+C108)</f>
        <v>1180700</v>
      </c>
      <c r="D114" s="112">
        <f t="shared" ref="D114:E114" si="41">SUM(D65+D71+D73+D76+D81+D86+D90+D94+D100+D108)</f>
        <v>1182896</v>
      </c>
      <c r="E114" s="112">
        <f t="shared" si="41"/>
        <v>68703</v>
      </c>
    </row>
    <row r="115" spans="1:6" x14ac:dyDescent="0.25">
      <c r="A115" s="181" t="s">
        <v>140</v>
      </c>
      <c r="B115" s="113" t="s">
        <v>141</v>
      </c>
      <c r="C115" s="114">
        <f>C56+C58</f>
        <v>409440</v>
      </c>
      <c r="D115" s="114">
        <f t="shared" ref="D115:E115" si="42">D56+D58</f>
        <v>431827</v>
      </c>
      <c r="E115" s="114">
        <f t="shared" si="42"/>
        <v>42325</v>
      </c>
    </row>
    <row r="116" spans="1:6" x14ac:dyDescent="0.25">
      <c r="A116" s="180" t="s">
        <v>142</v>
      </c>
      <c r="B116" s="50" t="s">
        <v>143</v>
      </c>
      <c r="C116" s="115">
        <v>19000</v>
      </c>
      <c r="D116" s="115">
        <v>19000</v>
      </c>
      <c r="E116" s="115">
        <v>4750</v>
      </c>
    </row>
    <row r="117" spans="1:6" ht="15.75" thickBot="1" x14ac:dyDescent="0.3">
      <c r="A117" s="116" t="s">
        <v>144</v>
      </c>
      <c r="B117" s="117"/>
      <c r="C117" s="118">
        <f>SUM(C115:C116)</f>
        <v>428440</v>
      </c>
      <c r="D117" s="118">
        <f t="shared" ref="D117:E117" si="43">SUM(D115:D116)</f>
        <v>450827</v>
      </c>
      <c r="E117" s="118">
        <f t="shared" si="43"/>
        <v>47075</v>
      </c>
    </row>
    <row r="118" spans="1:6" ht="16.5" thickBot="1" x14ac:dyDescent="0.3">
      <c r="A118" s="119" t="s">
        <v>145</v>
      </c>
      <c r="B118" s="82"/>
      <c r="C118" s="120">
        <f>C114+C117</f>
        <v>1609140</v>
      </c>
      <c r="D118" s="120">
        <f t="shared" ref="D118:E118" si="44">D114+D117</f>
        <v>1633723</v>
      </c>
      <c r="E118" s="120">
        <f t="shared" si="44"/>
        <v>115778</v>
      </c>
    </row>
    <row r="119" spans="1:6" ht="23.25" customHeight="1" x14ac:dyDescent="0.25"/>
    <row r="120" spans="1:6" ht="15" customHeight="1" thickBot="1" x14ac:dyDescent="0.3"/>
    <row r="121" spans="1:6" ht="18.75" thickBot="1" x14ac:dyDescent="0.3">
      <c r="A121" s="1024" t="s">
        <v>146</v>
      </c>
      <c r="B121" s="1025"/>
      <c r="C121" s="1025"/>
      <c r="D121" s="1025"/>
      <c r="E121" s="1026"/>
    </row>
    <row r="122" spans="1:6" x14ac:dyDescent="0.25">
      <c r="A122" s="992" t="s">
        <v>1</v>
      </c>
      <c r="B122" s="993"/>
      <c r="C122" s="996">
        <v>2017</v>
      </c>
      <c r="D122" s="996" t="s">
        <v>235</v>
      </c>
      <c r="E122" s="996" t="s">
        <v>273</v>
      </c>
    </row>
    <row r="123" spans="1:6" ht="15.75" thickBot="1" x14ac:dyDescent="0.3">
      <c r="A123" s="994"/>
      <c r="B123" s="995"/>
      <c r="C123" s="997"/>
      <c r="D123" s="997"/>
      <c r="E123" s="997"/>
    </row>
    <row r="124" spans="1:6" ht="16.5" thickBot="1" x14ac:dyDescent="0.3">
      <c r="A124" s="1010" t="s">
        <v>147</v>
      </c>
      <c r="B124" s="1011"/>
      <c r="C124" s="121">
        <f t="shared" ref="C124" si="45">SUM(C125:C132)</f>
        <v>1669100</v>
      </c>
      <c r="D124" s="121">
        <f t="shared" ref="D124:E124" si="46">SUM(D125:D132)</f>
        <v>1653200</v>
      </c>
      <c r="E124" s="121">
        <f t="shared" si="46"/>
        <v>2</v>
      </c>
      <c r="F124" s="171"/>
    </row>
    <row r="125" spans="1:6" x14ac:dyDescent="0.25">
      <c r="A125" s="122">
        <v>231</v>
      </c>
      <c r="B125" s="85" t="s">
        <v>148</v>
      </c>
      <c r="C125" s="123">
        <v>0</v>
      </c>
      <c r="D125" s="123">
        <v>0</v>
      </c>
      <c r="E125" s="123">
        <v>0</v>
      </c>
    </row>
    <row r="126" spans="1:6" x14ac:dyDescent="0.25">
      <c r="A126" s="46">
        <v>233</v>
      </c>
      <c r="B126" s="42" t="s">
        <v>149</v>
      </c>
      <c r="C126" s="124">
        <v>1000</v>
      </c>
      <c r="D126" s="124">
        <v>1000</v>
      </c>
      <c r="E126" s="124">
        <v>2</v>
      </c>
    </row>
    <row r="127" spans="1:6" x14ac:dyDescent="0.25">
      <c r="A127" s="174">
        <v>322</v>
      </c>
      <c r="B127" s="175" t="s">
        <v>192</v>
      </c>
      <c r="C127" s="176">
        <v>134200</v>
      </c>
      <c r="D127" s="176">
        <v>134200</v>
      </c>
      <c r="E127" s="176">
        <v>0</v>
      </c>
    </row>
    <row r="128" spans="1:6" x14ac:dyDescent="0.25">
      <c r="A128" s="174">
        <v>322</v>
      </c>
      <c r="B128" s="175" t="s">
        <v>193</v>
      </c>
      <c r="C128" s="176">
        <v>155400</v>
      </c>
      <c r="D128" s="176">
        <v>155400</v>
      </c>
      <c r="E128" s="176">
        <v>0</v>
      </c>
    </row>
    <row r="129" spans="1:10" x14ac:dyDescent="0.25">
      <c r="A129" s="174">
        <v>322</v>
      </c>
      <c r="B129" s="175" t="s">
        <v>194</v>
      </c>
      <c r="C129" s="176">
        <v>39900</v>
      </c>
      <c r="D129" s="296">
        <f>39900-15900</f>
        <v>24000</v>
      </c>
      <c r="E129" s="176">
        <v>0</v>
      </c>
    </row>
    <row r="130" spans="1:10" x14ac:dyDescent="0.25">
      <c r="A130" s="174">
        <v>322</v>
      </c>
      <c r="B130" s="175" t="s">
        <v>195</v>
      </c>
      <c r="C130" s="176">
        <v>1222600</v>
      </c>
      <c r="D130" s="176">
        <v>1222600</v>
      </c>
      <c r="E130" s="176">
        <v>0</v>
      </c>
      <c r="J130" s="178"/>
    </row>
    <row r="131" spans="1:10" x14ac:dyDescent="0.25">
      <c r="A131" s="174">
        <v>322</v>
      </c>
      <c r="B131" s="175" t="s">
        <v>196</v>
      </c>
      <c r="C131" s="176">
        <v>103500</v>
      </c>
      <c r="D131" s="176">
        <v>103500</v>
      </c>
      <c r="E131" s="176">
        <v>0</v>
      </c>
    </row>
    <row r="132" spans="1:10" ht="15.75" thickBot="1" x14ac:dyDescent="0.3">
      <c r="A132" s="125">
        <v>322</v>
      </c>
      <c r="B132" s="126" t="s">
        <v>150</v>
      </c>
      <c r="C132" s="127">
        <v>12500</v>
      </c>
      <c r="D132" s="127">
        <v>12500</v>
      </c>
      <c r="E132" s="127">
        <v>0</v>
      </c>
    </row>
    <row r="133" spans="1:10" ht="16.5" thickBot="1" x14ac:dyDescent="0.3">
      <c r="A133" s="1010" t="s">
        <v>151</v>
      </c>
      <c r="B133" s="1011"/>
      <c r="C133" s="121">
        <f>SUM(C134:C151)</f>
        <v>2481900</v>
      </c>
      <c r="D133" s="121">
        <f>SUM(D134:D151)</f>
        <v>2481900</v>
      </c>
      <c r="E133" s="121">
        <f>SUM(E134:E151)</f>
        <v>0</v>
      </c>
      <c r="F133" s="171"/>
      <c r="G133" s="171"/>
    </row>
    <row r="134" spans="1:10" x14ac:dyDescent="0.25">
      <c r="A134" s="128" t="s">
        <v>59</v>
      </c>
      <c r="B134" s="129" t="s">
        <v>185</v>
      </c>
      <c r="C134" s="135">
        <v>3000</v>
      </c>
      <c r="D134" s="135">
        <v>3000</v>
      </c>
      <c r="E134" s="135">
        <v>0</v>
      </c>
    </row>
    <row r="135" spans="1:10" ht="15.75" thickBot="1" x14ac:dyDescent="0.3">
      <c r="A135" s="200" t="s">
        <v>59</v>
      </c>
      <c r="B135" s="201" t="s">
        <v>184</v>
      </c>
      <c r="C135" s="210">
        <v>108200</v>
      </c>
      <c r="D135" s="210">
        <v>108200</v>
      </c>
      <c r="E135" s="210">
        <v>0</v>
      </c>
      <c r="H135" s="171"/>
    </row>
    <row r="136" spans="1:10" x14ac:dyDescent="0.25">
      <c r="A136" s="190" t="s">
        <v>73</v>
      </c>
      <c r="B136" s="131" t="s">
        <v>152</v>
      </c>
      <c r="C136" s="133">
        <v>14800</v>
      </c>
      <c r="D136" s="133">
        <v>14800</v>
      </c>
      <c r="E136" s="133">
        <v>0</v>
      </c>
      <c r="H136" s="171"/>
    </row>
    <row r="137" spans="1:10" ht="15.75" thickBot="1" x14ac:dyDescent="0.3">
      <c r="A137" s="202" t="s">
        <v>78</v>
      </c>
      <c r="B137" s="203" t="s">
        <v>190</v>
      </c>
      <c r="C137" s="210">
        <v>0</v>
      </c>
      <c r="D137" s="210">
        <v>0</v>
      </c>
      <c r="E137" s="210">
        <v>0</v>
      </c>
    </row>
    <row r="138" spans="1:10" x14ac:dyDescent="0.25">
      <c r="A138" s="191" t="s">
        <v>80</v>
      </c>
      <c r="B138" s="186" t="s">
        <v>197</v>
      </c>
      <c r="C138" s="135">
        <v>40000</v>
      </c>
      <c r="D138" s="135">
        <v>40000</v>
      </c>
      <c r="E138" s="135">
        <v>0</v>
      </c>
    </row>
    <row r="139" spans="1:10" ht="15.75" thickBot="1" x14ac:dyDescent="0.3">
      <c r="A139" s="190" t="s">
        <v>80</v>
      </c>
      <c r="B139" s="185" t="s">
        <v>153</v>
      </c>
      <c r="C139" s="133">
        <v>10000</v>
      </c>
      <c r="D139" s="133">
        <v>10000</v>
      </c>
      <c r="E139" s="133">
        <v>0</v>
      </c>
    </row>
    <row r="140" spans="1:10" ht="15.75" thickBot="1" x14ac:dyDescent="0.3">
      <c r="A140" s="187" t="s">
        <v>87</v>
      </c>
      <c r="B140" s="186" t="s">
        <v>198</v>
      </c>
      <c r="C140" s="135">
        <v>1287000</v>
      </c>
      <c r="D140" s="135">
        <v>1287000</v>
      </c>
      <c r="E140" s="135">
        <v>0</v>
      </c>
      <c r="I140" s="140"/>
    </row>
    <row r="141" spans="1:10" ht="15.75" thickBot="1" x14ac:dyDescent="0.3">
      <c r="A141" s="192" t="s">
        <v>154</v>
      </c>
      <c r="B141" s="188" t="s">
        <v>155</v>
      </c>
      <c r="C141" s="134">
        <v>50000</v>
      </c>
      <c r="D141" s="134">
        <v>50000</v>
      </c>
      <c r="E141" s="134">
        <v>0</v>
      </c>
      <c r="I141" s="140"/>
      <c r="J141" s="140"/>
    </row>
    <row r="142" spans="1:10" ht="15.75" thickBot="1" x14ac:dyDescent="0.3">
      <c r="A142" s="192" t="s">
        <v>97</v>
      </c>
      <c r="B142" s="188" t="s">
        <v>206</v>
      </c>
      <c r="C142" s="134">
        <v>163600</v>
      </c>
      <c r="D142" s="134">
        <v>163600</v>
      </c>
      <c r="E142" s="134">
        <v>0</v>
      </c>
      <c r="F142" s="140"/>
      <c r="G142" s="140"/>
      <c r="I142" s="140"/>
      <c r="J142" s="142"/>
    </row>
    <row r="143" spans="1:10" x14ac:dyDescent="0.25">
      <c r="A143" s="198" t="s">
        <v>107</v>
      </c>
      <c r="B143" s="199" t="s">
        <v>207</v>
      </c>
      <c r="C143" s="133">
        <v>42000</v>
      </c>
      <c r="D143" s="133">
        <v>42000</v>
      </c>
      <c r="E143" s="133">
        <v>0</v>
      </c>
      <c r="F143" s="140"/>
      <c r="G143" s="140"/>
      <c r="I143" s="143"/>
      <c r="J143" s="142"/>
    </row>
    <row r="144" spans="1:10" x14ac:dyDescent="0.25">
      <c r="A144" s="193" t="s">
        <v>107</v>
      </c>
      <c r="B144" s="189" t="s">
        <v>205</v>
      </c>
      <c r="C144" s="177">
        <v>56400</v>
      </c>
      <c r="D144" s="177">
        <v>56400</v>
      </c>
      <c r="E144" s="177">
        <v>0</v>
      </c>
      <c r="F144" s="140"/>
      <c r="G144" s="140"/>
      <c r="H144" s="138"/>
    </row>
    <row r="145" spans="1:10" x14ac:dyDescent="0.25">
      <c r="A145" s="193" t="s">
        <v>107</v>
      </c>
      <c r="B145" s="189" t="s">
        <v>183</v>
      </c>
      <c r="C145" s="177">
        <v>30000</v>
      </c>
      <c r="D145" s="177">
        <v>30000</v>
      </c>
      <c r="E145" s="177">
        <v>0</v>
      </c>
      <c r="F145" s="140"/>
      <c r="G145" s="140"/>
      <c r="H145" s="138"/>
    </row>
    <row r="146" spans="1:10" x14ac:dyDescent="0.25">
      <c r="A146" s="193" t="s">
        <v>107</v>
      </c>
      <c r="B146" s="189" t="s">
        <v>188</v>
      </c>
      <c r="C146" s="177">
        <v>10000</v>
      </c>
      <c r="D146" s="177">
        <v>10000</v>
      </c>
      <c r="E146" s="177">
        <v>0</v>
      </c>
      <c r="F146" s="140"/>
      <c r="G146" s="140"/>
      <c r="H146" s="157"/>
    </row>
    <row r="147" spans="1:10" ht="15" customHeight="1" x14ac:dyDescent="0.25">
      <c r="A147" s="193" t="s">
        <v>107</v>
      </c>
      <c r="B147" s="189" t="s">
        <v>189</v>
      </c>
      <c r="C147" s="177">
        <v>10000</v>
      </c>
      <c r="D147" s="177">
        <v>10000</v>
      </c>
      <c r="E147" s="177">
        <v>0</v>
      </c>
      <c r="F147" s="140"/>
      <c r="G147" s="140"/>
    </row>
    <row r="148" spans="1:10" x14ac:dyDescent="0.25">
      <c r="A148" s="193" t="s">
        <v>109</v>
      </c>
      <c r="B148" s="189" t="s">
        <v>182</v>
      </c>
      <c r="C148" s="177">
        <v>500000</v>
      </c>
      <c r="D148" s="177">
        <v>500000</v>
      </c>
      <c r="E148" s="177">
        <v>0</v>
      </c>
      <c r="F148" s="143"/>
      <c r="G148" s="143"/>
      <c r="I148" s="141"/>
    </row>
    <row r="149" spans="1:10" x14ac:dyDescent="0.25">
      <c r="A149" s="194" t="s">
        <v>111</v>
      </c>
      <c r="B149" s="195" t="s">
        <v>156</v>
      </c>
      <c r="C149" s="136">
        <v>2700</v>
      </c>
      <c r="D149" s="136">
        <v>2700</v>
      </c>
      <c r="E149" s="136">
        <v>0</v>
      </c>
      <c r="F149" s="143"/>
      <c r="G149" s="143"/>
    </row>
    <row r="150" spans="1:10" x14ac:dyDescent="0.25">
      <c r="A150" s="194" t="s">
        <v>117</v>
      </c>
      <c r="B150" s="195" t="s">
        <v>199</v>
      </c>
      <c r="C150" s="136">
        <v>141200</v>
      </c>
      <c r="D150" s="136">
        <v>141200</v>
      </c>
      <c r="E150" s="136">
        <v>0</v>
      </c>
      <c r="F150" s="143"/>
      <c r="G150" s="143"/>
    </row>
    <row r="151" spans="1:10" x14ac:dyDescent="0.25">
      <c r="A151" s="197" t="s">
        <v>126</v>
      </c>
      <c r="B151" s="185" t="s">
        <v>186</v>
      </c>
      <c r="C151" s="133">
        <v>13000</v>
      </c>
      <c r="D151" s="133">
        <v>13000</v>
      </c>
      <c r="E151" s="133">
        <v>0</v>
      </c>
      <c r="G151" s="141"/>
    </row>
    <row r="152" spans="1:10" ht="21.75" customHeight="1" x14ac:dyDescent="0.25">
      <c r="A152" s="137"/>
      <c r="B152" s="138"/>
      <c r="C152" s="140"/>
      <c r="D152" s="140"/>
    </row>
    <row r="153" spans="1:10" ht="15.75" thickBot="1" x14ac:dyDescent="0.3">
      <c r="A153" s="141"/>
      <c r="B153" s="142"/>
      <c r="C153" s="143" t="s">
        <v>157</v>
      </c>
      <c r="D153" s="143"/>
      <c r="J153" s="157"/>
    </row>
    <row r="154" spans="1:10" ht="18.75" thickBot="1" x14ac:dyDescent="0.3">
      <c r="A154" s="1030" t="s">
        <v>158</v>
      </c>
      <c r="B154" s="1031"/>
      <c r="C154" s="1031"/>
      <c r="D154" s="1031"/>
      <c r="E154" s="1032"/>
      <c r="I154" s="157"/>
      <c r="J154" s="157"/>
    </row>
    <row r="155" spans="1:10" x14ac:dyDescent="0.25">
      <c r="A155" s="992" t="s">
        <v>1</v>
      </c>
      <c r="B155" s="993"/>
      <c r="C155" s="996">
        <v>2017</v>
      </c>
      <c r="D155" s="996" t="s">
        <v>235</v>
      </c>
      <c r="E155" s="996" t="s">
        <v>273</v>
      </c>
      <c r="I155" s="157"/>
      <c r="J155" s="138"/>
    </row>
    <row r="156" spans="1:10" ht="15.75" thickBot="1" x14ac:dyDescent="0.3">
      <c r="A156" s="994"/>
      <c r="B156" s="995"/>
      <c r="C156" s="997"/>
      <c r="D156" s="997"/>
      <c r="E156" s="997"/>
      <c r="I156" s="157"/>
    </row>
    <row r="157" spans="1:10" ht="16.5" thickBot="1" x14ac:dyDescent="0.3">
      <c r="A157" s="144" t="s">
        <v>159</v>
      </c>
      <c r="B157" s="145"/>
      <c r="C157" s="146">
        <f t="shared" ref="C157:E157" si="47">SUM(C158:C160)</f>
        <v>714200</v>
      </c>
      <c r="D157" s="146">
        <f t="shared" si="47"/>
        <v>730100</v>
      </c>
      <c r="E157" s="146">
        <f t="shared" si="47"/>
        <v>0</v>
      </c>
      <c r="F157" s="171"/>
    </row>
    <row r="158" spans="1:10" ht="16.5" customHeight="1" x14ac:dyDescent="0.25">
      <c r="A158" s="147">
        <v>454</v>
      </c>
      <c r="B158" s="47" t="s">
        <v>160</v>
      </c>
      <c r="C158" s="148">
        <f>312800</f>
        <v>312800</v>
      </c>
      <c r="D158" s="297">
        <f>312800+15900</f>
        <v>328700</v>
      </c>
      <c r="E158" s="148">
        <v>0</v>
      </c>
    </row>
    <row r="159" spans="1:10" ht="19.5" customHeight="1" x14ac:dyDescent="0.25">
      <c r="A159" s="149">
        <v>453</v>
      </c>
      <c r="B159" s="150" t="s">
        <v>161</v>
      </c>
      <c r="C159" s="151">
        <v>1500</v>
      </c>
      <c r="D159" s="151">
        <v>1500</v>
      </c>
      <c r="E159" s="151">
        <v>0</v>
      </c>
    </row>
    <row r="160" spans="1:10" ht="15.75" thickBot="1" x14ac:dyDescent="0.3">
      <c r="A160" s="149">
        <v>513</v>
      </c>
      <c r="B160" s="150" t="s">
        <v>162</v>
      </c>
      <c r="C160" s="151">
        <f>500000-100100</f>
        <v>399900</v>
      </c>
      <c r="D160" s="151">
        <f t="shared" ref="D160" si="48">500000-100100</f>
        <v>399900</v>
      </c>
      <c r="E160" s="151">
        <v>0</v>
      </c>
      <c r="F160" s="1033"/>
      <c r="G160" s="1034"/>
    </row>
    <row r="161" spans="1:8" ht="16.5" thickBot="1" x14ac:dyDescent="0.3">
      <c r="A161" s="144" t="s">
        <v>163</v>
      </c>
      <c r="B161" s="145"/>
      <c r="C161" s="146">
        <f t="shared" ref="C161:E161" si="49">SUM(C162:C163)</f>
        <v>53800</v>
      </c>
      <c r="D161" s="146">
        <f t="shared" si="49"/>
        <v>53800</v>
      </c>
      <c r="E161" s="146">
        <f t="shared" si="49"/>
        <v>61</v>
      </c>
      <c r="F161" s="179"/>
      <c r="G161" s="157"/>
    </row>
    <row r="162" spans="1:8" x14ac:dyDescent="0.25">
      <c r="A162" s="152">
        <v>821</v>
      </c>
      <c r="B162" s="153" t="s">
        <v>164</v>
      </c>
      <c r="C162" s="154">
        <v>53000</v>
      </c>
      <c r="D162" s="154">
        <v>53000</v>
      </c>
      <c r="E162" s="154">
        <v>0</v>
      </c>
      <c r="G162" s="138"/>
    </row>
    <row r="163" spans="1:8" ht="15.75" thickBot="1" x14ac:dyDescent="0.3">
      <c r="A163" s="27">
        <v>821</v>
      </c>
      <c r="B163" s="155" t="s">
        <v>165</v>
      </c>
      <c r="C163" s="71">
        <v>800</v>
      </c>
      <c r="D163" s="71">
        <v>800</v>
      </c>
      <c r="E163" s="71">
        <v>61</v>
      </c>
    </row>
    <row r="164" spans="1:8" x14ac:dyDescent="0.25">
      <c r="A164" s="141"/>
      <c r="B164" s="156"/>
      <c r="C164" s="157"/>
      <c r="D164" s="157"/>
      <c r="E164" s="157"/>
    </row>
    <row r="165" spans="1:8" x14ac:dyDescent="0.25">
      <c r="A165" s="141"/>
      <c r="B165" s="156"/>
      <c r="C165" s="157"/>
      <c r="D165" s="157"/>
      <c r="E165" s="157"/>
    </row>
    <row r="166" spans="1:8" ht="16.5" thickBot="1" x14ac:dyDescent="0.3">
      <c r="A166" s="58"/>
      <c r="B166" s="138"/>
      <c r="C166" s="138"/>
      <c r="D166" s="138"/>
      <c r="E166" s="138"/>
      <c r="H166" s="172"/>
    </row>
    <row r="167" spans="1:8" ht="18.75" thickBot="1" x14ac:dyDescent="0.3">
      <c r="A167" s="1018" t="s">
        <v>166</v>
      </c>
      <c r="B167" s="1019"/>
      <c r="C167" s="1019"/>
      <c r="D167" s="1019"/>
      <c r="E167" s="1020"/>
    </row>
    <row r="168" spans="1:8" x14ac:dyDescent="0.25">
      <c r="A168" s="992" t="s">
        <v>1</v>
      </c>
      <c r="B168" s="993"/>
      <c r="C168" s="996">
        <v>2017</v>
      </c>
      <c r="D168" s="996" t="s">
        <v>235</v>
      </c>
      <c r="E168" s="996" t="s">
        <v>273</v>
      </c>
    </row>
    <row r="169" spans="1:8" ht="15.75" thickBot="1" x14ac:dyDescent="0.3">
      <c r="A169" s="994"/>
      <c r="B169" s="995"/>
      <c r="C169" s="997"/>
      <c r="D169" s="997"/>
      <c r="E169" s="997"/>
    </row>
    <row r="170" spans="1:8" ht="15.75" x14ac:dyDescent="0.25">
      <c r="A170" s="158" t="s">
        <v>167</v>
      </c>
      <c r="B170" s="16"/>
      <c r="C170" s="159">
        <f>C59</f>
        <v>1761540</v>
      </c>
      <c r="D170" s="159">
        <f>D59</f>
        <v>1786123</v>
      </c>
      <c r="E170" s="159">
        <f>E59</f>
        <v>168742</v>
      </c>
    </row>
    <row r="171" spans="1:8" ht="15.75" x14ac:dyDescent="0.25">
      <c r="A171" s="160" t="s">
        <v>168</v>
      </c>
      <c r="B171" s="10"/>
      <c r="C171" s="161">
        <f>C118</f>
        <v>1609140</v>
      </c>
      <c r="D171" s="161">
        <f>D118</f>
        <v>1633723</v>
      </c>
      <c r="E171" s="161">
        <f>E118</f>
        <v>115778</v>
      </c>
    </row>
    <row r="172" spans="1:8" ht="15.75" x14ac:dyDescent="0.25">
      <c r="A172" s="1014" t="s">
        <v>169</v>
      </c>
      <c r="B172" s="1015"/>
      <c r="C172" s="162">
        <f t="shared" ref="C172:E172" si="50">C170-C171</f>
        <v>152400</v>
      </c>
      <c r="D172" s="162">
        <f t="shared" si="50"/>
        <v>152400</v>
      </c>
      <c r="E172" s="162">
        <f t="shared" si="50"/>
        <v>52964</v>
      </c>
    </row>
    <row r="173" spans="1:8" ht="15.75" x14ac:dyDescent="0.25">
      <c r="A173" s="160" t="s">
        <v>170</v>
      </c>
      <c r="B173" s="10"/>
      <c r="C173" s="161">
        <f>C124</f>
        <v>1669100</v>
      </c>
      <c r="D173" s="161">
        <f>D124</f>
        <v>1653200</v>
      </c>
      <c r="E173" s="161">
        <f>E124</f>
        <v>2</v>
      </c>
    </row>
    <row r="174" spans="1:8" ht="15.75" x14ac:dyDescent="0.25">
      <c r="A174" s="160" t="s">
        <v>171</v>
      </c>
      <c r="B174" s="10"/>
      <c r="C174" s="11">
        <f>C133</f>
        <v>2481900</v>
      </c>
      <c r="D174" s="11">
        <f>D133</f>
        <v>2481900</v>
      </c>
      <c r="E174" s="11">
        <f>E133</f>
        <v>0</v>
      </c>
    </row>
    <row r="175" spans="1:8" ht="15.75" x14ac:dyDescent="0.25">
      <c r="A175" s="1014" t="s">
        <v>172</v>
      </c>
      <c r="B175" s="1015"/>
      <c r="C175" s="162">
        <f t="shared" ref="C175:E175" si="51">C173-C174</f>
        <v>-812800</v>
      </c>
      <c r="D175" s="162">
        <f t="shared" si="51"/>
        <v>-828700</v>
      </c>
      <c r="E175" s="162">
        <f t="shared" si="51"/>
        <v>2</v>
      </c>
    </row>
    <row r="176" spans="1:8" ht="15.75" x14ac:dyDescent="0.25">
      <c r="A176" s="163" t="s">
        <v>173</v>
      </c>
      <c r="B176" s="164"/>
      <c r="C176" s="165">
        <f>C157</f>
        <v>714200</v>
      </c>
      <c r="D176" s="165">
        <f>D157</f>
        <v>730100</v>
      </c>
      <c r="E176" s="165">
        <f>E157</f>
        <v>0</v>
      </c>
      <c r="F176" s="208"/>
    </row>
    <row r="177" spans="1:10" ht="15.75" x14ac:dyDescent="0.25">
      <c r="A177" s="163" t="s">
        <v>174</v>
      </c>
      <c r="B177" s="164"/>
      <c r="C177" s="165">
        <f>C161</f>
        <v>53800</v>
      </c>
      <c r="D177" s="165">
        <f>D161</f>
        <v>53800</v>
      </c>
      <c r="E177" s="165">
        <f>E161</f>
        <v>61</v>
      </c>
      <c r="J177" s="172"/>
    </row>
    <row r="178" spans="1:10" ht="16.5" thickBot="1" x14ac:dyDescent="0.3">
      <c r="A178" s="1016" t="s">
        <v>175</v>
      </c>
      <c r="B178" s="1017"/>
      <c r="C178" s="166">
        <f t="shared" ref="C178:E178" si="52">C176-C177</f>
        <v>660400</v>
      </c>
      <c r="D178" s="166">
        <f t="shared" si="52"/>
        <v>676300</v>
      </c>
      <c r="E178" s="166">
        <f t="shared" si="52"/>
        <v>-61</v>
      </c>
      <c r="I178" s="172"/>
    </row>
    <row r="179" spans="1:10" ht="16.5" thickBot="1" x14ac:dyDescent="0.3">
      <c r="A179" s="167" t="s">
        <v>176</v>
      </c>
      <c r="B179" s="168"/>
      <c r="C179" s="169">
        <f t="shared" ref="C179:E179" si="53">C172+C175+C178</f>
        <v>0</v>
      </c>
      <c r="D179" s="169">
        <f t="shared" si="53"/>
        <v>0</v>
      </c>
      <c r="E179" s="169">
        <f t="shared" si="53"/>
        <v>52905</v>
      </c>
    </row>
    <row r="181" spans="1:10" x14ac:dyDescent="0.25">
      <c r="B181" s="170" t="s">
        <v>177</v>
      </c>
      <c r="C181" s="171">
        <f t="shared" ref="C181:E182" si="54">C170+C173+C176</f>
        <v>4144840</v>
      </c>
      <c r="D181" s="171">
        <f t="shared" si="54"/>
        <v>4169423</v>
      </c>
      <c r="E181" s="171">
        <f t="shared" si="54"/>
        <v>168744</v>
      </c>
      <c r="G181" s="171">
        <f>D181-C181</f>
        <v>24583</v>
      </c>
    </row>
    <row r="182" spans="1:10" x14ac:dyDescent="0.25">
      <c r="B182" s="170" t="s">
        <v>178</v>
      </c>
      <c r="C182" s="171">
        <f t="shared" si="54"/>
        <v>4144840</v>
      </c>
      <c r="D182" s="171">
        <f t="shared" si="54"/>
        <v>4169423</v>
      </c>
      <c r="E182" s="171">
        <f t="shared" si="54"/>
        <v>115839</v>
      </c>
      <c r="G182" s="171">
        <f t="shared" ref="G182:G185" si="55">D182-C182</f>
        <v>24583</v>
      </c>
    </row>
    <row r="183" spans="1:10" x14ac:dyDescent="0.25">
      <c r="B183" s="170"/>
      <c r="C183" s="171"/>
      <c r="D183" s="171"/>
      <c r="E183" s="171"/>
      <c r="G183" s="171"/>
    </row>
    <row r="184" spans="1:10" x14ac:dyDescent="0.25">
      <c r="B184" s="170" t="s">
        <v>179</v>
      </c>
      <c r="C184" s="171">
        <f>C181-C58</f>
        <v>4141840</v>
      </c>
      <c r="D184" s="171">
        <f>D181-D58</f>
        <v>4166073</v>
      </c>
      <c r="E184" s="171">
        <f>E181-E58</f>
        <v>168744</v>
      </c>
      <c r="F184" s="172"/>
      <c r="G184" s="171">
        <f t="shared" si="55"/>
        <v>24233</v>
      </c>
    </row>
    <row r="185" spans="1:10" x14ac:dyDescent="0.25">
      <c r="B185" s="170" t="s">
        <v>180</v>
      </c>
      <c r="C185" s="171">
        <f>C182-C117</f>
        <v>3716400</v>
      </c>
      <c r="D185" s="171">
        <f>D182-D117</f>
        <v>3718596</v>
      </c>
      <c r="E185" s="171">
        <f>E182-E117</f>
        <v>68764</v>
      </c>
      <c r="G185" s="171">
        <f t="shared" si="55"/>
        <v>2196</v>
      </c>
    </row>
    <row r="187" spans="1:10" x14ac:dyDescent="0.25">
      <c r="B187" t="s">
        <v>181</v>
      </c>
    </row>
    <row r="188" spans="1:10" x14ac:dyDescent="0.25">
      <c r="B188" s="172" t="s">
        <v>274</v>
      </c>
      <c r="C188" s="172"/>
      <c r="D188" s="172"/>
      <c r="E188" s="172"/>
    </row>
    <row r="189" spans="1:10" x14ac:dyDescent="0.25">
      <c r="B189" s="172" t="s">
        <v>275</v>
      </c>
    </row>
  </sheetData>
  <mergeCells count="34">
    <mergeCell ref="A1:E1"/>
    <mergeCell ref="A2:B3"/>
    <mergeCell ref="C2:C3"/>
    <mergeCell ref="D2:D3"/>
    <mergeCell ref="E2:E3"/>
    <mergeCell ref="A4:B4"/>
    <mergeCell ref="A12:B12"/>
    <mergeCell ref="A62:E62"/>
    <mergeCell ref="A63:B64"/>
    <mergeCell ref="C63:C64"/>
    <mergeCell ref="D63:D64"/>
    <mergeCell ref="E63:E64"/>
    <mergeCell ref="A81:B81"/>
    <mergeCell ref="A121:E121"/>
    <mergeCell ref="A122:B123"/>
    <mergeCell ref="C122:C123"/>
    <mergeCell ref="D122:D123"/>
    <mergeCell ref="E122:E123"/>
    <mergeCell ref="A124:B124"/>
    <mergeCell ref="A133:B133"/>
    <mergeCell ref="A154:E154"/>
    <mergeCell ref="A155:B156"/>
    <mergeCell ref="C155:C156"/>
    <mergeCell ref="D155:D156"/>
    <mergeCell ref="E155:E156"/>
    <mergeCell ref="A172:B172"/>
    <mergeCell ref="A175:B175"/>
    <mergeCell ref="A178:B178"/>
    <mergeCell ref="F160:G160"/>
    <mergeCell ref="A167:E167"/>
    <mergeCell ref="A168:B169"/>
    <mergeCell ref="C168:C169"/>
    <mergeCell ref="D168:D169"/>
    <mergeCell ref="E168:E169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&amp;C&amp;"-,Tučné"&amp;12Rozpočet obce Heľpa na rok 2017
1. zmena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opatrenia</vt:lpstr>
      <vt:lpstr>úpravy</vt:lpstr>
      <vt:lpstr>7.zmena</vt:lpstr>
      <vt:lpstr>6.zmena</vt:lpstr>
      <vt:lpstr>5.zmena</vt:lpstr>
      <vt:lpstr>4.zmena</vt:lpstr>
      <vt:lpstr>3.zmena</vt:lpstr>
      <vt:lpstr>2.zmena</vt:lpstr>
      <vt:lpstr>1.zmena</vt:lpstr>
      <vt:lpstr>2017</vt:lpstr>
      <vt:lpstr>17-19</vt:lpstr>
      <vt:lpstr>ESA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2018-02-07T08:56:05Z</dcterms:modified>
</cp:coreProperties>
</file>