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11 4" sheetId="1" r:id="rId1"/>
    <sheet name="2011 3" sheetId="2" r:id="rId2"/>
    <sheet name="2011 2" sheetId="3" r:id="rId3"/>
    <sheet name="2011 1" sheetId="4" r:id="rId4"/>
    <sheet name="2011" sheetId="5" r:id="rId5"/>
    <sheet name="2012 13" sheetId="6" r:id="rId6"/>
    <sheet name="Hárok3" sheetId="7" r:id="rId7"/>
  </sheets>
  <definedNames/>
  <calcPr fullCalcOnLoad="1"/>
</workbook>
</file>

<file path=xl/sharedStrings.xml><?xml version="1.0" encoding="utf-8"?>
<sst xmlns="http://schemas.openxmlformats.org/spreadsheetml/2006/main" count="1574" uniqueCount="286">
  <si>
    <t>Rozpočet obce Heľpa na rok 2011</t>
  </si>
  <si>
    <t>Bežný rozpočet - príjmy</t>
  </si>
  <si>
    <t>Názov položky</t>
  </si>
  <si>
    <t>Rozpočet 2011 v EUR</t>
  </si>
  <si>
    <t>daňové príjmy</t>
  </si>
  <si>
    <t>výnos dane pre územnú samosprávu</t>
  </si>
  <si>
    <t>daň z pozemkov FO, PO</t>
  </si>
  <si>
    <t>daň zo stavieb FO, PO</t>
  </si>
  <si>
    <t>daň z bytov</t>
  </si>
  <si>
    <t>daň za psa</t>
  </si>
  <si>
    <t>daň za nevýherné hracie prístroje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</si>
  <si>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</si>
  <si>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</si>
  <si>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</si>
  <si>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</si>
  <si>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</si>
  <si>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</si>
  <si>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>prenájom budov</t>
  </si>
  <si>
    <t>prenájom strojov,prístrojov,zariadení</t>
  </si>
  <si>
    <t xml:space="preserve">správne poplatky </t>
  </si>
  <si>
    <t>pokuty, sankcie</t>
  </si>
  <si>
    <t>ostatné príjmy /relácie,kopírovanie,fax,.../</t>
  </si>
  <si>
    <t>predaj odpadových nádob</t>
  </si>
  <si>
    <t>príjem za opatrovateľskú službu</t>
  </si>
  <si>
    <t>príjmy zo vstupného a kult.činnosti</t>
  </si>
  <si>
    <t>príjmy za separovaný zber</t>
  </si>
  <si>
    <t>poplatky za dom smútku</t>
  </si>
  <si>
    <t>poplatky za služby - užívanie obec.nebyt.priestorov</t>
  </si>
  <si>
    <t>ZUŠ - príspevok rodičov na náklady zariadenia</t>
  </si>
  <si>
    <t>MŠ - príspevok rodičov na náklady zariadenia</t>
  </si>
  <si>
    <t xml:space="preserve">ZŠS - prevod réžie </t>
  </si>
  <si>
    <t>predaj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</si>
  <si>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</si>
  <si>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</si>
  <si>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</si>
  <si>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</si>
  <si>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</si>
  <si>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>príjem z dobropisov a vratiek</t>
  </si>
  <si>
    <t>príjmy z refundácie za skladníka CO</t>
  </si>
  <si>
    <t>príjmy z refundácie zo SF, zam.strava</t>
  </si>
  <si>
    <t>príjem za cintorínske služby</t>
  </si>
  <si>
    <t xml:space="preserve">príjem z refundácií UPSVR mr </t>
  </si>
  <si>
    <t>príjmy z refundácii služieb nebytových priestorov</t>
  </si>
  <si>
    <t>príjmy z ostatných refundácii</t>
  </si>
  <si>
    <t>príjmy z náhrad priestupkového konania</t>
  </si>
  <si>
    <t>príjmy z katastra za ROEP</t>
  </si>
  <si>
    <t>granty, dotácie, transfery</t>
  </si>
  <si>
    <t>Granty na kultúru</t>
  </si>
  <si>
    <t>Dotácia na matričnú činnosť a REGOB</t>
  </si>
  <si>
    <t>Dotácia na stavebný úrad</t>
  </si>
  <si>
    <t>Transfer pre ZŠ - právny subjekt</t>
  </si>
  <si>
    <t>Dotácia na výchovu,vzdelávanie MŠ</t>
  </si>
  <si>
    <t>Dotácia sčítanie obyvateľov, domov, bytov</t>
  </si>
  <si>
    <t>Dotácia na osobit.príjemcu PnD</t>
  </si>
  <si>
    <t>Dotácia na deti v hm.núdzi /strava,šk.potreby/</t>
  </si>
  <si>
    <t>Transfer na rodinné prídavky</t>
  </si>
  <si>
    <t>Dotácia na PRMZ</t>
  </si>
  <si>
    <t>Dotácia na aktivačnú činnosť</t>
  </si>
  <si>
    <t>Transfer od obcí na SpU SOC</t>
  </si>
  <si>
    <t>Transfer od ZŠ na SpU ŠKOL</t>
  </si>
  <si>
    <t xml:space="preserve">Dotácia na HDST </t>
  </si>
  <si>
    <t>BEŽNÉ PRÍJMY obce:</t>
  </si>
  <si>
    <t>Vlastný príjem ZŠ</t>
  </si>
  <si>
    <t>BEŽNÉ PRÍJMY CELKOM:</t>
  </si>
  <si>
    <t>Bežný rozpočet - výdavky</t>
  </si>
  <si>
    <t>Všeobecné verejné služby</t>
  </si>
  <si>
    <t>01116</t>
  </si>
  <si>
    <t>Výdavky verejnej správy - samospráva</t>
  </si>
  <si>
    <t>0112</t>
  </si>
  <si>
    <t>Fin.a rozpoč.oblasť /HKON,OZ,audit,poplatky/</t>
  </si>
  <si>
    <t>0133</t>
  </si>
  <si>
    <t>Matričný úrad a REGOB</t>
  </si>
  <si>
    <t>0160</t>
  </si>
  <si>
    <t>Sčítanie obyvateľov, domov, bytov</t>
  </si>
  <si>
    <t>Civilná ochrana</t>
  </si>
  <si>
    <t>0220</t>
  </si>
  <si>
    <t>Skladník CO</t>
  </si>
  <si>
    <t xml:space="preserve">Požiarna ochrana </t>
  </si>
  <si>
    <t>0320</t>
  </si>
  <si>
    <t>Obecný hasičský zbor</t>
  </si>
  <si>
    <t>Všeobecná ekonomická oblasť</t>
  </si>
  <si>
    <t>0411</t>
  </si>
  <si>
    <t>Členské príspevky združeniam, organizáciám</t>
  </si>
  <si>
    <t>0443</t>
  </si>
  <si>
    <t>Spoločný stavebný úrad</t>
  </si>
  <si>
    <t>04513</t>
  </si>
  <si>
    <t>Miestne komunikácie-údržba ciest,zimná údržba</t>
  </si>
  <si>
    <t>0490</t>
  </si>
  <si>
    <t>Správa obecných objektov a majetku</t>
  </si>
  <si>
    <t>Ochrana životného prostredia</t>
  </si>
  <si>
    <t>0510</t>
  </si>
  <si>
    <t>Nakladanie s odpadmi</t>
  </si>
  <si>
    <t>0560</t>
  </si>
  <si>
    <t>Starostlivosť o ŽP, ver.zeleň, čistenie potokov</t>
  </si>
  <si>
    <t>Občianska vybavenosť</t>
  </si>
  <si>
    <t>0640</t>
  </si>
  <si>
    <t>Verejné osvetlenie</t>
  </si>
  <si>
    <t>Rekreácia, šport, kultúra, náboženstvo</t>
  </si>
  <si>
    <t>0810</t>
  </si>
  <si>
    <t>Príspevok pre Športový klub</t>
  </si>
  <si>
    <t>Údržba športového areálu</t>
  </si>
  <si>
    <t>0820</t>
  </si>
  <si>
    <t>Riadenie kultúrnych činností,propagácia</t>
  </si>
  <si>
    <t>08203</t>
  </si>
  <si>
    <t>Údržba amfiteátra</t>
  </si>
  <si>
    <t>08205</t>
  </si>
  <si>
    <t>Miestna ľudová knižnica</t>
  </si>
  <si>
    <t>08209</t>
  </si>
  <si>
    <t>Fašiangy, Mikuláš, Silvester, Zimné večery</t>
  </si>
  <si>
    <t xml:space="preserve">Kolovrátok </t>
  </si>
  <si>
    <t>Horehronské dni spevu a tanca - obec</t>
  </si>
  <si>
    <t>Kultúrne podujatia</t>
  </si>
  <si>
    <t>HDST - prevod vstupného SOS</t>
  </si>
  <si>
    <t>0830</t>
  </si>
  <si>
    <t>Údržba miest.rozhlasu, SOZA,RTVS,kronika</t>
  </si>
  <si>
    <t>0840</t>
  </si>
  <si>
    <t>Prevádzka Domu smútku a cintorína</t>
  </si>
  <si>
    <t>0860</t>
  </si>
  <si>
    <t>Minigrantový program obce, kult,šport.rozvoj</t>
  </si>
  <si>
    <t>Vzdelávanie</t>
  </si>
  <si>
    <t>09111</t>
  </si>
  <si>
    <t>MŠ, vzdel.program</t>
  </si>
  <si>
    <t>09121</t>
  </si>
  <si>
    <t>ZŠ, odvod za učebnice</t>
  </si>
  <si>
    <t>09501</t>
  </si>
  <si>
    <t>ZUŠ</t>
  </si>
  <si>
    <t>09601</t>
  </si>
  <si>
    <t>Školská kuchyňa a jedáleň</t>
  </si>
  <si>
    <t>09607</t>
  </si>
  <si>
    <t>Spoločný školský úrad</t>
  </si>
  <si>
    <t>Sociálne zabezpečenie</t>
  </si>
  <si>
    <t>10202</t>
  </si>
  <si>
    <t>Opatrovateľská služba</t>
  </si>
  <si>
    <t>10203</t>
  </si>
  <si>
    <t>Spoločný úrad sociálnej pomoci</t>
  </si>
  <si>
    <t>Mesiac úcty k starším, zlatá svadba</t>
  </si>
  <si>
    <t>10404</t>
  </si>
  <si>
    <t>Uvítanie detí do života</t>
  </si>
  <si>
    <t>1050</t>
  </si>
  <si>
    <t>Aktivačná činnosť</t>
  </si>
  <si>
    <t>10701</t>
  </si>
  <si>
    <t>Podpora reg.a miestneho zamestnávania</t>
  </si>
  <si>
    <t>Príspevok deťom v hm.núdzi -strava,šk.potreby</t>
  </si>
  <si>
    <t>10703</t>
  </si>
  <si>
    <t>Sociálna pomoc  občanom v núdzi</t>
  </si>
  <si>
    <t>1090</t>
  </si>
  <si>
    <t>Soc. pomoc pri živelných pohromách</t>
  </si>
  <si>
    <t>BEŽNÉ VÝDAVKY obce:</t>
  </si>
  <si>
    <t>Transfer pre ZŠ</t>
  </si>
  <si>
    <t>09502</t>
  </si>
  <si>
    <t>Transfer pre ŠKD</t>
  </si>
  <si>
    <t>Transfer pre ZŠ :</t>
  </si>
  <si>
    <t>BEŽNÉ VÝDAVKY CELKOM:</t>
  </si>
  <si>
    <t>Kapitálový rozpočet</t>
  </si>
  <si>
    <t>Kapitálové príjmy</t>
  </si>
  <si>
    <t>predaj pozemkov, budov</t>
  </si>
  <si>
    <t>granty</t>
  </si>
  <si>
    <t>KT Zberný dvor</t>
  </si>
  <si>
    <t>KT St.úpravy objektov ZŠ</t>
  </si>
  <si>
    <t>KT Regenerácia obce</t>
  </si>
  <si>
    <t>KT Modernizácia kotolne</t>
  </si>
  <si>
    <t>KT ČOV</t>
  </si>
  <si>
    <t>Kapitálové výdavky</t>
  </si>
  <si>
    <t>nákup pozemkov st.obvod Teplica II.</t>
  </si>
  <si>
    <t>nákup budov, objektov na ver. účely</t>
  </si>
  <si>
    <t>projektová dokumentácia</t>
  </si>
  <si>
    <t>nákup techniky, strojov, prístrojov</t>
  </si>
  <si>
    <t>výstavba zberný dvor</t>
  </si>
  <si>
    <t>0520</t>
  </si>
  <si>
    <t>kanalizácia</t>
  </si>
  <si>
    <t>výstavba ČOV</t>
  </si>
  <si>
    <t>0620</t>
  </si>
  <si>
    <t>infraštruktúra st.obvod Teplica II.</t>
  </si>
  <si>
    <t>regenerácia sídel</t>
  </si>
  <si>
    <t>rekonštrukcia amfiteátra</t>
  </si>
  <si>
    <t>modernizácia kotolne st. ZŠ</t>
  </si>
  <si>
    <t>stavebné úpravy objektov ZŠ</t>
  </si>
  <si>
    <t>ŠKJ - zariadenie kuchyne</t>
  </si>
  <si>
    <t>Finančné operácie</t>
  </si>
  <si>
    <t>príjmové</t>
  </si>
  <si>
    <t xml:space="preserve">splácanie výpomocí </t>
  </si>
  <si>
    <t>prevod z FRO - investičné akcie</t>
  </si>
  <si>
    <t>návratné zdroje financovania</t>
  </si>
  <si>
    <t>výdavkové</t>
  </si>
  <si>
    <t>splácanie inv. úveru na projekty</t>
  </si>
  <si>
    <t>splácanie úveru ŠFRB</t>
  </si>
  <si>
    <t>REKAPITULÁCIA ROZPOČTU</t>
  </si>
  <si>
    <t>príjmy bežného rozpočtu</t>
  </si>
  <si>
    <t>výdavky bežného rozpočtu</t>
  </si>
  <si>
    <t>prebytok bežného rozpočtu</t>
  </si>
  <si>
    <t>príjmy kapitálového rozpočtu</t>
  </si>
  <si>
    <t>výdavky kapitálového rozpočtu</t>
  </si>
  <si>
    <t>schodok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</si>
  <si>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</si>
  <si>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</si>
  <si>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</si>
  <si>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</si>
  <si>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</si>
  <si>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</si>
  <si>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</si>
  <si>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</si>
  <si>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Rozpočet obce Heľpa na rok 2012 - 2013</t>
  </si>
  <si>
    <t>v celých Eur</t>
  </si>
  <si>
    <t>Rozpočet 2012</t>
  </si>
  <si>
    <t>Rozpočet 2013</t>
  </si>
  <si>
    <t>projektová dokumentácia pre inv.stavby</t>
  </si>
  <si>
    <t xml:space="preserve">ŠKJ - prevod réžie </t>
  </si>
  <si>
    <t>MŠ + vzdel.program</t>
  </si>
  <si>
    <t>ZŠ + odvod za učebnice</t>
  </si>
  <si>
    <t>Údržba miest.rozhlasu, SOZA,RTVS</t>
  </si>
  <si>
    <t>Amfiteáter</t>
  </si>
  <si>
    <t>Riadenie kultúrnych činností,propagácia obce</t>
  </si>
  <si>
    <t>Mikuláš</t>
  </si>
  <si>
    <t>Silvester</t>
  </si>
  <si>
    <t>Zimné večery</t>
  </si>
  <si>
    <t>Fašiangová veselica</t>
  </si>
  <si>
    <t>Kolovrátok</t>
  </si>
  <si>
    <t>Minigrantový program obce, kultúrny a šport.rozvoj</t>
  </si>
  <si>
    <t>v  EUR</t>
  </si>
  <si>
    <t>zdroj</t>
  </si>
  <si>
    <t>druh rozpočtu</t>
  </si>
  <si>
    <t>Príjmy</t>
  </si>
  <si>
    <t>Výdavky</t>
  </si>
  <si>
    <t>schválený</t>
  </si>
  <si>
    <t>upravený</t>
  </si>
  <si>
    <t>skutočnosť</t>
  </si>
  <si>
    <t>BR O</t>
  </si>
  <si>
    <t>BR ZŠ</t>
  </si>
  <si>
    <t>spolu</t>
  </si>
  <si>
    <t>11T1</t>
  </si>
  <si>
    <t>11T2</t>
  </si>
  <si>
    <t>KR O</t>
  </si>
  <si>
    <t>FO O</t>
  </si>
  <si>
    <t>11S1</t>
  </si>
  <si>
    <t>11S2</t>
  </si>
  <si>
    <t>13S1</t>
  </si>
  <si>
    <t>13S2</t>
  </si>
  <si>
    <t>13U1</t>
  </si>
  <si>
    <t>13U2</t>
  </si>
  <si>
    <t>z toho RO - Základná škola</t>
  </si>
  <si>
    <t>BR</t>
  </si>
  <si>
    <t>Kódy zdroja rozpočtu obce MAREC 2011</t>
  </si>
  <si>
    <t>Schválený uznesením OZ č. 47/2011 dňa 30.3.2011</t>
  </si>
  <si>
    <t>Skutočnosť 3</t>
  </si>
  <si>
    <t>OZ zobralo na vedomie uznesením č.67/2011 dňa 30.3.2011</t>
  </si>
  <si>
    <t>Úprava I.</t>
  </si>
  <si>
    <t>Dotácia z uznesenia vlády</t>
  </si>
  <si>
    <t>Skutočnosť 6</t>
  </si>
  <si>
    <t>Granty</t>
  </si>
  <si>
    <t>Prevádzka ČOV</t>
  </si>
  <si>
    <t>schody od nám. k úradu</t>
  </si>
  <si>
    <t>Schválený uznesením OZ č. 73/2011 dňa 9.5.2011</t>
  </si>
  <si>
    <t>Schválený uznesením OZ č. 116/2011 dňa 21.9.2011</t>
  </si>
  <si>
    <t>Úprava II.</t>
  </si>
  <si>
    <t>Skutočnosť 9</t>
  </si>
  <si>
    <t>príjem z refundácií z DF</t>
  </si>
  <si>
    <t>BT Modernizácia kotolne</t>
  </si>
  <si>
    <t xml:space="preserve">BT ČOV </t>
  </si>
  <si>
    <t>Príspevok Lesov na opravu miestnej komunikáciu</t>
  </si>
  <si>
    <t>KT Prevencia kriminality - kamerový systém</t>
  </si>
  <si>
    <t>KT EF - Zhodnocovanie bioodpadov (kompostery)</t>
  </si>
  <si>
    <t>Externý projektový manažment k projektom</t>
  </si>
  <si>
    <t>Aktivačná činnosť a podpora region.zamestnávania</t>
  </si>
  <si>
    <t>Zhodnoc.bioodpadov  - kompostery</t>
  </si>
  <si>
    <t>Starostlivosť o ŽP, ver.zeleň, čistenie potokov,múr</t>
  </si>
  <si>
    <t>Regenerácia sídel</t>
  </si>
  <si>
    <t>Schody od nám. k OÚ</t>
  </si>
  <si>
    <t>BT Regenerácia obce</t>
  </si>
  <si>
    <t>BT Zberný dvor</t>
  </si>
  <si>
    <t>Kanalizácia</t>
  </si>
  <si>
    <t>ČOV - výstavba</t>
  </si>
  <si>
    <t>Zberný dvor - výstavba</t>
  </si>
  <si>
    <t>Infraštruktúra st.obvod Teplica II.</t>
  </si>
  <si>
    <t>BT St.úpravy ZŠ</t>
  </si>
  <si>
    <t>Úprava III.</t>
  </si>
  <si>
    <t>príspevok z Recyklačného fondu</t>
  </si>
  <si>
    <t>Dotácia EF - Zhodnocovanie bioodpadov (kompostery)</t>
  </si>
  <si>
    <t>EF - kompostery</t>
  </si>
  <si>
    <t>Starostlivosť o ŽP, ver.zeleň, potoky, oporný múr</t>
  </si>
  <si>
    <t xml:space="preserve">percento </t>
  </si>
  <si>
    <t>plnenia</t>
  </si>
  <si>
    <t>čerpania</t>
  </si>
  <si>
    <t>Schválený uznesením OZ č. 123/2011 dňa 2.12.2011</t>
  </si>
  <si>
    <t>Skutočnosť 12</t>
  </si>
  <si>
    <t>x</t>
  </si>
  <si>
    <t>Schody od nám. k OÚ, múrik,madlo, moder.kotolne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</si>
</sst>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</numFmts>
  <fonts count="35">
    <font>
      <sz val="10"/>
      <name val="Arial CE"/>
      <family val="0"/>
    </font>
    <font>
      <b/>
      <sz val="16"/>
      <name val="Arial CE"/>
      <family val="2"/>
    </font>
    <font>
      <b/>
      <sz val="14"/>
      <name val="Bookman Old Style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41"/>
      <name val="Arial CE"/>
      <family val="2"/>
    </font>
    <font>
      <b/>
      <sz val="11"/>
      <name val="Arial CE"/>
      <family val="2"/>
    </font>
    <font>
      <b/>
      <sz val="14"/>
      <color indexed="10"/>
      <name val="Bookman Old Style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21" borderId="5" applyNumberFormat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3" fontId="3" fillId="7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3" fillId="7" borderId="2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3" fontId="3" fillId="7" borderId="28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4" fillId="7" borderId="26" xfId="0" applyFont="1" applyFill="1" applyBorder="1" applyAlignment="1">
      <alignment/>
    </xf>
    <xf numFmtId="0" fontId="0" fillId="7" borderId="27" xfId="0" applyFill="1" applyBorder="1" applyAlignment="1">
      <alignment/>
    </xf>
    <xf numFmtId="3" fontId="4" fillId="7" borderId="28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4" borderId="26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3" fontId="3" fillId="4" borderId="28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49" fontId="0" fillId="0" borderId="17" xfId="0" applyNumberFormat="1" applyBorder="1" applyAlignment="1">
      <alignment horizontal="right"/>
    </xf>
    <xf numFmtId="49" fontId="0" fillId="0" borderId="17" xfId="0" applyNumberFormat="1" applyFill="1" applyBorder="1" applyAlignment="1">
      <alignment horizontal="right"/>
    </xf>
    <xf numFmtId="49" fontId="0" fillId="0" borderId="38" xfId="0" applyNumberForma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49" fontId="0" fillId="0" borderId="35" xfId="0" applyNumberFormat="1" applyFill="1" applyBorder="1" applyAlignment="1">
      <alignment horizontal="right"/>
    </xf>
    <xf numFmtId="3" fontId="0" fillId="0" borderId="39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0" fontId="0" fillId="4" borderId="27" xfId="0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49" fontId="0" fillId="0" borderId="32" xfId="0" applyNumberFormat="1" applyFill="1" applyBorder="1" applyAlignment="1">
      <alignment horizontal="right"/>
    </xf>
    <xf numFmtId="3" fontId="0" fillId="0" borderId="34" xfId="0" applyNumberFormat="1" applyFont="1" applyFill="1" applyBorder="1" applyAlignment="1">
      <alignment/>
    </xf>
    <xf numFmtId="49" fontId="0" fillId="0" borderId="23" xfId="0" applyNumberFormat="1" applyFill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49" fontId="0" fillId="0" borderId="20" xfId="0" applyNumberFormat="1" applyFill="1" applyBorder="1" applyAlignment="1">
      <alignment horizontal="right"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49" fontId="0" fillId="0" borderId="32" xfId="0" applyNumberFormat="1" applyFont="1" applyFill="1" applyBorder="1" applyAlignment="1">
      <alignment horizontal="right"/>
    </xf>
    <xf numFmtId="49" fontId="3" fillId="4" borderId="26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49" fontId="0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0" fontId="4" fillId="4" borderId="42" xfId="0" applyFont="1" applyFill="1" applyBorder="1" applyAlignment="1">
      <alignment/>
    </xf>
    <xf numFmtId="0" fontId="0" fillId="4" borderId="43" xfId="0" applyFill="1" applyBorder="1" applyAlignment="1">
      <alignment/>
    </xf>
    <xf numFmtId="3" fontId="4" fillId="4" borderId="39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/>
    </xf>
    <xf numFmtId="3" fontId="3" fillId="22" borderId="37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" fontId="4" fillId="4" borderId="28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8" xfId="0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4" fillId="8" borderId="44" xfId="0" applyNumberFormat="1" applyFont="1" applyFill="1" applyBorder="1" applyAlignment="1">
      <alignment horizontal="left"/>
    </xf>
    <xf numFmtId="49" fontId="0" fillId="0" borderId="30" xfId="0" applyNumberFormat="1" applyFill="1" applyBorder="1" applyAlignment="1">
      <alignment horizontal="right"/>
    </xf>
    <xf numFmtId="3" fontId="0" fillId="0" borderId="45" xfId="0" applyNumberFormat="1" applyBorder="1" applyAlignment="1">
      <alignment/>
    </xf>
    <xf numFmtId="49" fontId="0" fillId="0" borderId="38" xfId="0" applyNumberFormat="1" applyFont="1" applyFill="1" applyBorder="1" applyAlignment="1">
      <alignment horizontal="right"/>
    </xf>
    <xf numFmtId="49" fontId="0" fillId="0" borderId="36" xfId="0" applyNumberFormat="1" applyFont="1" applyFill="1" applyBorder="1" applyAlignment="1">
      <alignment horizontal="left"/>
    </xf>
    <xf numFmtId="3" fontId="0" fillId="0" borderId="46" xfId="0" applyNumberFormat="1" applyFont="1" applyFill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Font="1" applyFill="1" applyBorder="1" applyAlignment="1">
      <alignment horizontal="left"/>
    </xf>
    <xf numFmtId="3" fontId="0" fillId="0" borderId="25" xfId="0" applyNumberFormat="1" applyFill="1" applyBorder="1" applyAlignment="1">
      <alignment/>
    </xf>
    <xf numFmtId="49" fontId="0" fillId="0" borderId="18" xfId="0" applyNumberFormat="1" applyFon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4" fillId="22" borderId="28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8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3" fontId="4" fillId="0" borderId="34" xfId="0" applyNumberFormat="1" applyFont="1" applyFill="1" applyBorder="1" applyAlignment="1">
      <alignment/>
    </xf>
    <xf numFmtId="3" fontId="12" fillId="24" borderId="28" xfId="0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6" fillId="8" borderId="10" xfId="0" applyNumberFormat="1" applyFont="1" applyFill="1" applyBorder="1" applyAlignment="1">
      <alignment horizontal="left"/>
    </xf>
    <xf numFmtId="3" fontId="4" fillId="8" borderId="28" xfId="0" applyNumberFormat="1" applyFont="1" applyFill="1" applyBorder="1" applyAlignment="1">
      <alignment horizontal="left"/>
    </xf>
    <xf numFmtId="3" fontId="0" fillId="0" borderId="37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8" fillId="7" borderId="49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8" fillId="7" borderId="48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22" borderId="51" xfId="0" applyFont="1" applyFill="1" applyBorder="1" applyAlignment="1">
      <alignment horizontal="center"/>
    </xf>
    <xf numFmtId="3" fontId="8" fillId="22" borderId="52" xfId="0" applyNumberFormat="1" applyFont="1" applyFill="1" applyBorder="1" applyAlignment="1">
      <alignment/>
    </xf>
    <xf numFmtId="3" fontId="8" fillId="22" borderId="53" xfId="0" applyNumberFormat="1" applyFont="1" applyFill="1" applyBorder="1" applyAlignment="1">
      <alignment/>
    </xf>
    <xf numFmtId="3" fontId="8" fillId="22" borderId="41" xfId="0" applyNumberFormat="1" applyFont="1" applyFill="1" applyBorder="1" applyAlignment="1">
      <alignment/>
    </xf>
    <xf numFmtId="3" fontId="8" fillId="22" borderId="24" xfId="0" applyNumberFormat="1" applyFont="1" applyFill="1" applyBorder="1" applyAlignment="1">
      <alignment/>
    </xf>
    <xf numFmtId="3" fontId="8" fillId="22" borderId="54" xfId="0" applyNumberFormat="1" applyFont="1" applyFill="1" applyBorder="1" applyAlignment="1">
      <alignment/>
    </xf>
    <xf numFmtId="0" fontId="8" fillId="22" borderId="55" xfId="0" applyFont="1" applyFill="1" applyBorder="1" applyAlignment="1">
      <alignment horizontal="center"/>
    </xf>
    <xf numFmtId="3" fontId="8" fillId="22" borderId="48" xfId="0" applyNumberFormat="1" applyFont="1" applyFill="1" applyBorder="1" applyAlignment="1">
      <alignment/>
    </xf>
    <xf numFmtId="3" fontId="8" fillId="22" borderId="50" xfId="0" applyNumberFormat="1" applyFont="1" applyFill="1" applyBorder="1" applyAlignment="1">
      <alignment/>
    </xf>
    <xf numFmtId="3" fontId="8" fillId="22" borderId="47" xfId="0" applyNumberFormat="1" applyFont="1" applyFill="1" applyBorder="1" applyAlignment="1">
      <alignment/>
    </xf>
    <xf numFmtId="3" fontId="8" fillId="22" borderId="33" xfId="0" applyNumberFormat="1" applyFont="1" applyFill="1" applyBorder="1" applyAlignment="1">
      <alignment/>
    </xf>
    <xf numFmtId="3" fontId="8" fillId="22" borderId="56" xfId="0" applyNumberFormat="1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3" fontId="4" fillId="22" borderId="57" xfId="0" applyNumberFormat="1" applyFont="1" applyFill="1" applyBorder="1" applyAlignment="1">
      <alignment/>
    </xf>
    <xf numFmtId="3" fontId="4" fillId="22" borderId="58" xfId="0" applyNumberFormat="1" applyFont="1" applyFill="1" applyBorder="1" applyAlignment="1">
      <alignment/>
    </xf>
    <xf numFmtId="3" fontId="4" fillId="22" borderId="27" xfId="0" applyNumberFormat="1" applyFont="1" applyFill="1" applyBorder="1" applyAlignment="1">
      <alignment/>
    </xf>
    <xf numFmtId="3" fontId="4" fillId="22" borderId="59" xfId="0" applyNumberFormat="1" applyFont="1" applyFill="1" applyBorder="1" applyAlignment="1">
      <alignment/>
    </xf>
    <xf numFmtId="3" fontId="4" fillId="22" borderId="44" xfId="0" applyNumberFormat="1" applyFont="1" applyFill="1" applyBorder="1" applyAlignment="1">
      <alignment/>
    </xf>
    <xf numFmtId="0" fontId="8" fillId="4" borderId="51" xfId="0" applyFont="1" applyFill="1" applyBorder="1" applyAlignment="1">
      <alignment horizontal="center"/>
    </xf>
    <xf numFmtId="3" fontId="8" fillId="4" borderId="52" xfId="0" applyNumberFormat="1" applyFont="1" applyFill="1" applyBorder="1" applyAlignment="1">
      <alignment/>
    </xf>
    <xf numFmtId="3" fontId="8" fillId="4" borderId="53" xfId="0" applyNumberFormat="1" applyFont="1" applyFill="1" applyBorder="1" applyAlignment="1">
      <alignment/>
    </xf>
    <xf numFmtId="3" fontId="8" fillId="4" borderId="41" xfId="0" applyNumberFormat="1" applyFont="1" applyFill="1" applyBorder="1" applyAlignment="1">
      <alignment/>
    </xf>
    <xf numFmtId="3" fontId="8" fillId="4" borderId="24" xfId="0" applyNumberFormat="1" applyFont="1" applyFill="1" applyBorder="1" applyAlignment="1">
      <alignment/>
    </xf>
    <xf numFmtId="3" fontId="8" fillId="4" borderId="54" xfId="0" applyNumberFormat="1" applyFont="1" applyFill="1" applyBorder="1" applyAlignment="1">
      <alignment/>
    </xf>
    <xf numFmtId="0" fontId="8" fillId="4" borderId="60" xfId="0" applyFont="1" applyFill="1" applyBorder="1" applyAlignment="1">
      <alignment horizontal="center"/>
    </xf>
    <xf numFmtId="3" fontId="8" fillId="4" borderId="61" xfId="0" applyNumberFormat="1" applyFont="1" applyFill="1" applyBorder="1" applyAlignment="1">
      <alignment/>
    </xf>
    <xf numFmtId="3" fontId="8" fillId="4" borderId="62" xfId="0" applyNumberFormat="1" applyFont="1" applyFill="1" applyBorder="1" applyAlignment="1">
      <alignment/>
    </xf>
    <xf numFmtId="3" fontId="8" fillId="4" borderId="31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8" fillId="4" borderId="63" xfId="0" applyNumberFormat="1" applyFont="1" applyFill="1" applyBorder="1" applyAlignment="1">
      <alignment/>
    </xf>
    <xf numFmtId="0" fontId="4" fillId="4" borderId="64" xfId="0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/>
    </xf>
    <xf numFmtId="3" fontId="4" fillId="4" borderId="65" xfId="0" applyNumberFormat="1" applyFont="1" applyFill="1" applyBorder="1" applyAlignment="1">
      <alignment/>
    </xf>
    <xf numFmtId="3" fontId="4" fillId="4" borderId="36" xfId="0" applyNumberFormat="1" applyFont="1" applyFill="1" applyBorder="1" applyAlignment="1">
      <alignment/>
    </xf>
    <xf numFmtId="3" fontId="4" fillId="4" borderId="38" xfId="0" applyNumberFormat="1" applyFont="1" applyFill="1" applyBorder="1" applyAlignment="1">
      <alignment/>
    </xf>
    <xf numFmtId="3" fontId="4" fillId="4" borderId="46" xfId="0" applyNumberFormat="1" applyFont="1" applyFill="1" applyBorder="1" applyAlignment="1">
      <alignment/>
    </xf>
    <xf numFmtId="0" fontId="8" fillId="22" borderId="60" xfId="0" applyFont="1" applyFill="1" applyBorder="1" applyAlignment="1">
      <alignment horizontal="center"/>
    </xf>
    <xf numFmtId="3" fontId="8" fillId="22" borderId="61" xfId="0" applyNumberFormat="1" applyFont="1" applyFill="1" applyBorder="1" applyAlignment="1">
      <alignment/>
    </xf>
    <xf numFmtId="3" fontId="8" fillId="22" borderId="62" xfId="0" applyNumberFormat="1" applyFont="1" applyFill="1" applyBorder="1" applyAlignment="1">
      <alignment/>
    </xf>
    <xf numFmtId="3" fontId="8" fillId="22" borderId="31" xfId="0" applyNumberFormat="1" applyFont="1" applyFill="1" applyBorder="1" applyAlignment="1">
      <alignment/>
    </xf>
    <xf numFmtId="3" fontId="8" fillId="22" borderId="12" xfId="0" applyNumberFormat="1" applyFont="1" applyFill="1" applyBorder="1" applyAlignment="1">
      <alignment/>
    </xf>
    <xf numFmtId="3" fontId="8" fillId="22" borderId="63" xfId="0" applyNumberFormat="1" applyFont="1" applyFill="1" applyBorder="1" applyAlignment="1">
      <alignment/>
    </xf>
    <xf numFmtId="0" fontId="4" fillId="22" borderId="60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3" fontId="8" fillId="4" borderId="67" xfId="0" applyNumberFormat="1" applyFont="1" applyFill="1" applyBorder="1" applyAlignment="1">
      <alignment/>
    </xf>
    <xf numFmtId="3" fontId="8" fillId="4" borderId="68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3" fontId="8" fillId="4" borderId="15" xfId="0" applyNumberFormat="1" applyFont="1" applyFill="1" applyBorder="1" applyAlignment="1">
      <alignment/>
    </xf>
    <xf numFmtId="3" fontId="8" fillId="4" borderId="69" xfId="0" applyNumberFormat="1" applyFont="1" applyFill="1" applyBorder="1" applyAlignment="1">
      <alignment/>
    </xf>
    <xf numFmtId="0" fontId="8" fillId="4" borderId="70" xfId="0" applyFont="1" applyFill="1" applyBorder="1" applyAlignment="1">
      <alignment horizontal="center"/>
    </xf>
    <xf numFmtId="3" fontId="8" fillId="4" borderId="71" xfId="0" applyNumberFormat="1" applyFont="1" applyFill="1" applyBorder="1" applyAlignment="1">
      <alignment/>
    </xf>
    <xf numFmtId="3" fontId="8" fillId="4" borderId="40" xfId="0" applyNumberFormat="1" applyFont="1" applyFill="1" applyBorder="1" applyAlignment="1">
      <alignment/>
    </xf>
    <xf numFmtId="3" fontId="8" fillId="4" borderId="30" xfId="0" applyNumberFormat="1" applyFont="1" applyFill="1" applyBorder="1" applyAlignment="1">
      <alignment/>
    </xf>
    <xf numFmtId="3" fontId="8" fillId="4" borderId="18" xfId="0" applyNumberFormat="1" applyFont="1" applyFill="1" applyBorder="1" applyAlignment="1">
      <alignment/>
    </xf>
    <xf numFmtId="3" fontId="8" fillId="4" borderId="45" xfId="0" applyNumberFormat="1" applyFont="1" applyFill="1" applyBorder="1" applyAlignment="1">
      <alignment/>
    </xf>
    <xf numFmtId="0" fontId="8" fillId="4" borderId="55" xfId="0" applyFont="1" applyFill="1" applyBorder="1" applyAlignment="1">
      <alignment horizontal="center"/>
    </xf>
    <xf numFmtId="3" fontId="8" fillId="4" borderId="48" xfId="0" applyNumberFormat="1" applyFont="1" applyFill="1" applyBorder="1" applyAlignment="1">
      <alignment/>
    </xf>
    <xf numFmtId="3" fontId="8" fillId="4" borderId="50" xfId="0" applyNumberFormat="1" applyFont="1" applyFill="1" applyBorder="1" applyAlignment="1">
      <alignment/>
    </xf>
    <xf numFmtId="3" fontId="8" fillId="4" borderId="47" xfId="0" applyNumberFormat="1" applyFont="1" applyFill="1" applyBorder="1" applyAlignment="1">
      <alignment/>
    </xf>
    <xf numFmtId="3" fontId="8" fillId="4" borderId="33" xfId="0" applyNumberFormat="1" applyFont="1" applyFill="1" applyBorder="1" applyAlignment="1">
      <alignment/>
    </xf>
    <xf numFmtId="3" fontId="8" fillId="4" borderId="56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3" fontId="4" fillId="4" borderId="57" xfId="0" applyNumberFormat="1" applyFont="1" applyFill="1" applyBorder="1" applyAlignment="1">
      <alignment/>
    </xf>
    <xf numFmtId="3" fontId="4" fillId="4" borderId="58" xfId="0" applyNumberFormat="1" applyFon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4" fillId="4" borderId="59" xfId="0" applyNumberFormat="1" applyFont="1" applyFill="1" applyBorder="1" applyAlignment="1">
      <alignment/>
    </xf>
    <xf numFmtId="3" fontId="4" fillId="4" borderId="44" xfId="0" applyNumberFormat="1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/>
    </xf>
    <xf numFmtId="3" fontId="4" fillId="22" borderId="57" xfId="0" applyNumberFormat="1" applyFont="1" applyFill="1" applyBorder="1" applyAlignment="1">
      <alignment/>
    </xf>
    <xf numFmtId="3" fontId="4" fillId="22" borderId="58" xfId="0" applyNumberFormat="1" applyFont="1" applyFill="1" applyBorder="1" applyAlignment="1">
      <alignment/>
    </xf>
    <xf numFmtId="3" fontId="4" fillId="22" borderId="59" xfId="0" applyNumberFormat="1" applyFont="1" applyFill="1" applyBorder="1" applyAlignment="1">
      <alignment/>
    </xf>
    <xf numFmtId="3" fontId="4" fillId="22" borderId="27" xfId="0" applyNumberFormat="1" applyFont="1" applyFill="1" applyBorder="1" applyAlignment="1">
      <alignment/>
    </xf>
    <xf numFmtId="3" fontId="4" fillId="22" borderId="44" xfId="0" applyNumberFormat="1" applyFont="1" applyFill="1" applyBorder="1" applyAlignment="1">
      <alignment/>
    </xf>
    <xf numFmtId="0" fontId="8" fillId="4" borderId="60" xfId="0" applyFont="1" applyFill="1" applyBorder="1" applyAlignment="1">
      <alignment horizontal="center" vertical="center"/>
    </xf>
    <xf numFmtId="0" fontId="4" fillId="22" borderId="72" xfId="0" applyFont="1" applyFill="1" applyBorder="1" applyAlignment="1">
      <alignment horizontal="center"/>
    </xf>
    <xf numFmtId="3" fontId="4" fillId="22" borderId="73" xfId="0" applyNumberFormat="1" applyFont="1" applyFill="1" applyBorder="1" applyAlignment="1">
      <alignment/>
    </xf>
    <xf numFmtId="3" fontId="4" fillId="22" borderId="74" xfId="0" applyNumberFormat="1" applyFont="1" applyFill="1" applyBorder="1" applyAlignment="1">
      <alignment/>
    </xf>
    <xf numFmtId="3" fontId="4" fillId="22" borderId="43" xfId="0" applyNumberFormat="1" applyFont="1" applyFill="1" applyBorder="1" applyAlignment="1">
      <alignment/>
    </xf>
    <xf numFmtId="3" fontId="4" fillId="22" borderId="75" xfId="0" applyNumberFormat="1" applyFont="1" applyFill="1" applyBorder="1" applyAlignment="1">
      <alignment/>
    </xf>
    <xf numFmtId="3" fontId="4" fillId="22" borderId="76" xfId="0" applyNumberFormat="1" applyFont="1" applyFill="1" applyBorder="1" applyAlignment="1">
      <alignment/>
    </xf>
    <xf numFmtId="0" fontId="8" fillId="4" borderId="51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/>
    </xf>
    <xf numFmtId="3" fontId="4" fillId="4" borderId="52" xfId="0" applyNumberFormat="1" applyFont="1" applyFill="1" applyBorder="1" applyAlignment="1">
      <alignment/>
    </xf>
    <xf numFmtId="3" fontId="4" fillId="4" borderId="53" xfId="0" applyNumberFormat="1" applyFont="1" applyFill="1" applyBorder="1" applyAlignment="1">
      <alignment/>
    </xf>
    <xf numFmtId="3" fontId="4" fillId="4" borderId="41" xfId="0" applyNumberFormat="1" applyFont="1" applyFill="1" applyBorder="1" applyAlignment="1">
      <alignment/>
    </xf>
    <xf numFmtId="3" fontId="4" fillId="4" borderId="24" xfId="0" applyNumberFormat="1" applyFont="1" applyFill="1" applyBorder="1" applyAlignment="1">
      <alignment/>
    </xf>
    <xf numFmtId="3" fontId="4" fillId="4" borderId="54" xfId="0" applyNumberFormat="1" applyFont="1" applyFill="1" applyBorder="1" applyAlignment="1">
      <alignment/>
    </xf>
    <xf numFmtId="0" fontId="8" fillId="4" borderId="38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/>
    </xf>
    <xf numFmtId="3" fontId="4" fillId="4" borderId="48" xfId="0" applyNumberFormat="1" applyFont="1" applyFill="1" applyBorder="1" applyAlignment="1">
      <alignment/>
    </xf>
    <xf numFmtId="3" fontId="4" fillId="4" borderId="50" xfId="0" applyNumberFormat="1" applyFont="1" applyFill="1" applyBorder="1" applyAlignment="1">
      <alignment/>
    </xf>
    <xf numFmtId="3" fontId="4" fillId="4" borderId="47" xfId="0" applyNumberFormat="1" applyFont="1" applyFill="1" applyBorder="1" applyAlignment="1">
      <alignment/>
    </xf>
    <xf numFmtId="3" fontId="4" fillId="4" borderId="33" xfId="0" applyNumberFormat="1" applyFont="1" applyFill="1" applyBorder="1" applyAlignment="1">
      <alignment/>
    </xf>
    <xf numFmtId="3" fontId="4" fillId="4" borderId="56" xfId="0" applyNumberFormat="1" applyFont="1" applyFill="1" applyBorder="1" applyAlignment="1">
      <alignment/>
    </xf>
    <xf numFmtId="0" fontId="8" fillId="22" borderId="51" xfId="0" applyFont="1" applyFill="1" applyBorder="1" applyAlignment="1">
      <alignment horizontal="center" vertical="center"/>
    </xf>
    <xf numFmtId="0" fontId="4" fillId="22" borderId="51" xfId="0" applyFont="1" applyFill="1" applyBorder="1" applyAlignment="1">
      <alignment horizontal="center"/>
    </xf>
    <xf numFmtId="3" fontId="4" fillId="22" borderId="52" xfId="0" applyNumberFormat="1" applyFont="1" applyFill="1" applyBorder="1" applyAlignment="1">
      <alignment/>
    </xf>
    <xf numFmtId="3" fontId="4" fillId="22" borderId="53" xfId="0" applyNumberFormat="1" applyFont="1" applyFill="1" applyBorder="1" applyAlignment="1">
      <alignment/>
    </xf>
    <xf numFmtId="3" fontId="4" fillId="22" borderId="41" xfId="0" applyNumberFormat="1" applyFont="1" applyFill="1" applyBorder="1" applyAlignment="1">
      <alignment/>
    </xf>
    <xf numFmtId="3" fontId="4" fillId="22" borderId="24" xfId="0" applyNumberFormat="1" applyFont="1" applyFill="1" applyBorder="1" applyAlignment="1">
      <alignment/>
    </xf>
    <xf numFmtId="3" fontId="4" fillId="22" borderId="54" xfId="0" applyNumberFormat="1" applyFont="1" applyFill="1" applyBorder="1" applyAlignment="1">
      <alignment/>
    </xf>
    <xf numFmtId="0" fontId="8" fillId="22" borderId="31" xfId="0" applyFont="1" applyFill="1" applyBorder="1" applyAlignment="1">
      <alignment horizontal="center" vertical="center"/>
    </xf>
    <xf numFmtId="3" fontId="4" fillId="22" borderId="61" xfId="0" applyNumberFormat="1" applyFont="1" applyFill="1" applyBorder="1" applyAlignment="1">
      <alignment/>
    </xf>
    <xf numFmtId="3" fontId="4" fillId="22" borderId="62" xfId="0" applyNumberFormat="1" applyFont="1" applyFill="1" applyBorder="1" applyAlignment="1">
      <alignment/>
    </xf>
    <xf numFmtId="3" fontId="4" fillId="22" borderId="31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/>
    </xf>
    <xf numFmtId="3" fontId="4" fillId="22" borderId="63" xfId="0" applyNumberFormat="1" applyFont="1" applyFill="1" applyBorder="1" applyAlignment="1">
      <alignment/>
    </xf>
    <xf numFmtId="3" fontId="4" fillId="4" borderId="52" xfId="0" applyNumberFormat="1" applyFont="1" applyFill="1" applyBorder="1" applyAlignment="1">
      <alignment/>
    </xf>
    <xf numFmtId="3" fontId="4" fillId="4" borderId="53" xfId="0" applyNumberFormat="1" applyFont="1" applyFill="1" applyBorder="1" applyAlignment="1">
      <alignment/>
    </xf>
    <xf numFmtId="3" fontId="4" fillId="4" borderId="41" xfId="0" applyNumberFormat="1" applyFont="1" applyFill="1" applyBorder="1" applyAlignment="1">
      <alignment/>
    </xf>
    <xf numFmtId="3" fontId="4" fillId="4" borderId="24" xfId="0" applyNumberFormat="1" applyFont="1" applyFill="1" applyBorder="1" applyAlignment="1">
      <alignment/>
    </xf>
    <xf numFmtId="3" fontId="4" fillId="4" borderId="54" xfId="0" applyNumberFormat="1" applyFont="1" applyFill="1" applyBorder="1" applyAlignment="1">
      <alignment/>
    </xf>
    <xf numFmtId="0" fontId="8" fillId="4" borderId="77" xfId="0" applyFont="1" applyFill="1" applyBorder="1" applyAlignment="1">
      <alignment horizontal="center"/>
    </xf>
    <xf numFmtId="3" fontId="4" fillId="4" borderId="78" xfId="0" applyNumberFormat="1" applyFont="1" applyFill="1" applyBorder="1" applyAlignment="1">
      <alignment/>
    </xf>
    <xf numFmtId="3" fontId="4" fillId="4" borderId="79" xfId="0" applyNumberFormat="1" applyFont="1" applyFill="1" applyBorder="1" applyAlignment="1">
      <alignment/>
    </xf>
    <xf numFmtId="3" fontId="4" fillId="4" borderId="80" xfId="0" applyNumberFormat="1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3" fontId="4" fillId="4" borderId="81" xfId="0" applyNumberFormat="1" applyFont="1" applyFill="1" applyBorder="1" applyAlignment="1">
      <alignment/>
    </xf>
    <xf numFmtId="0" fontId="8" fillId="22" borderId="66" xfId="0" applyFont="1" applyFill="1" applyBorder="1" applyAlignment="1">
      <alignment horizontal="center"/>
    </xf>
    <xf numFmtId="3" fontId="8" fillId="22" borderId="67" xfId="0" applyNumberFormat="1" applyFont="1" applyFill="1" applyBorder="1" applyAlignment="1">
      <alignment/>
    </xf>
    <xf numFmtId="3" fontId="8" fillId="22" borderId="68" xfId="0" applyNumberFormat="1" applyFont="1" applyFill="1" applyBorder="1" applyAlignment="1">
      <alignment/>
    </xf>
    <xf numFmtId="3" fontId="8" fillId="22" borderId="29" xfId="0" applyNumberFormat="1" applyFont="1" applyFill="1" applyBorder="1" applyAlignment="1">
      <alignment/>
    </xf>
    <xf numFmtId="3" fontId="8" fillId="22" borderId="15" xfId="0" applyNumberFormat="1" applyFont="1" applyFill="1" applyBorder="1" applyAlignment="1">
      <alignment/>
    </xf>
    <xf numFmtId="3" fontId="8" fillId="22" borderId="69" xfId="0" applyNumberFormat="1" applyFont="1" applyFill="1" applyBorder="1" applyAlignment="1">
      <alignment/>
    </xf>
    <xf numFmtId="0" fontId="8" fillId="22" borderId="70" xfId="0" applyFont="1" applyFill="1" applyBorder="1" applyAlignment="1">
      <alignment horizontal="center"/>
    </xf>
    <xf numFmtId="3" fontId="8" fillId="22" borderId="71" xfId="0" applyNumberFormat="1" applyFont="1" applyFill="1" applyBorder="1" applyAlignment="1">
      <alignment/>
    </xf>
    <xf numFmtId="3" fontId="8" fillId="22" borderId="40" xfId="0" applyNumberFormat="1" applyFont="1" applyFill="1" applyBorder="1" applyAlignment="1">
      <alignment/>
    </xf>
    <xf numFmtId="3" fontId="8" fillId="22" borderId="30" xfId="0" applyNumberFormat="1" applyFont="1" applyFill="1" applyBorder="1" applyAlignment="1">
      <alignment/>
    </xf>
    <xf numFmtId="3" fontId="8" fillId="22" borderId="18" xfId="0" applyNumberFormat="1" applyFont="1" applyFill="1" applyBorder="1" applyAlignment="1">
      <alignment/>
    </xf>
    <xf numFmtId="3" fontId="8" fillId="22" borderId="45" xfId="0" applyNumberFormat="1" applyFont="1" applyFill="1" applyBorder="1" applyAlignment="1">
      <alignment/>
    </xf>
    <xf numFmtId="0" fontId="8" fillId="22" borderId="64" xfId="0" applyFont="1" applyFill="1" applyBorder="1" applyAlignment="1">
      <alignment horizontal="center"/>
    </xf>
    <xf numFmtId="3" fontId="8" fillId="22" borderId="0" xfId="0" applyNumberFormat="1" applyFont="1" applyFill="1" applyBorder="1" applyAlignment="1">
      <alignment/>
    </xf>
    <xf numFmtId="3" fontId="8" fillId="22" borderId="65" xfId="0" applyNumberFormat="1" applyFont="1" applyFill="1" applyBorder="1" applyAlignment="1">
      <alignment/>
    </xf>
    <xf numFmtId="3" fontId="8" fillId="22" borderId="36" xfId="0" applyNumberFormat="1" applyFont="1" applyFill="1" applyBorder="1" applyAlignment="1">
      <alignment/>
    </xf>
    <xf numFmtId="3" fontId="8" fillId="22" borderId="38" xfId="0" applyNumberFormat="1" applyFont="1" applyFill="1" applyBorder="1" applyAlignment="1">
      <alignment/>
    </xf>
    <xf numFmtId="3" fontId="8" fillId="22" borderId="46" xfId="0" applyNumberFormat="1" applyFont="1" applyFill="1" applyBorder="1" applyAlignment="1">
      <alignment/>
    </xf>
    <xf numFmtId="3" fontId="4" fillId="22" borderId="26" xfId="0" applyNumberFormat="1" applyFont="1" applyFill="1" applyBorder="1" applyAlignment="1">
      <alignment/>
    </xf>
    <xf numFmtId="3" fontId="4" fillId="22" borderId="82" xfId="0" applyNumberFormat="1" applyFont="1" applyFill="1" applyBorder="1" applyAlignment="1">
      <alignment/>
    </xf>
    <xf numFmtId="3" fontId="4" fillId="7" borderId="26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7" borderId="25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79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78" xfId="0" applyFont="1" applyFill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51" xfId="0" applyFont="1" applyBorder="1" applyAlignment="1">
      <alignment horizontal="center"/>
    </xf>
    <xf numFmtId="3" fontId="8" fillId="0" borderId="23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0" fontId="8" fillId="0" borderId="30" xfId="0" applyFont="1" applyBorder="1" applyAlignment="1">
      <alignment horizontal="right"/>
    </xf>
    <xf numFmtId="0" fontId="8" fillId="0" borderId="70" xfId="0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66" xfId="0" applyFont="1" applyBorder="1" applyAlignment="1">
      <alignment horizontal="center"/>
    </xf>
    <xf numFmtId="3" fontId="8" fillId="0" borderId="29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60" xfId="0" applyFont="1" applyBorder="1" applyAlignment="1">
      <alignment horizontal="center"/>
    </xf>
    <xf numFmtId="3" fontId="8" fillId="0" borderId="35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7" borderId="59" xfId="0" applyNumberFormat="1" applyFont="1" applyFill="1" applyBorder="1" applyAlignment="1">
      <alignment/>
    </xf>
    <xf numFmtId="3" fontId="4" fillId="7" borderId="28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4" fillId="0" borderId="39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3" fontId="14" fillId="0" borderId="37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4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4" fillId="0" borderId="3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33" fillId="0" borderId="19" xfId="0" applyNumberFormat="1" applyFont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3" fontId="34" fillId="0" borderId="19" xfId="0" applyNumberFormat="1" applyFont="1" applyFill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49" fontId="0" fillId="0" borderId="29" xfId="0" applyNumberFormat="1" applyBorder="1" applyAlignment="1">
      <alignment horizontal="right"/>
    </xf>
    <xf numFmtId="3" fontId="4" fillId="0" borderId="3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3" fontId="0" fillId="0" borderId="16" xfId="0" applyNumberForma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3" fontId="0" fillId="0" borderId="81" xfId="0" applyNumberFormat="1" applyFont="1" applyFill="1" applyBorder="1" applyAlignment="1">
      <alignment horizontal="right"/>
    </xf>
    <xf numFmtId="3" fontId="14" fillId="0" borderId="81" xfId="0" applyNumberFormat="1" applyFont="1" applyFill="1" applyBorder="1" applyAlignment="1">
      <alignment horizontal="right"/>
    </xf>
    <xf numFmtId="3" fontId="14" fillId="0" borderId="81" xfId="0" applyNumberFormat="1" applyFont="1" applyFill="1" applyBorder="1" applyAlignment="1">
      <alignment horizontal="right"/>
    </xf>
    <xf numFmtId="3" fontId="14" fillId="0" borderId="25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3" fontId="14" fillId="0" borderId="19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15" fillId="0" borderId="19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9" fontId="0" fillId="0" borderId="0" xfId="57" applyAlignment="1">
      <alignment horizontal="left"/>
    </xf>
    <xf numFmtId="9" fontId="0" fillId="0" borderId="0" xfId="57" applyFont="1" applyAlignment="1">
      <alignment horizontal="left"/>
    </xf>
    <xf numFmtId="3" fontId="14" fillId="0" borderId="13" xfId="0" applyNumberFormat="1" applyFont="1" applyFill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14" fillId="0" borderId="19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4" fillId="22" borderId="57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3" fillId="20" borderId="25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wrapText="1"/>
    </xf>
    <xf numFmtId="0" fontId="3" fillId="20" borderId="22" xfId="0" applyFont="1" applyFill="1" applyBorder="1" applyAlignment="1">
      <alignment horizontal="center" wrapText="1"/>
    </xf>
    <xf numFmtId="0" fontId="10" fillId="24" borderId="59" xfId="0" applyFont="1" applyFill="1" applyBorder="1" applyAlignment="1">
      <alignment/>
    </xf>
    <xf numFmtId="0" fontId="11" fillId="0" borderId="57" xfId="0" applyFont="1" applyBorder="1" applyAlignment="1">
      <alignment/>
    </xf>
    <xf numFmtId="0" fontId="0" fillId="0" borderId="0" xfId="0" applyAlignment="1">
      <alignment horizontal="left"/>
    </xf>
    <xf numFmtId="0" fontId="4" fillId="22" borderId="59" xfId="0" applyFont="1" applyFill="1" applyBorder="1" applyAlignment="1">
      <alignment horizontal="left"/>
    </xf>
    <xf numFmtId="0" fontId="7" fillId="24" borderId="75" xfId="0" applyFont="1" applyFill="1" applyBorder="1" applyAlignment="1">
      <alignment horizontal="center"/>
    </xf>
    <xf numFmtId="0" fontId="7" fillId="24" borderId="73" xfId="0" applyFont="1" applyFill="1" applyBorder="1" applyAlignment="1">
      <alignment horizontal="center"/>
    </xf>
    <xf numFmtId="0" fontId="7" fillId="24" borderId="76" xfId="0" applyFont="1" applyFill="1" applyBorder="1" applyAlignment="1">
      <alignment horizontal="center"/>
    </xf>
    <xf numFmtId="0" fontId="3" fillId="20" borderId="75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8" borderId="59" xfId="0" applyFont="1" applyFill="1" applyBorder="1" applyAlignment="1">
      <alignment horizontal="left"/>
    </xf>
    <xf numFmtId="0" fontId="6" fillId="8" borderId="82" xfId="0" applyFont="1" applyFill="1" applyBorder="1" applyAlignment="1">
      <alignment horizontal="left"/>
    </xf>
    <xf numFmtId="0" fontId="2" fillId="22" borderId="75" xfId="0" applyFont="1" applyFill="1" applyBorder="1" applyAlignment="1">
      <alignment horizontal="center"/>
    </xf>
    <xf numFmtId="0" fontId="2" fillId="22" borderId="73" xfId="0" applyFont="1" applyFill="1" applyBorder="1" applyAlignment="1">
      <alignment horizontal="center"/>
    </xf>
    <xf numFmtId="0" fontId="2" fillId="22" borderId="76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0" borderId="34" xfId="0" applyFont="1" applyFill="1" applyBorder="1" applyAlignment="1">
      <alignment horizontal="center" wrapText="1"/>
    </xf>
    <xf numFmtId="0" fontId="3" fillId="4" borderId="59" xfId="0" applyFont="1" applyFill="1" applyBorder="1" applyAlignment="1">
      <alignment horizontal="left"/>
    </xf>
    <xf numFmtId="0" fontId="3" fillId="4" borderId="57" xfId="0" applyFont="1" applyFill="1" applyBorder="1" applyAlignment="1">
      <alignment horizontal="left"/>
    </xf>
    <xf numFmtId="49" fontId="3" fillId="22" borderId="31" xfId="0" applyNumberFormat="1" applyFont="1" applyFill="1" applyBorder="1" applyAlignment="1">
      <alignment horizontal="left"/>
    </xf>
    <xf numFmtId="49" fontId="3" fillId="22" borderId="83" xfId="0" applyNumberFormat="1" applyFont="1" applyFill="1" applyBorder="1" applyAlignment="1">
      <alignment horizontal="left"/>
    </xf>
    <xf numFmtId="0" fontId="2" fillId="8" borderId="59" xfId="0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3" fillId="7" borderId="59" xfId="0" applyFont="1" applyFill="1" applyBorder="1" applyAlignment="1">
      <alignment horizontal="left"/>
    </xf>
    <xf numFmtId="0" fontId="3" fillId="7" borderId="57" xfId="0" applyFont="1" applyFill="1" applyBorder="1" applyAlignment="1">
      <alignment horizontal="left"/>
    </xf>
    <xf numFmtId="0" fontId="2" fillId="4" borderId="59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 vertical="center"/>
    </xf>
    <xf numFmtId="0" fontId="3" fillId="20" borderId="6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7" borderId="59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77" xfId="0" applyFont="1" applyFill="1" applyBorder="1" applyAlignment="1">
      <alignment horizontal="center" wrapText="1"/>
    </xf>
    <xf numFmtId="0" fontId="2" fillId="7" borderId="73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22" borderId="72" xfId="0" applyFont="1" applyFill="1" applyBorder="1" applyAlignment="1">
      <alignment horizontal="center" vertical="center"/>
    </xf>
    <xf numFmtId="0" fontId="8" fillId="22" borderId="64" xfId="0" applyFont="1" applyFill="1" applyBorder="1" applyAlignment="1">
      <alignment horizontal="center" vertical="center"/>
    </xf>
    <xf numFmtId="0" fontId="8" fillId="22" borderId="60" xfId="0" applyFont="1" applyFill="1" applyBorder="1" applyAlignment="1">
      <alignment horizontal="center" vertical="center"/>
    </xf>
    <xf numFmtId="0" fontId="0" fillId="22" borderId="60" xfId="0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4" fillId="7" borderId="75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7" borderId="72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22" borderId="64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workbookViewId="0" topLeftCell="A1">
      <selection activeCell="G211" sqref="G211"/>
    </sheetView>
  </sheetViews>
  <sheetFormatPr defaultColWidth="9.00390625" defaultRowHeight="12.75"/>
  <cols>
    <col min="1" max="1" width="5.75390625" style="0" customWidth="1"/>
    <col min="2" max="2" width="45.75390625" style="0" customWidth="1"/>
    <col min="3" max="6" width="11.375" style="0" customWidth="1"/>
    <col min="7" max="7" width="11.875" style="0" customWidth="1"/>
  </cols>
  <sheetData>
    <row r="1" spans="1:7" ht="20.25">
      <c r="A1" s="476" t="s">
        <v>0</v>
      </c>
      <c r="B1" s="476"/>
      <c r="C1" s="476"/>
      <c r="D1" s="476"/>
      <c r="E1" s="476"/>
      <c r="F1" s="476"/>
      <c r="G1" s="476"/>
    </row>
    <row r="2" spans="1:7" ht="12.75">
      <c r="A2" s="477"/>
      <c r="B2" s="477"/>
      <c r="C2" s="477"/>
      <c r="D2" s="477"/>
      <c r="E2" s="477"/>
      <c r="F2" s="477"/>
      <c r="G2" s="477"/>
    </row>
    <row r="3" spans="1:7" ht="12.75">
      <c r="A3" s="445" t="s">
        <v>242</v>
      </c>
      <c r="B3" s="445"/>
      <c r="C3" s="445"/>
      <c r="D3" s="445"/>
      <c r="E3" s="445"/>
      <c r="F3" s="445"/>
      <c r="G3" s="445"/>
    </row>
    <row r="4" spans="1:7" ht="12.75">
      <c r="A4" s="445" t="s">
        <v>251</v>
      </c>
      <c r="B4" s="445"/>
      <c r="C4" s="445"/>
      <c r="D4" s="445"/>
      <c r="E4" s="445"/>
      <c r="F4" s="445"/>
      <c r="G4" s="445"/>
    </row>
    <row r="5" spans="1:7" ht="12.75">
      <c r="A5" s="445" t="s">
        <v>252</v>
      </c>
      <c r="B5" s="445"/>
      <c r="C5" s="445"/>
      <c r="D5" s="445"/>
      <c r="E5" s="445"/>
      <c r="F5" s="445"/>
      <c r="G5" s="445"/>
    </row>
    <row r="6" spans="1:7" ht="12.75">
      <c r="A6" s="445" t="s">
        <v>282</v>
      </c>
      <c r="B6" s="445"/>
      <c r="C6" s="445"/>
      <c r="D6" s="445"/>
      <c r="E6" s="445"/>
      <c r="F6" s="445"/>
      <c r="G6" s="445"/>
    </row>
    <row r="7" ht="13.5" thickBot="1"/>
    <row r="8" spans="1:7" ht="18.75" thickBot="1">
      <c r="A8" s="478" t="s">
        <v>1</v>
      </c>
      <c r="B8" s="479"/>
      <c r="C8" s="479"/>
      <c r="D8" s="479"/>
      <c r="E8" s="479"/>
      <c r="F8" s="479"/>
      <c r="G8" s="480"/>
    </row>
    <row r="9" spans="1:8" ht="12.75" customHeight="1">
      <c r="A9" s="450" t="s">
        <v>2</v>
      </c>
      <c r="B9" s="451"/>
      <c r="C9" s="441" t="s">
        <v>3</v>
      </c>
      <c r="D9" s="441" t="s">
        <v>245</v>
      </c>
      <c r="E9" s="441" t="s">
        <v>253</v>
      </c>
      <c r="F9" s="441" t="s">
        <v>274</v>
      </c>
      <c r="G9" s="441" t="s">
        <v>283</v>
      </c>
      <c r="H9" t="s">
        <v>279</v>
      </c>
    </row>
    <row r="10" spans="1:8" ht="13.5" thickBot="1">
      <c r="A10" s="474"/>
      <c r="B10" s="475"/>
      <c r="C10" s="442"/>
      <c r="D10" s="442"/>
      <c r="E10" s="442"/>
      <c r="F10" s="442"/>
      <c r="G10" s="442"/>
      <c r="H10" t="s">
        <v>280</v>
      </c>
    </row>
    <row r="11" spans="1:8" ht="13.5" thickBot="1">
      <c r="A11" s="469" t="s">
        <v>4</v>
      </c>
      <c r="B11" s="470"/>
      <c r="C11" s="1">
        <f>SUM(C12:C19)</f>
        <v>667312</v>
      </c>
      <c r="D11" s="1">
        <f>SUM(D12:D19)</f>
        <v>667712</v>
      </c>
      <c r="E11" s="1">
        <f>SUM(E12:E19)</f>
        <v>668122</v>
      </c>
      <c r="F11" s="1">
        <f>SUM(F12:F19)</f>
        <v>674527</v>
      </c>
      <c r="G11" s="1">
        <f>SUM(G12:G19)</f>
        <v>672017</v>
      </c>
      <c r="H11" s="423">
        <f>G11/F11</f>
        <v>0.9962788739368476</v>
      </c>
    </row>
    <row r="12" spans="1:8" ht="13.5" thickBot="1">
      <c r="A12" s="2">
        <v>111</v>
      </c>
      <c r="B12" s="3" t="s">
        <v>5</v>
      </c>
      <c r="C12" s="4">
        <v>625000</v>
      </c>
      <c r="D12" s="4">
        <v>625000</v>
      </c>
      <c r="E12" s="4">
        <v>625000</v>
      </c>
      <c r="F12" s="425">
        <v>631000</v>
      </c>
      <c r="G12" s="4">
        <v>630563</v>
      </c>
      <c r="H12" s="423">
        <f aca="true" t="shared" si="0" ref="H12:H75">G12/F12</f>
        <v>0.9993074484944533</v>
      </c>
    </row>
    <row r="13" spans="1:8" ht="12.75">
      <c r="A13" s="5">
        <v>121</v>
      </c>
      <c r="B13" s="6" t="s">
        <v>6</v>
      </c>
      <c r="C13" s="7">
        <v>12200</v>
      </c>
      <c r="D13" s="7">
        <v>12200</v>
      </c>
      <c r="E13" s="7">
        <v>12200</v>
      </c>
      <c r="F13" s="354">
        <v>11700</v>
      </c>
      <c r="G13" s="7">
        <v>10698</v>
      </c>
      <c r="H13" s="423">
        <f t="shared" si="0"/>
        <v>0.9143589743589744</v>
      </c>
    </row>
    <row r="14" spans="1:8" ht="12.75">
      <c r="A14" s="8">
        <v>121</v>
      </c>
      <c r="B14" s="9" t="s">
        <v>7</v>
      </c>
      <c r="C14" s="10">
        <v>13200</v>
      </c>
      <c r="D14" s="10">
        <v>13200</v>
      </c>
      <c r="E14" s="10">
        <v>13200</v>
      </c>
      <c r="F14" s="348">
        <v>13700</v>
      </c>
      <c r="G14" s="10">
        <v>13671</v>
      </c>
      <c r="H14" s="423">
        <f t="shared" si="0"/>
        <v>0.9978832116788321</v>
      </c>
    </row>
    <row r="15" spans="1:9" ht="13.5" thickBot="1">
      <c r="A15" s="11">
        <v>121</v>
      </c>
      <c r="B15" s="12" t="s">
        <v>8</v>
      </c>
      <c r="C15" s="13">
        <v>70</v>
      </c>
      <c r="D15" s="13">
        <v>70</v>
      </c>
      <c r="E15" s="13">
        <v>70</v>
      </c>
      <c r="F15" s="13">
        <v>70</v>
      </c>
      <c r="G15" s="13">
        <v>64</v>
      </c>
      <c r="H15" s="423">
        <f t="shared" si="0"/>
        <v>0.9142857142857143</v>
      </c>
      <c r="I15" s="368"/>
    </row>
    <row r="16" spans="1:8" ht="12.75">
      <c r="A16" s="5">
        <v>133</v>
      </c>
      <c r="B16" s="6" t="s">
        <v>9</v>
      </c>
      <c r="C16" s="7">
        <v>510</v>
      </c>
      <c r="D16" s="7">
        <v>510</v>
      </c>
      <c r="E16" s="398">
        <v>520</v>
      </c>
      <c r="F16" s="398">
        <v>525</v>
      </c>
      <c r="G16" s="7">
        <v>525</v>
      </c>
      <c r="H16" s="423">
        <f t="shared" si="0"/>
        <v>1</v>
      </c>
    </row>
    <row r="17" spans="1:8" ht="12.75">
      <c r="A17" s="8">
        <v>133</v>
      </c>
      <c r="B17" s="9" t="s">
        <v>10</v>
      </c>
      <c r="C17" s="10">
        <v>332</v>
      </c>
      <c r="D17" s="348">
        <v>732</v>
      </c>
      <c r="E17" s="348">
        <v>332</v>
      </c>
      <c r="F17" s="383">
        <v>332</v>
      </c>
      <c r="G17" s="10">
        <v>332</v>
      </c>
      <c r="H17" s="423">
        <f t="shared" si="0"/>
        <v>1</v>
      </c>
    </row>
    <row r="18" spans="1:8" ht="12.75">
      <c r="A18" s="8">
        <v>133</v>
      </c>
      <c r="B18" s="9" t="s">
        <v>11</v>
      </c>
      <c r="C18" s="10">
        <v>2200</v>
      </c>
      <c r="D18" s="10">
        <v>2200</v>
      </c>
      <c r="E18" s="399">
        <v>3000</v>
      </c>
      <c r="F18" s="399">
        <v>3400</v>
      </c>
      <c r="G18" s="10">
        <v>3372</v>
      </c>
      <c r="H18" s="423">
        <f t="shared" si="0"/>
        <v>0.991764705882353</v>
      </c>
    </row>
    <row r="19" spans="1:8" ht="13.5" thickBot="1">
      <c r="A19" s="11">
        <v>133</v>
      </c>
      <c r="B19" s="12" t="s">
        <v>12</v>
      </c>
      <c r="C19" s="13">
        <v>13800</v>
      </c>
      <c r="D19" s="13">
        <v>13800</v>
      </c>
      <c r="E19" s="13">
        <v>13800</v>
      </c>
      <c r="F19" s="13">
        <v>13800</v>
      </c>
      <c r="G19" s="13">
        <v>12792</v>
      </c>
      <c r="H19" s="423">
        <f t="shared" si="0"/>
        <v>0.9269565217391305</v>
      </c>
    </row>
    <row r="20" spans="1:8" ht="13.5" thickBot="1">
      <c r="A20" s="469" t="s">
        <v>13</v>
      </c>
      <c r="B20" s="470"/>
      <c r="C20" s="1">
        <f>SUM(C21:C39)</f>
        <v>88314</v>
      </c>
      <c r="D20" s="1">
        <f>SUM(D21:D39)</f>
        <v>117877</v>
      </c>
      <c r="E20" s="1">
        <f>SUM(E21:E39)</f>
        <v>116177</v>
      </c>
      <c r="F20" s="1">
        <f>SUM(F21:F39)</f>
        <v>129312</v>
      </c>
      <c r="G20" s="1">
        <f>SUM(G21:G39)</f>
        <v>124883.23</v>
      </c>
      <c r="H20" s="423">
        <f t="shared" si="0"/>
        <v>0.9657512837169018</v>
      </c>
    </row>
    <row r="21" spans="1:9" ht="12.75">
      <c r="A21" s="15">
        <v>212</v>
      </c>
      <c r="B21" s="16" t="s">
        <v>14</v>
      </c>
      <c r="C21" s="17">
        <f>477+165</f>
        <v>642</v>
      </c>
      <c r="D21" s="17">
        <f>477+165</f>
        <v>642</v>
      </c>
      <c r="E21" s="17">
        <f>477+165</f>
        <v>642</v>
      </c>
      <c r="F21" s="426">
        <f>643+120</f>
        <v>763</v>
      </c>
      <c r="G21" s="17">
        <f>643+120</f>
        <v>763</v>
      </c>
      <c r="H21" s="423">
        <f t="shared" si="0"/>
        <v>1</v>
      </c>
      <c r="I21" s="164"/>
    </row>
    <row r="22" spans="1:8" ht="12.75">
      <c r="A22" s="5">
        <v>212</v>
      </c>
      <c r="B22" s="6" t="s">
        <v>15</v>
      </c>
      <c r="C22" s="7">
        <v>1000</v>
      </c>
      <c r="D22" s="7">
        <v>1000</v>
      </c>
      <c r="E22" s="7">
        <v>1000</v>
      </c>
      <c r="F22" s="354">
        <v>500</v>
      </c>
      <c r="G22" s="7">
        <v>448</v>
      </c>
      <c r="H22" s="423">
        <f t="shared" si="0"/>
        <v>0.896</v>
      </c>
    </row>
    <row r="23" spans="1:8" ht="12.75">
      <c r="A23" s="8">
        <v>212</v>
      </c>
      <c r="B23" s="9" t="s">
        <v>16</v>
      </c>
      <c r="C23" s="10">
        <v>3682</v>
      </c>
      <c r="D23" s="10">
        <v>3682</v>
      </c>
      <c r="E23" s="10">
        <v>3682</v>
      </c>
      <c r="F23" s="10">
        <v>3682</v>
      </c>
      <c r="G23" s="10">
        <v>3634</v>
      </c>
      <c r="H23" s="423">
        <f t="shared" si="0"/>
        <v>0.9869636067354699</v>
      </c>
    </row>
    <row r="24" spans="1:8" ht="12.75">
      <c r="A24" s="8">
        <v>212</v>
      </c>
      <c r="B24" s="9" t="s">
        <v>17</v>
      </c>
      <c r="C24" s="10">
        <v>12000</v>
      </c>
      <c r="D24" s="348">
        <f>12000+25000</f>
        <v>37000</v>
      </c>
      <c r="E24" s="348">
        <v>36300</v>
      </c>
      <c r="F24" s="383">
        <v>36300</v>
      </c>
      <c r="G24" s="10">
        <v>34603</v>
      </c>
      <c r="H24" s="423">
        <f t="shared" si="0"/>
        <v>0.9532506887052341</v>
      </c>
    </row>
    <row r="25" spans="1:10" ht="13.5" thickBot="1">
      <c r="A25" s="19">
        <v>212</v>
      </c>
      <c r="B25" s="20" t="s">
        <v>18</v>
      </c>
      <c r="C25" s="21">
        <v>20</v>
      </c>
      <c r="D25" s="21">
        <v>20</v>
      </c>
      <c r="E25" s="21">
        <v>20</v>
      </c>
      <c r="F25" s="21">
        <v>20</v>
      </c>
      <c r="G25" s="21">
        <v>0</v>
      </c>
      <c r="H25" s="423">
        <f t="shared" si="0"/>
        <v>0</v>
      </c>
      <c r="I25" s="164">
        <f>SUM(F21:F25)</f>
        <v>41265</v>
      </c>
      <c r="J25" s="164">
        <f>SUM(G21:G25)</f>
        <v>39448</v>
      </c>
    </row>
    <row r="26" spans="1:9" ht="13.5" thickBot="1">
      <c r="A26" s="22">
        <v>221</v>
      </c>
      <c r="B26" s="23" t="s">
        <v>19</v>
      </c>
      <c r="C26" s="24">
        <v>9900</v>
      </c>
      <c r="D26" s="24">
        <v>9900</v>
      </c>
      <c r="E26" s="24">
        <v>9900</v>
      </c>
      <c r="F26" s="406">
        <v>19030</v>
      </c>
      <c r="G26" s="24">
        <v>18992</v>
      </c>
      <c r="H26" s="423">
        <f t="shared" si="0"/>
        <v>0.9980031529164477</v>
      </c>
      <c r="I26" s="134"/>
    </row>
    <row r="27" spans="1:8" ht="13.5" thickBot="1">
      <c r="A27" s="22">
        <v>222</v>
      </c>
      <c r="B27" s="23" t="s">
        <v>20</v>
      </c>
      <c r="C27" s="24">
        <v>100</v>
      </c>
      <c r="D27" s="24">
        <v>100</v>
      </c>
      <c r="E27" s="24">
        <v>100</v>
      </c>
      <c r="F27" s="24">
        <v>100</v>
      </c>
      <c r="G27" s="24">
        <v>50</v>
      </c>
      <c r="H27" s="423">
        <f t="shared" si="0"/>
        <v>0.5</v>
      </c>
    </row>
    <row r="28" spans="1:9" ht="12.75">
      <c r="A28" s="5">
        <v>223</v>
      </c>
      <c r="B28" s="6" t="s">
        <v>21</v>
      </c>
      <c r="C28" s="7">
        <v>800</v>
      </c>
      <c r="D28" s="7">
        <v>800</v>
      </c>
      <c r="E28" s="7">
        <v>800</v>
      </c>
      <c r="F28" s="7">
        <v>800</v>
      </c>
      <c r="G28" s="7">
        <v>747</v>
      </c>
      <c r="H28" s="423">
        <f t="shared" si="0"/>
        <v>0.93375</v>
      </c>
      <c r="I28" s="432"/>
    </row>
    <row r="29" spans="1:8" ht="12.75">
      <c r="A29" s="8">
        <v>223</v>
      </c>
      <c r="B29" s="9" t="s">
        <v>22</v>
      </c>
      <c r="C29" s="10">
        <v>420</v>
      </c>
      <c r="D29" s="10">
        <v>420</v>
      </c>
      <c r="E29" s="10">
        <v>420</v>
      </c>
      <c r="F29" s="10">
        <v>420</v>
      </c>
      <c r="G29" s="10">
        <v>420</v>
      </c>
      <c r="H29" s="423">
        <f t="shared" si="0"/>
        <v>1</v>
      </c>
    </row>
    <row r="30" spans="1:8" ht="12.75">
      <c r="A30" s="8">
        <v>223</v>
      </c>
      <c r="B30" s="9" t="s">
        <v>23</v>
      </c>
      <c r="C30" s="10">
        <v>8000</v>
      </c>
      <c r="D30" s="10">
        <v>8000</v>
      </c>
      <c r="E30" s="10">
        <v>8000</v>
      </c>
      <c r="F30" s="10">
        <v>8000</v>
      </c>
      <c r="G30" s="10">
        <v>7444.23</v>
      </c>
      <c r="H30" s="423">
        <f t="shared" si="0"/>
        <v>0.9305287499999999</v>
      </c>
    </row>
    <row r="31" spans="1:8" ht="12.75">
      <c r="A31" s="8">
        <v>223</v>
      </c>
      <c r="B31" s="9" t="s">
        <v>24</v>
      </c>
      <c r="C31" s="10">
        <v>12000</v>
      </c>
      <c r="D31" s="348">
        <f>12000+4563</f>
        <v>16563</v>
      </c>
      <c r="E31" s="369">
        <f>12000+4563</f>
        <v>16563</v>
      </c>
      <c r="F31" s="369">
        <f>12000+4563</f>
        <v>16563</v>
      </c>
      <c r="G31" s="10">
        <v>15299</v>
      </c>
      <c r="H31" s="423">
        <f t="shared" si="0"/>
        <v>0.923685322707239</v>
      </c>
    </row>
    <row r="32" spans="1:8" ht="12.75">
      <c r="A32" s="8">
        <v>223</v>
      </c>
      <c r="B32" s="9" t="s">
        <v>25</v>
      </c>
      <c r="C32" s="10">
        <v>2000</v>
      </c>
      <c r="D32" s="10">
        <v>2000</v>
      </c>
      <c r="E32" s="399">
        <v>1000</v>
      </c>
      <c r="F32" s="399">
        <v>200</v>
      </c>
      <c r="G32" s="10">
        <v>108</v>
      </c>
      <c r="H32" s="423">
        <f t="shared" si="0"/>
        <v>0.54</v>
      </c>
    </row>
    <row r="33" spans="1:8" ht="12.75">
      <c r="A33" s="8">
        <v>223</v>
      </c>
      <c r="B33" s="9" t="s">
        <v>275</v>
      </c>
      <c r="C33" s="10">
        <v>0</v>
      </c>
      <c r="D33" s="10">
        <v>0</v>
      </c>
      <c r="E33" s="399">
        <v>0</v>
      </c>
      <c r="F33" s="399">
        <v>2061</v>
      </c>
      <c r="G33" s="10">
        <v>2061</v>
      </c>
      <c r="H33" s="423">
        <f t="shared" si="0"/>
        <v>1</v>
      </c>
    </row>
    <row r="34" spans="1:9" ht="12.75">
      <c r="A34" s="8">
        <v>223</v>
      </c>
      <c r="B34" s="9" t="s">
        <v>26</v>
      </c>
      <c r="C34" s="10">
        <v>650</v>
      </c>
      <c r="D34" s="10">
        <v>650</v>
      </c>
      <c r="E34" s="10">
        <v>650</v>
      </c>
      <c r="F34" s="348">
        <v>710</v>
      </c>
      <c r="G34" s="10">
        <v>709</v>
      </c>
      <c r="H34" s="423">
        <f t="shared" si="0"/>
        <v>0.9985915492957746</v>
      </c>
      <c r="I34" s="164"/>
    </row>
    <row r="35" spans="1:8" ht="12.75">
      <c r="A35" s="8">
        <v>223</v>
      </c>
      <c r="B35" s="9" t="s">
        <v>27</v>
      </c>
      <c r="C35" s="10">
        <v>18000</v>
      </c>
      <c r="D35" s="10">
        <v>18000</v>
      </c>
      <c r="E35" s="10">
        <v>18000</v>
      </c>
      <c r="F35" s="348">
        <v>19363</v>
      </c>
      <c r="G35" s="10">
        <v>19044</v>
      </c>
      <c r="H35" s="423">
        <f t="shared" si="0"/>
        <v>0.9835252801735268</v>
      </c>
    </row>
    <row r="36" spans="1:9" ht="12.75">
      <c r="A36" s="8">
        <v>223</v>
      </c>
      <c r="B36" s="9" t="s">
        <v>28</v>
      </c>
      <c r="C36" s="10">
        <v>6000</v>
      </c>
      <c r="D36" s="10">
        <v>6000</v>
      </c>
      <c r="E36" s="10">
        <v>6000</v>
      </c>
      <c r="F36" s="348">
        <v>6400</v>
      </c>
      <c r="G36" s="10">
        <v>6323</v>
      </c>
      <c r="H36" s="423">
        <f t="shared" si="0"/>
        <v>0.98796875</v>
      </c>
      <c r="I36" s="431"/>
    </row>
    <row r="37" spans="1:8" ht="12.75">
      <c r="A37" s="8">
        <v>223</v>
      </c>
      <c r="B37" s="9" t="s">
        <v>29</v>
      </c>
      <c r="C37" s="10">
        <v>1000</v>
      </c>
      <c r="D37" s="10">
        <v>1000</v>
      </c>
      <c r="E37" s="10">
        <v>1000</v>
      </c>
      <c r="F37" s="348">
        <v>1100</v>
      </c>
      <c r="G37" s="10">
        <v>1070</v>
      </c>
      <c r="H37" s="423">
        <f t="shared" si="0"/>
        <v>0.9727272727272728</v>
      </c>
    </row>
    <row r="38" spans="1:8" ht="12.75">
      <c r="A38" s="8">
        <v>223</v>
      </c>
      <c r="B38" s="9" t="s">
        <v>206</v>
      </c>
      <c r="C38" s="10">
        <v>12000</v>
      </c>
      <c r="D38" s="10">
        <v>12000</v>
      </c>
      <c r="E38" s="10">
        <v>12000</v>
      </c>
      <c r="F38" s="348">
        <v>13200</v>
      </c>
      <c r="G38" s="10">
        <v>13121</v>
      </c>
      <c r="H38" s="423">
        <f t="shared" si="0"/>
        <v>0.9940151515151515</v>
      </c>
    </row>
    <row r="39" spans="1:10" ht="13.5" thickBot="1">
      <c r="A39" s="11">
        <v>223</v>
      </c>
      <c r="B39" s="12" t="s">
        <v>31</v>
      </c>
      <c r="C39" s="13">
        <v>100</v>
      </c>
      <c r="D39" s="13">
        <v>100</v>
      </c>
      <c r="E39" s="13">
        <v>100</v>
      </c>
      <c r="F39" s="13">
        <v>100</v>
      </c>
      <c r="G39" s="13">
        <v>47</v>
      </c>
      <c r="H39" s="423">
        <f t="shared" si="0"/>
        <v>0.47</v>
      </c>
      <c r="I39" s="164">
        <f>SUM(F28:F39)</f>
        <v>68917</v>
      </c>
      <c r="J39" s="164">
        <f>SUM(G28:G39)</f>
        <v>66393.23</v>
      </c>
    </row>
    <row r="40" spans="1:8" ht="13.5" thickBot="1">
      <c r="A40" s="469" t="s">
        <v>32</v>
      </c>
      <c r="B40" s="470"/>
      <c r="C40" s="1">
        <f>SUM(C41)</f>
        <v>200</v>
      </c>
      <c r="D40" s="1">
        <f>SUM(D41)</f>
        <v>300</v>
      </c>
      <c r="E40" s="1">
        <f>SUM(E41)</f>
        <v>400</v>
      </c>
      <c r="F40" s="1">
        <f>SUM(F41)</f>
        <v>470</v>
      </c>
      <c r="G40" s="1">
        <f>SUM(G41)</f>
        <v>464</v>
      </c>
      <c r="H40" s="423">
        <f t="shared" si="0"/>
        <v>0.9872340425531915</v>
      </c>
    </row>
    <row r="41" spans="1:8" ht="13.5" thickBot="1">
      <c r="A41" s="25">
        <v>240</v>
      </c>
      <c r="B41" s="20" t="s">
        <v>33</v>
      </c>
      <c r="C41" s="21">
        <v>200</v>
      </c>
      <c r="D41" s="352">
        <v>300</v>
      </c>
      <c r="E41" s="352">
        <v>400</v>
      </c>
      <c r="F41" s="352">
        <v>470</v>
      </c>
      <c r="G41" s="21">
        <v>464</v>
      </c>
      <c r="H41" s="423">
        <f t="shared" si="0"/>
        <v>0.9872340425531915</v>
      </c>
    </row>
    <row r="42" spans="1:8" ht="13.5" thickBot="1">
      <c r="A42" s="469" t="s">
        <v>34</v>
      </c>
      <c r="B42" s="470"/>
      <c r="C42" s="1">
        <f>SUM(C43:C53)</f>
        <v>24182</v>
      </c>
      <c r="D42" s="1">
        <f>SUM(D43:D53)</f>
        <v>27193</v>
      </c>
      <c r="E42" s="1">
        <f>SUM(E43:E53)</f>
        <v>29913</v>
      </c>
      <c r="F42" s="1">
        <f>SUM(F43:F53)</f>
        <v>35123</v>
      </c>
      <c r="G42" s="1">
        <f>SUM(G43:G53)</f>
        <v>30487</v>
      </c>
      <c r="H42" s="423">
        <f t="shared" si="0"/>
        <v>0.8680067192438004</v>
      </c>
    </row>
    <row r="43" spans="1:8" ht="12.75">
      <c r="A43" s="26">
        <v>292</v>
      </c>
      <c r="B43" s="27" t="s">
        <v>36</v>
      </c>
      <c r="C43" s="28">
        <v>200</v>
      </c>
      <c r="D43" s="28">
        <v>200</v>
      </c>
      <c r="E43" s="400">
        <v>1010</v>
      </c>
      <c r="F43" s="400">
        <v>1020</v>
      </c>
      <c r="G43" s="28">
        <v>1017</v>
      </c>
      <c r="H43" s="423">
        <f t="shared" si="0"/>
        <v>0.9970588235294118</v>
      </c>
    </row>
    <row r="44" spans="1:8" ht="12.75">
      <c r="A44" s="30">
        <v>292</v>
      </c>
      <c r="B44" s="31" t="s">
        <v>37</v>
      </c>
      <c r="C44" s="32">
        <v>5570</v>
      </c>
      <c r="D44" s="32">
        <v>5570</v>
      </c>
      <c r="E44" s="32">
        <v>5570</v>
      </c>
      <c r="F44" s="32">
        <v>5570</v>
      </c>
      <c r="G44" s="32">
        <v>5570</v>
      </c>
      <c r="H44" s="423">
        <f t="shared" si="0"/>
        <v>1</v>
      </c>
    </row>
    <row r="45" spans="1:8" ht="12.75">
      <c r="A45" s="30">
        <v>292</v>
      </c>
      <c r="B45" s="9" t="s">
        <v>38</v>
      </c>
      <c r="C45" s="33">
        <v>140</v>
      </c>
      <c r="D45" s="353">
        <v>160</v>
      </c>
      <c r="E45" s="372">
        <v>160</v>
      </c>
      <c r="F45" s="420">
        <v>160</v>
      </c>
      <c r="G45" s="33">
        <v>160</v>
      </c>
      <c r="H45" s="423">
        <f t="shared" si="0"/>
        <v>1</v>
      </c>
    </row>
    <row r="46" spans="1:8" ht="12.75">
      <c r="A46" s="30">
        <v>292</v>
      </c>
      <c r="B46" s="31" t="s">
        <v>39</v>
      </c>
      <c r="C46" s="32">
        <v>7000</v>
      </c>
      <c r="D46" s="32">
        <v>7000</v>
      </c>
      <c r="E46" s="32">
        <v>7000</v>
      </c>
      <c r="F46" s="32">
        <v>7000</v>
      </c>
      <c r="G46" s="32">
        <f>3303+1729</f>
        <v>5032</v>
      </c>
      <c r="H46" s="423">
        <f t="shared" si="0"/>
        <v>0.7188571428571429</v>
      </c>
    </row>
    <row r="47" spans="1:9" ht="12.75">
      <c r="A47" s="30">
        <v>292</v>
      </c>
      <c r="B47" s="31" t="s">
        <v>40</v>
      </c>
      <c r="C47" s="32">
        <v>200</v>
      </c>
      <c r="D47" s="32">
        <v>200</v>
      </c>
      <c r="E47" s="32">
        <v>200</v>
      </c>
      <c r="F47" s="32">
        <v>200</v>
      </c>
      <c r="G47" s="32">
        <v>100</v>
      </c>
      <c r="H47" s="423">
        <f t="shared" si="0"/>
        <v>0.5</v>
      </c>
      <c r="I47" s="134"/>
    </row>
    <row r="48" spans="1:8" ht="12.75">
      <c r="A48" s="30">
        <v>292</v>
      </c>
      <c r="B48" s="31" t="s">
        <v>255</v>
      </c>
      <c r="C48" s="32">
        <v>0</v>
      </c>
      <c r="D48" s="32">
        <v>0</v>
      </c>
      <c r="E48" s="401">
        <v>1400</v>
      </c>
      <c r="F48" s="401">
        <v>6600</v>
      </c>
      <c r="G48" s="32">
        <v>6585</v>
      </c>
      <c r="H48" s="423">
        <f t="shared" si="0"/>
        <v>0.9977272727272727</v>
      </c>
    </row>
    <row r="49" spans="1:8" ht="12.75">
      <c r="A49" s="30">
        <v>292</v>
      </c>
      <c r="B49" s="31" t="s">
        <v>41</v>
      </c>
      <c r="C49" s="32">
        <v>1872</v>
      </c>
      <c r="D49" s="32">
        <v>1872</v>
      </c>
      <c r="E49" s="32">
        <v>1872</v>
      </c>
      <c r="F49" s="32">
        <v>1872</v>
      </c>
      <c r="G49" s="32">
        <v>1872</v>
      </c>
      <c r="H49" s="423">
        <f t="shared" si="0"/>
        <v>1</v>
      </c>
    </row>
    <row r="50" spans="1:8" ht="12.75">
      <c r="A50" s="30">
        <v>292</v>
      </c>
      <c r="B50" s="9" t="s">
        <v>42</v>
      </c>
      <c r="C50" s="33">
        <v>8000</v>
      </c>
      <c r="D50" s="353">
        <f>8000+2191</f>
        <v>10191</v>
      </c>
      <c r="E50" s="372">
        <f>8000+2191</f>
        <v>10191</v>
      </c>
      <c r="F50" s="372">
        <f>8000+2191</f>
        <v>10191</v>
      </c>
      <c r="G50" s="33">
        <v>8230</v>
      </c>
      <c r="H50" s="423">
        <f t="shared" si="0"/>
        <v>0.8075753115494063</v>
      </c>
    </row>
    <row r="51" spans="1:8" ht="12.75">
      <c r="A51" s="30">
        <v>292</v>
      </c>
      <c r="B51" s="9" t="s">
        <v>43</v>
      </c>
      <c r="C51" s="33">
        <v>1000</v>
      </c>
      <c r="D51" s="33">
        <v>1000</v>
      </c>
      <c r="E51" s="33">
        <v>1000</v>
      </c>
      <c r="F51" s="33">
        <v>1000</v>
      </c>
      <c r="G51" s="33">
        <f>280+140</f>
        <v>420</v>
      </c>
      <c r="H51" s="423">
        <f t="shared" si="0"/>
        <v>0.42</v>
      </c>
    </row>
    <row r="52" spans="1:8" ht="12.75">
      <c r="A52" s="30">
        <v>292</v>
      </c>
      <c r="B52" s="9" t="s">
        <v>44</v>
      </c>
      <c r="C52" s="33">
        <v>100</v>
      </c>
      <c r="D52" s="33">
        <v>100</v>
      </c>
      <c r="E52" s="33">
        <v>100</v>
      </c>
      <c r="F52" s="33">
        <v>100</v>
      </c>
      <c r="G52" s="33">
        <v>95</v>
      </c>
      <c r="H52" s="423">
        <f t="shared" si="0"/>
        <v>0.95</v>
      </c>
    </row>
    <row r="53" spans="1:8" ht="13.5" thickBot="1">
      <c r="A53" s="34">
        <v>292</v>
      </c>
      <c r="B53" s="20" t="s">
        <v>45</v>
      </c>
      <c r="C53" s="35">
        <v>100</v>
      </c>
      <c r="D53" s="347">
        <v>900</v>
      </c>
      <c r="E53" s="347">
        <v>1410</v>
      </c>
      <c r="F53" s="419">
        <v>1410</v>
      </c>
      <c r="G53" s="35">
        <v>1406</v>
      </c>
      <c r="H53" s="423">
        <f t="shared" si="0"/>
        <v>0.9971631205673759</v>
      </c>
    </row>
    <row r="54" spans="1:8" ht="13.5" thickBot="1">
      <c r="A54" s="36" t="s">
        <v>46</v>
      </c>
      <c r="B54" s="37"/>
      <c r="C54" s="38">
        <f>SUM(C55:C74)</f>
        <v>366928</v>
      </c>
      <c r="D54" s="38">
        <f>SUM(D55:D74)</f>
        <v>375720</v>
      </c>
      <c r="E54" s="38">
        <f>SUM(E55:E74)</f>
        <v>485132</v>
      </c>
      <c r="F54" s="38">
        <f>SUM(F55:F74)</f>
        <v>537233</v>
      </c>
      <c r="G54" s="38">
        <f>SUM(G55:G74)</f>
        <v>484390</v>
      </c>
      <c r="H54" s="423">
        <f t="shared" si="0"/>
        <v>0.9016385813976431</v>
      </c>
    </row>
    <row r="55" spans="1:8" ht="12.75">
      <c r="A55" s="39">
        <v>311</v>
      </c>
      <c r="B55" s="6" t="s">
        <v>248</v>
      </c>
      <c r="C55" s="7">
        <v>50</v>
      </c>
      <c r="D55" s="354">
        <f>50+50+3000</f>
        <v>3100</v>
      </c>
      <c r="E55" s="382">
        <f>50+50+3000</f>
        <v>3100</v>
      </c>
      <c r="F55" s="382">
        <f>50+50+3000</f>
        <v>3100</v>
      </c>
      <c r="G55" s="7">
        <v>3100</v>
      </c>
      <c r="H55" s="423">
        <f t="shared" si="0"/>
        <v>1</v>
      </c>
    </row>
    <row r="56" spans="1:8" ht="12.75">
      <c r="A56" s="40">
        <v>312</v>
      </c>
      <c r="B56" s="9" t="s">
        <v>48</v>
      </c>
      <c r="C56" s="10">
        <v>3720</v>
      </c>
      <c r="D56" s="10">
        <v>3720</v>
      </c>
      <c r="E56" s="10">
        <v>3720</v>
      </c>
      <c r="F56" s="10">
        <v>3720</v>
      </c>
      <c r="G56" s="10">
        <v>3720</v>
      </c>
      <c r="H56" s="423">
        <f t="shared" si="0"/>
        <v>1</v>
      </c>
    </row>
    <row r="57" spans="1:9" ht="12.75">
      <c r="A57" s="40">
        <v>312</v>
      </c>
      <c r="B57" s="41" t="s">
        <v>49</v>
      </c>
      <c r="C57" s="42">
        <v>3110</v>
      </c>
      <c r="D57" s="42">
        <v>3110</v>
      </c>
      <c r="E57" s="42">
        <v>3110</v>
      </c>
      <c r="F57" s="42">
        <v>3110</v>
      </c>
      <c r="G57" s="42">
        <v>3052</v>
      </c>
      <c r="H57" s="423">
        <f t="shared" si="0"/>
        <v>0.9813504823151126</v>
      </c>
      <c r="I57" s="431"/>
    </row>
    <row r="58" spans="1:8" ht="12.75">
      <c r="A58" s="40">
        <v>312</v>
      </c>
      <c r="B58" s="43" t="s">
        <v>50</v>
      </c>
      <c r="C58" s="44">
        <f>289106+6020+5400</f>
        <v>300526</v>
      </c>
      <c r="D58" s="350">
        <f>289106+6020+5400+2970+568</f>
        <v>304064</v>
      </c>
      <c r="E58" s="374">
        <f>289106+6020+5400+2970+568</f>
        <v>304064</v>
      </c>
      <c r="F58" s="421">
        <f>290863+5751+5400+2880</f>
        <v>304894</v>
      </c>
      <c r="G58" s="44">
        <f>307764-2870</f>
        <v>304894</v>
      </c>
      <c r="H58" s="423">
        <f t="shared" si="0"/>
        <v>1</v>
      </c>
    </row>
    <row r="59" spans="1:8" ht="12.75">
      <c r="A59" s="40">
        <v>312</v>
      </c>
      <c r="B59" s="45" t="s">
        <v>51</v>
      </c>
      <c r="C59" s="46">
        <v>2589</v>
      </c>
      <c r="D59" s="46">
        <v>2589</v>
      </c>
      <c r="E59" s="46">
        <v>2589</v>
      </c>
      <c r="F59" s="422">
        <v>2870</v>
      </c>
      <c r="G59" s="46">
        <v>2870</v>
      </c>
      <c r="H59" s="423">
        <f t="shared" si="0"/>
        <v>1</v>
      </c>
    </row>
    <row r="60" spans="1:8" ht="12.75">
      <c r="A60" s="40">
        <v>312</v>
      </c>
      <c r="B60" s="41" t="s">
        <v>52</v>
      </c>
      <c r="C60" s="46">
        <v>2753</v>
      </c>
      <c r="D60" s="46">
        <v>2753</v>
      </c>
      <c r="E60" s="355">
        <v>2770</v>
      </c>
      <c r="F60" s="46">
        <v>2770</v>
      </c>
      <c r="G60" s="46">
        <v>2770</v>
      </c>
      <c r="H60" s="423">
        <f t="shared" si="0"/>
        <v>1</v>
      </c>
    </row>
    <row r="61" spans="1:8" ht="12.75">
      <c r="A61" s="40">
        <v>312</v>
      </c>
      <c r="B61" s="9" t="s">
        <v>246</v>
      </c>
      <c r="C61" s="10">
        <v>0</v>
      </c>
      <c r="D61" s="348">
        <v>2204</v>
      </c>
      <c r="E61" s="383">
        <v>2204</v>
      </c>
      <c r="F61" s="383">
        <v>2204</v>
      </c>
      <c r="G61" s="10">
        <v>2204</v>
      </c>
      <c r="H61" s="423">
        <f t="shared" si="0"/>
        <v>1</v>
      </c>
    </row>
    <row r="62" spans="1:8" ht="12.75">
      <c r="A62" s="40">
        <v>312</v>
      </c>
      <c r="B62" s="9" t="s">
        <v>54</v>
      </c>
      <c r="C62" s="10">
        <v>12350</v>
      </c>
      <c r="D62" s="10">
        <v>12350</v>
      </c>
      <c r="E62" s="399">
        <v>9100</v>
      </c>
      <c r="F62" s="418">
        <v>9100</v>
      </c>
      <c r="G62" s="10">
        <v>6429</v>
      </c>
      <c r="H62" s="423">
        <f t="shared" si="0"/>
        <v>0.7064835164835165</v>
      </c>
    </row>
    <row r="63" spans="1:8" ht="12.75">
      <c r="A63" s="40">
        <v>312</v>
      </c>
      <c r="B63" s="45" t="s">
        <v>53</v>
      </c>
      <c r="C63" s="46">
        <v>100</v>
      </c>
      <c r="D63" s="46">
        <v>100</v>
      </c>
      <c r="E63" s="46">
        <v>100</v>
      </c>
      <c r="F63" s="46">
        <v>100</v>
      </c>
      <c r="G63" s="46">
        <v>0</v>
      </c>
      <c r="H63" s="423">
        <f t="shared" si="0"/>
        <v>0</v>
      </c>
    </row>
    <row r="64" spans="1:8" ht="12.75">
      <c r="A64" s="40">
        <v>312</v>
      </c>
      <c r="B64" s="9" t="s">
        <v>56</v>
      </c>
      <c r="C64" s="10">
        <v>14000</v>
      </c>
      <c r="D64" s="10">
        <v>14000</v>
      </c>
      <c r="E64" s="399">
        <v>35000</v>
      </c>
      <c r="F64" s="418">
        <v>35000</v>
      </c>
      <c r="G64" s="10">
        <v>33222</v>
      </c>
      <c r="H64" s="423">
        <f t="shared" si="0"/>
        <v>0.9492</v>
      </c>
    </row>
    <row r="65" spans="1:8" ht="12.75">
      <c r="A65" s="40">
        <v>312</v>
      </c>
      <c r="B65" s="47" t="s">
        <v>57</v>
      </c>
      <c r="C65" s="48">
        <v>1800</v>
      </c>
      <c r="D65" s="48">
        <v>1800</v>
      </c>
      <c r="E65" s="402">
        <v>2500</v>
      </c>
      <c r="F65" s="418">
        <v>2500</v>
      </c>
      <c r="G65" s="48">
        <v>1212</v>
      </c>
      <c r="H65" s="423">
        <f t="shared" si="0"/>
        <v>0.4848</v>
      </c>
    </row>
    <row r="66" spans="1:8" ht="12.75">
      <c r="A66" s="40">
        <v>312</v>
      </c>
      <c r="B66" s="47" t="s">
        <v>256</v>
      </c>
      <c r="C66" s="48">
        <v>0</v>
      </c>
      <c r="D66" s="48">
        <v>0</v>
      </c>
      <c r="E66" s="402">
        <v>3052</v>
      </c>
      <c r="F66" s="418">
        <v>3052</v>
      </c>
      <c r="G66" s="48">
        <v>3052</v>
      </c>
      <c r="H66" s="423">
        <f t="shared" si="0"/>
        <v>1</v>
      </c>
    </row>
    <row r="67" spans="1:8" ht="12.75">
      <c r="A67" s="40">
        <v>312</v>
      </c>
      <c r="B67" s="47" t="s">
        <v>257</v>
      </c>
      <c r="C67" s="48">
        <v>0</v>
      </c>
      <c r="D67" s="48">
        <v>0</v>
      </c>
      <c r="E67" s="402">
        <v>28739</v>
      </c>
      <c r="F67" s="418">
        <v>28739</v>
      </c>
      <c r="G67" s="48">
        <v>14370</v>
      </c>
      <c r="H67" s="423">
        <f t="shared" si="0"/>
        <v>0.500017397960959</v>
      </c>
    </row>
    <row r="68" spans="1:8" ht="12.75">
      <c r="A68" s="40">
        <v>312</v>
      </c>
      <c r="B68" s="47" t="s">
        <v>268</v>
      </c>
      <c r="C68" s="48">
        <v>0</v>
      </c>
      <c r="D68" s="48">
        <v>0</v>
      </c>
      <c r="E68" s="402">
        <v>19160</v>
      </c>
      <c r="F68" s="418">
        <v>19160</v>
      </c>
      <c r="G68" s="48">
        <v>0</v>
      </c>
      <c r="H68" s="423">
        <f t="shared" si="0"/>
        <v>0</v>
      </c>
    </row>
    <row r="69" spans="1:8" ht="12.75">
      <c r="A69" s="40">
        <v>312</v>
      </c>
      <c r="B69" s="47" t="s">
        <v>273</v>
      </c>
      <c r="C69" s="48">
        <v>0</v>
      </c>
      <c r="D69" s="48">
        <v>0</v>
      </c>
      <c r="E69" s="402">
        <v>7229</v>
      </c>
      <c r="F69" s="433">
        <v>0</v>
      </c>
      <c r="G69" s="48">
        <v>0</v>
      </c>
      <c r="H69" s="423">
        <v>0</v>
      </c>
    </row>
    <row r="70" spans="1:8" ht="12.75">
      <c r="A70" s="40">
        <v>312</v>
      </c>
      <c r="B70" s="47" t="s">
        <v>267</v>
      </c>
      <c r="C70" s="48">
        <v>0</v>
      </c>
      <c r="D70" s="48">
        <v>0</v>
      </c>
      <c r="E70" s="402">
        <v>17765</v>
      </c>
      <c r="F70" s="418">
        <v>17765</v>
      </c>
      <c r="G70" s="48">
        <v>4346</v>
      </c>
      <c r="H70" s="423">
        <f t="shared" si="0"/>
        <v>0.24463833380242048</v>
      </c>
    </row>
    <row r="71" spans="1:8" ht="13.5" thickBot="1">
      <c r="A71" s="2">
        <v>312</v>
      </c>
      <c r="B71" s="146" t="s">
        <v>276</v>
      </c>
      <c r="C71" s="147">
        <v>0</v>
      </c>
      <c r="D71" s="377">
        <v>0</v>
      </c>
      <c r="E71" s="378">
        <v>0</v>
      </c>
      <c r="F71" s="378">
        <v>57915</v>
      </c>
      <c r="G71" s="147">
        <v>57915</v>
      </c>
      <c r="H71" s="423">
        <f t="shared" si="0"/>
        <v>1</v>
      </c>
    </row>
    <row r="72" spans="1:8" ht="12.75">
      <c r="A72" s="40">
        <v>312</v>
      </c>
      <c r="B72" s="47" t="s">
        <v>58</v>
      </c>
      <c r="C72" s="48">
        <v>9000</v>
      </c>
      <c r="D72" s="48">
        <v>9000</v>
      </c>
      <c r="E72" s="48">
        <v>9000</v>
      </c>
      <c r="F72" s="349">
        <v>9304</v>
      </c>
      <c r="G72" s="48">
        <v>9304</v>
      </c>
      <c r="H72" s="423">
        <f t="shared" si="0"/>
        <v>1</v>
      </c>
    </row>
    <row r="73" spans="1:8" ht="12.75">
      <c r="A73" s="40">
        <v>312</v>
      </c>
      <c r="B73" s="47" t="s">
        <v>59</v>
      </c>
      <c r="C73" s="48">
        <v>16930</v>
      </c>
      <c r="D73" s="48">
        <v>16930</v>
      </c>
      <c r="E73" s="48">
        <v>16930</v>
      </c>
      <c r="F73" s="48">
        <v>16930</v>
      </c>
      <c r="G73" s="48">
        <v>16930</v>
      </c>
      <c r="H73" s="423">
        <f t="shared" si="0"/>
        <v>1</v>
      </c>
    </row>
    <row r="74" spans="1:8" ht="13.5" thickBot="1">
      <c r="A74" s="49">
        <v>312</v>
      </c>
      <c r="B74" s="50" t="s">
        <v>258</v>
      </c>
      <c r="C74" s="51">
        <v>0</v>
      </c>
      <c r="D74" s="51">
        <v>0</v>
      </c>
      <c r="E74" s="403">
        <v>15000</v>
      </c>
      <c r="F74" s="417">
        <v>15000</v>
      </c>
      <c r="G74" s="51">
        <v>15000</v>
      </c>
      <c r="H74" s="423">
        <f t="shared" si="0"/>
        <v>1</v>
      </c>
    </row>
    <row r="75" spans="1:8" ht="21" customHeight="1" thickBot="1">
      <c r="A75" s="52" t="s">
        <v>61</v>
      </c>
      <c r="B75" s="53"/>
      <c r="C75" s="54">
        <f>SUM(C11+C20+C40+C42+C54)</f>
        <v>1146936</v>
      </c>
      <c r="D75" s="54">
        <f>SUM(D11+D20+D40+D42+D54)</f>
        <v>1188802</v>
      </c>
      <c r="E75" s="54">
        <f>SUM(E11+E20+E40+E42+E54)</f>
        <v>1299744</v>
      </c>
      <c r="F75" s="54">
        <f>SUM(F11+F20+F40+F42+F54)</f>
        <v>1376665</v>
      </c>
      <c r="G75" s="54">
        <f>SUM(G11+G20+G40+G42+G54)</f>
        <v>1312241.23</v>
      </c>
      <c r="H75" s="423">
        <f t="shared" si="0"/>
        <v>0.9532030159842808</v>
      </c>
    </row>
    <row r="76" spans="1:8" ht="16.5" thickBot="1">
      <c r="A76" s="55"/>
      <c r="B76" s="56" t="s">
        <v>62</v>
      </c>
      <c r="C76" s="57">
        <v>1540</v>
      </c>
      <c r="D76" s="57">
        <v>1542</v>
      </c>
      <c r="E76" s="57">
        <v>1542</v>
      </c>
      <c r="F76" s="57">
        <f>1588+42</f>
        <v>1630</v>
      </c>
      <c r="G76" s="387">
        <v>1630</v>
      </c>
      <c r="H76" s="423">
        <f aca="true" t="shared" si="1" ref="H76:H140">G76/F76</f>
        <v>1</v>
      </c>
    </row>
    <row r="77" spans="1:8" ht="16.5" thickBot="1">
      <c r="A77" s="52" t="s">
        <v>63</v>
      </c>
      <c r="B77" s="37"/>
      <c r="C77" s="54">
        <f>SUM(C75:C76)</f>
        <v>1148476</v>
      </c>
      <c r="D77" s="54">
        <f>SUM(D75:D76)</f>
        <v>1190344</v>
      </c>
      <c r="E77" s="54">
        <f>SUM(E75:E76)</f>
        <v>1301286</v>
      </c>
      <c r="F77" s="54">
        <f>SUM(F75:F76)</f>
        <v>1378295</v>
      </c>
      <c r="G77" s="54">
        <f>SUM(G75:G76)</f>
        <v>1313871.23</v>
      </c>
      <c r="H77" s="423">
        <f t="shared" si="1"/>
        <v>0.9532583590595627</v>
      </c>
    </row>
    <row r="78" spans="1:8" ht="15" customHeight="1" thickBot="1">
      <c r="A78" s="58"/>
      <c r="B78" s="59"/>
      <c r="C78" s="59"/>
      <c r="D78" s="59"/>
      <c r="E78" s="59"/>
      <c r="F78" s="59"/>
      <c r="G78" s="59"/>
      <c r="H78" s="423"/>
    </row>
    <row r="79" spans="1:8" ht="21.75" customHeight="1" thickBot="1">
      <c r="A79" s="471" t="s">
        <v>64</v>
      </c>
      <c r="B79" s="472"/>
      <c r="C79" s="472"/>
      <c r="D79" s="472"/>
      <c r="E79" s="472"/>
      <c r="F79" s="472"/>
      <c r="G79" s="473"/>
      <c r="H79" s="423"/>
    </row>
    <row r="80" spans="1:8" ht="12.75">
      <c r="A80" s="450" t="s">
        <v>2</v>
      </c>
      <c r="B80" s="451"/>
      <c r="C80" s="441" t="s">
        <v>3</v>
      </c>
      <c r="D80" s="441" t="s">
        <v>245</v>
      </c>
      <c r="E80" s="441" t="s">
        <v>253</v>
      </c>
      <c r="F80" s="441" t="s">
        <v>274</v>
      </c>
      <c r="G80" s="441" t="s">
        <v>283</v>
      </c>
      <c r="H80" s="424" t="s">
        <v>279</v>
      </c>
    </row>
    <row r="81" spans="1:8" ht="13.5" thickBot="1">
      <c r="A81" s="474"/>
      <c r="B81" s="475"/>
      <c r="C81" s="442"/>
      <c r="D81" s="442"/>
      <c r="E81" s="442"/>
      <c r="F81" s="442"/>
      <c r="G81" s="442"/>
      <c r="H81" s="424" t="s">
        <v>281</v>
      </c>
    </row>
    <row r="82" spans="1:8" ht="13.5" thickBot="1">
      <c r="A82" s="61" t="s">
        <v>65</v>
      </c>
      <c r="B82" s="62"/>
      <c r="C82" s="63">
        <f>SUM(C83:C86)</f>
        <v>159213</v>
      </c>
      <c r="D82" s="63">
        <f>SUM(D83:D86)</f>
        <v>161760</v>
      </c>
      <c r="E82" s="63">
        <f>SUM(E83:E86)</f>
        <v>164757</v>
      </c>
      <c r="F82" s="63">
        <f>SUM(F83:F86)</f>
        <v>164757</v>
      </c>
      <c r="G82" s="63">
        <f>SUM(G83:G86)</f>
        <v>152655</v>
      </c>
      <c r="H82" s="423">
        <f t="shared" si="1"/>
        <v>0.9265463682878421</v>
      </c>
    </row>
    <row r="83" spans="1:9" ht="12.75">
      <c r="A83" s="64" t="s">
        <v>66</v>
      </c>
      <c r="B83" s="65" t="s">
        <v>67</v>
      </c>
      <c r="C83" s="66">
        <v>135500</v>
      </c>
      <c r="D83" s="66">
        <f>135500+350-350</f>
        <v>135500</v>
      </c>
      <c r="E83" s="66">
        <f>135500+350-350</f>
        <v>135500</v>
      </c>
      <c r="F83" s="66">
        <f>135500+350-350</f>
        <v>135500</v>
      </c>
      <c r="G83" s="66">
        <v>124680</v>
      </c>
      <c r="H83" s="423">
        <f t="shared" si="1"/>
        <v>0.9201476014760147</v>
      </c>
      <c r="I83" t="s">
        <v>284</v>
      </c>
    </row>
    <row r="84" spans="1:8" ht="12.75">
      <c r="A84" s="67" t="s">
        <v>68</v>
      </c>
      <c r="B84" s="47" t="s">
        <v>69</v>
      </c>
      <c r="C84" s="48">
        <v>17240</v>
      </c>
      <c r="D84" s="349">
        <f>17240+850+1520+177</f>
        <v>19787</v>
      </c>
      <c r="E84" s="349">
        <v>22767</v>
      </c>
      <c r="F84" s="48">
        <v>22767</v>
      </c>
      <c r="G84" s="48">
        <v>21485</v>
      </c>
      <c r="H84" s="423">
        <f t="shared" si="1"/>
        <v>0.943690429129881</v>
      </c>
    </row>
    <row r="85" spans="1:8" ht="12.75">
      <c r="A85" s="68" t="s">
        <v>70</v>
      </c>
      <c r="B85" s="47" t="s">
        <v>71</v>
      </c>
      <c r="C85" s="48">
        <v>3720</v>
      </c>
      <c r="D85" s="48">
        <v>3720</v>
      </c>
      <c r="E85" s="48">
        <v>3720</v>
      </c>
      <c r="F85" s="48">
        <v>3720</v>
      </c>
      <c r="G85" s="48">
        <v>3720</v>
      </c>
      <c r="H85" s="423">
        <f t="shared" si="1"/>
        <v>1</v>
      </c>
    </row>
    <row r="86" spans="1:8" ht="13.5" thickBot="1">
      <c r="A86" s="69" t="s">
        <v>72</v>
      </c>
      <c r="B86" s="70" t="s">
        <v>73</v>
      </c>
      <c r="C86" s="71">
        <v>2753</v>
      </c>
      <c r="D86" s="71">
        <v>2753</v>
      </c>
      <c r="E86" s="358">
        <v>2770</v>
      </c>
      <c r="F86" s="71">
        <v>2770</v>
      </c>
      <c r="G86" s="71">
        <v>2770</v>
      </c>
      <c r="H86" s="423">
        <f t="shared" si="1"/>
        <v>1</v>
      </c>
    </row>
    <row r="87" spans="1:8" ht="13.5" thickBot="1">
      <c r="A87" s="462" t="s">
        <v>74</v>
      </c>
      <c r="B87" s="463"/>
      <c r="C87" s="63">
        <f>SUM(C88)</f>
        <v>140</v>
      </c>
      <c r="D87" s="63">
        <f>SUM(D88)</f>
        <v>160</v>
      </c>
      <c r="E87" s="63">
        <f>SUM(E88)</f>
        <v>160</v>
      </c>
      <c r="F87" s="63">
        <f>SUM(F88)</f>
        <v>160</v>
      </c>
      <c r="G87" s="63">
        <f>SUM(G88)</f>
        <v>160</v>
      </c>
      <c r="H87" s="423">
        <f t="shared" si="1"/>
        <v>1</v>
      </c>
    </row>
    <row r="88" spans="1:8" ht="13.5" thickBot="1">
      <c r="A88" s="72" t="s">
        <v>75</v>
      </c>
      <c r="B88" s="59" t="s">
        <v>76</v>
      </c>
      <c r="C88" s="73">
        <v>140</v>
      </c>
      <c r="D88" s="356">
        <v>160</v>
      </c>
      <c r="E88" s="73">
        <v>160</v>
      </c>
      <c r="F88" s="73">
        <v>160</v>
      </c>
      <c r="G88" s="73">
        <v>160</v>
      </c>
      <c r="H88" s="423">
        <f t="shared" si="1"/>
        <v>1</v>
      </c>
    </row>
    <row r="89" spans="1:8" ht="13.5" thickBot="1">
      <c r="A89" s="462" t="s">
        <v>77</v>
      </c>
      <c r="B89" s="463"/>
      <c r="C89" s="63">
        <f>SUM(C90)</f>
        <v>5000</v>
      </c>
      <c r="D89" s="63">
        <f>SUM(D90)</f>
        <v>5000</v>
      </c>
      <c r="E89" s="63">
        <f>SUM(E90)</f>
        <v>5000</v>
      </c>
      <c r="F89" s="63">
        <f>SUM(F90)</f>
        <v>5000</v>
      </c>
      <c r="G89" s="63">
        <f>SUM(G90)</f>
        <v>3140</v>
      </c>
      <c r="H89" s="423">
        <f t="shared" si="1"/>
        <v>0.628</v>
      </c>
    </row>
    <row r="90" spans="1:8" ht="13.5" thickBot="1">
      <c r="A90" s="74" t="s">
        <v>78</v>
      </c>
      <c r="B90" s="75" t="s">
        <v>79</v>
      </c>
      <c r="C90" s="76">
        <v>5000</v>
      </c>
      <c r="D90" s="76">
        <v>5000</v>
      </c>
      <c r="E90" s="76">
        <v>5000</v>
      </c>
      <c r="F90" s="76">
        <v>5000</v>
      </c>
      <c r="G90" s="76">
        <v>3140</v>
      </c>
      <c r="H90" s="423">
        <f t="shared" si="1"/>
        <v>0.628</v>
      </c>
    </row>
    <row r="91" spans="1:8" ht="13.5" thickBot="1">
      <c r="A91" s="61" t="s">
        <v>80</v>
      </c>
      <c r="B91" s="77"/>
      <c r="C91" s="63">
        <f>SUM(C92:C96)</f>
        <v>137364</v>
      </c>
      <c r="D91" s="63">
        <f>SUM(D92:D96)</f>
        <v>137364</v>
      </c>
      <c r="E91" s="63">
        <f>SUM(E92:E96)</f>
        <v>212484</v>
      </c>
      <c r="F91" s="63">
        <f>SUM(F92:F96)</f>
        <v>212484</v>
      </c>
      <c r="G91" s="63">
        <f>SUM(G92:G96)</f>
        <v>140422</v>
      </c>
      <c r="H91" s="423">
        <f t="shared" si="1"/>
        <v>0.6608591705728432</v>
      </c>
    </row>
    <row r="92" spans="1:9" ht="12.75">
      <c r="A92" s="78" t="s">
        <v>81</v>
      </c>
      <c r="B92" s="27" t="s">
        <v>82</v>
      </c>
      <c r="C92" s="28">
        <v>2000</v>
      </c>
      <c r="D92" s="28">
        <v>2000</v>
      </c>
      <c r="E92" s="28">
        <v>2000</v>
      </c>
      <c r="F92" s="28">
        <v>2000</v>
      </c>
      <c r="G92" s="28">
        <v>1107</v>
      </c>
      <c r="H92" s="423">
        <f t="shared" si="1"/>
        <v>0.5535</v>
      </c>
      <c r="I92" s="134"/>
    </row>
    <row r="93" spans="1:8" ht="12.75">
      <c r="A93" s="68" t="s">
        <v>83</v>
      </c>
      <c r="B93" s="47" t="s">
        <v>84</v>
      </c>
      <c r="C93" s="48">
        <v>5500</v>
      </c>
      <c r="D93" s="48">
        <v>5500</v>
      </c>
      <c r="E93" s="48">
        <v>5500</v>
      </c>
      <c r="F93" s="48">
        <f>300+2090+3110</f>
        <v>5500</v>
      </c>
      <c r="G93" s="48">
        <f>4135+17+250</f>
        <v>4402</v>
      </c>
      <c r="H93" s="423">
        <f t="shared" si="1"/>
        <v>0.8003636363636364</v>
      </c>
    </row>
    <row r="94" spans="1:8" ht="12.75">
      <c r="A94" s="68" t="s">
        <v>83</v>
      </c>
      <c r="B94" s="47" t="s">
        <v>261</v>
      </c>
      <c r="C94" s="48">
        <v>0</v>
      </c>
      <c r="D94" s="48">
        <v>0</v>
      </c>
      <c r="E94" s="402">
        <v>69120</v>
      </c>
      <c r="F94" s="416">
        <v>69120</v>
      </c>
      <c r="G94" s="48">
        <v>19739</v>
      </c>
      <c r="H94" s="423">
        <f t="shared" si="1"/>
        <v>0.2855758101851852</v>
      </c>
    </row>
    <row r="95" spans="1:8" ht="12.75">
      <c r="A95" s="68" t="s">
        <v>85</v>
      </c>
      <c r="B95" s="47" t="s">
        <v>86</v>
      </c>
      <c r="C95" s="79">
        <f>15000+7000</f>
        <v>22000</v>
      </c>
      <c r="D95" s="79">
        <f>15000+7000</f>
        <v>22000</v>
      </c>
      <c r="E95" s="404">
        <v>28000</v>
      </c>
      <c r="F95" s="416">
        <v>28000</v>
      </c>
      <c r="G95" s="79">
        <v>27764</v>
      </c>
      <c r="H95" s="423">
        <f t="shared" si="1"/>
        <v>0.9915714285714285</v>
      </c>
    </row>
    <row r="96" spans="1:8" ht="13.5" thickBot="1">
      <c r="A96" s="80" t="s">
        <v>87</v>
      </c>
      <c r="B96" s="50" t="s">
        <v>88</v>
      </c>
      <c r="C96" s="81">
        <f>110000-2782+646</f>
        <v>107864</v>
      </c>
      <c r="D96" s="81">
        <f>110000-2782+646</f>
        <v>107864</v>
      </c>
      <c r="E96" s="81">
        <f>110000-2782+646</f>
        <v>107864</v>
      </c>
      <c r="F96" s="81">
        <f>110000-2782+646</f>
        <v>107864</v>
      </c>
      <c r="G96" s="81">
        <v>87410</v>
      </c>
      <c r="H96" s="423">
        <f t="shared" si="1"/>
        <v>0.8103723207001409</v>
      </c>
    </row>
    <row r="97" spans="1:8" ht="13.5" thickBot="1">
      <c r="A97" s="61" t="s">
        <v>89</v>
      </c>
      <c r="B97" s="62"/>
      <c r="C97" s="63">
        <f>SUM(C98:C101)</f>
        <v>25000</v>
      </c>
      <c r="D97" s="63">
        <f>SUM(D98:D101)</f>
        <v>28600</v>
      </c>
      <c r="E97" s="63">
        <f>SUM(E98:E101)</f>
        <v>42800</v>
      </c>
      <c r="F97" s="63">
        <f>SUM(F98:F101)</f>
        <v>102076</v>
      </c>
      <c r="G97" s="63">
        <f>SUM(G98:G101)</f>
        <v>101188</v>
      </c>
      <c r="H97" s="423">
        <f t="shared" si="1"/>
        <v>0.991300599553274</v>
      </c>
    </row>
    <row r="98" spans="1:8" ht="12.75">
      <c r="A98" s="82" t="s">
        <v>90</v>
      </c>
      <c r="B98" s="83" t="s">
        <v>91</v>
      </c>
      <c r="C98" s="84">
        <v>20000</v>
      </c>
      <c r="D98" s="84">
        <v>20000</v>
      </c>
      <c r="E98" s="395">
        <v>20600</v>
      </c>
      <c r="F98" s="430">
        <f>82076-61476</f>
        <v>20600</v>
      </c>
      <c r="G98" s="84">
        <f>81416-61476</f>
        <v>19940</v>
      </c>
      <c r="H98" s="423">
        <f t="shared" si="1"/>
        <v>0.9679611650485437</v>
      </c>
    </row>
    <row r="99" spans="1:9" ht="12.75">
      <c r="A99" s="68" t="s">
        <v>90</v>
      </c>
      <c r="B99" s="47" t="s">
        <v>277</v>
      </c>
      <c r="C99" s="48">
        <v>0</v>
      </c>
      <c r="D99" s="48">
        <v>0</v>
      </c>
      <c r="E99" s="48">
        <v>0</v>
      </c>
      <c r="F99" s="349">
        <v>61476</v>
      </c>
      <c r="G99" s="48">
        <v>61476</v>
      </c>
      <c r="H99" s="423">
        <f t="shared" si="1"/>
        <v>1</v>
      </c>
      <c r="I99" s="164">
        <f>SUM(G98:G99)</f>
        <v>81416</v>
      </c>
    </row>
    <row r="100" spans="1:8" ht="12.75">
      <c r="A100" s="72" t="s">
        <v>168</v>
      </c>
      <c r="B100" s="357" t="s">
        <v>249</v>
      </c>
      <c r="C100" s="71">
        <v>0</v>
      </c>
      <c r="D100" s="358">
        <v>600</v>
      </c>
      <c r="E100" s="71">
        <v>600</v>
      </c>
      <c r="F100" s="71">
        <v>600</v>
      </c>
      <c r="G100" s="71">
        <v>600</v>
      </c>
      <c r="H100" s="423">
        <f t="shared" si="1"/>
        <v>1</v>
      </c>
    </row>
    <row r="101" spans="1:8" ht="13.5" thickBot="1">
      <c r="A101" s="85" t="s">
        <v>92</v>
      </c>
      <c r="B101" s="86" t="s">
        <v>278</v>
      </c>
      <c r="C101" s="87">
        <v>5000</v>
      </c>
      <c r="D101" s="359">
        <f>5000+3000</f>
        <v>8000</v>
      </c>
      <c r="E101" s="359">
        <v>21600</v>
      </c>
      <c r="F101" s="359">
        <v>19400</v>
      </c>
      <c r="G101" s="87">
        <v>19172</v>
      </c>
      <c r="H101" s="423">
        <f t="shared" si="1"/>
        <v>0.9882474226804123</v>
      </c>
    </row>
    <row r="102" spans="1:9" ht="13.5" thickBot="1">
      <c r="A102" s="61" t="s">
        <v>94</v>
      </c>
      <c r="B102" s="77"/>
      <c r="C102" s="63">
        <f>SUM(C103)</f>
        <v>15000</v>
      </c>
      <c r="D102" s="63">
        <f>SUM(D103)</f>
        <v>15000</v>
      </c>
      <c r="E102" s="63">
        <f>SUM(E103)</f>
        <v>15000</v>
      </c>
      <c r="F102" s="63">
        <f>SUM(F103)</f>
        <v>16000</v>
      </c>
      <c r="G102" s="63">
        <f>SUM(G103)</f>
        <v>15977</v>
      </c>
      <c r="H102" s="423">
        <f t="shared" si="1"/>
        <v>0.9985625</v>
      </c>
      <c r="I102" t="s">
        <v>284</v>
      </c>
    </row>
    <row r="103" spans="1:8" ht="13.5" thickBot="1">
      <c r="A103" s="88" t="s">
        <v>95</v>
      </c>
      <c r="B103" s="50" t="s">
        <v>96</v>
      </c>
      <c r="C103" s="51">
        <v>15000</v>
      </c>
      <c r="D103" s="51">
        <v>15000</v>
      </c>
      <c r="E103" s="51">
        <v>15000</v>
      </c>
      <c r="F103" s="429">
        <v>16000</v>
      </c>
      <c r="G103" s="51">
        <v>15977</v>
      </c>
      <c r="H103" s="423">
        <f t="shared" si="1"/>
        <v>0.9985625</v>
      </c>
    </row>
    <row r="104" spans="1:8" ht="13.5" thickBot="1">
      <c r="A104" s="89" t="s">
        <v>97</v>
      </c>
      <c r="B104" s="62"/>
      <c r="C104" s="63">
        <f>SUM(C105:C120)</f>
        <v>77100</v>
      </c>
      <c r="D104" s="63">
        <f>SUM(D105:D120)</f>
        <v>81663</v>
      </c>
      <c r="E104" s="63">
        <f>SUM(E105:E120)</f>
        <v>82163</v>
      </c>
      <c r="F104" s="63">
        <f>SUM(F105:F120)</f>
        <v>82163</v>
      </c>
      <c r="G104" s="63">
        <f>SUM(G105:G120)</f>
        <v>69462</v>
      </c>
      <c r="H104" s="423">
        <f t="shared" si="1"/>
        <v>0.8454170368657424</v>
      </c>
    </row>
    <row r="105" spans="1:8" ht="13.5" thickBot="1">
      <c r="A105" s="85" t="s">
        <v>98</v>
      </c>
      <c r="B105" s="86" t="s">
        <v>100</v>
      </c>
      <c r="C105" s="87">
        <v>5000</v>
      </c>
      <c r="D105" s="87">
        <v>5000</v>
      </c>
      <c r="E105" s="87">
        <v>5000</v>
      </c>
      <c r="F105" s="87">
        <v>5000</v>
      </c>
      <c r="G105" s="87">
        <v>2123</v>
      </c>
      <c r="H105" s="423">
        <f t="shared" si="1"/>
        <v>0.4246</v>
      </c>
    </row>
    <row r="106" spans="1:8" ht="12.75">
      <c r="A106" s="90" t="s">
        <v>98</v>
      </c>
      <c r="B106" s="65" t="s">
        <v>99</v>
      </c>
      <c r="C106" s="66">
        <v>8000</v>
      </c>
      <c r="D106" s="66">
        <v>8000</v>
      </c>
      <c r="E106" s="405">
        <v>8500</v>
      </c>
      <c r="F106" s="385">
        <v>8500</v>
      </c>
      <c r="G106" s="66">
        <v>8500</v>
      </c>
      <c r="H106" s="423">
        <f t="shared" si="1"/>
        <v>1</v>
      </c>
    </row>
    <row r="107" spans="1:8" ht="12.75">
      <c r="A107" s="90" t="s">
        <v>101</v>
      </c>
      <c r="B107" s="91" t="s">
        <v>211</v>
      </c>
      <c r="C107" s="92">
        <v>18000</v>
      </c>
      <c r="D107" s="92">
        <v>18000</v>
      </c>
      <c r="E107" s="92">
        <v>18000</v>
      </c>
      <c r="F107" s="92">
        <v>18000</v>
      </c>
      <c r="G107" s="92">
        <v>15160</v>
      </c>
      <c r="H107" s="423">
        <f t="shared" si="1"/>
        <v>0.8422222222222222</v>
      </c>
    </row>
    <row r="108" spans="1:9" ht="12.75">
      <c r="A108" s="68" t="s">
        <v>103</v>
      </c>
      <c r="B108" s="93" t="s">
        <v>210</v>
      </c>
      <c r="C108" s="48">
        <v>1000</v>
      </c>
      <c r="D108" s="48">
        <v>1000</v>
      </c>
      <c r="E108" s="48">
        <v>1000</v>
      </c>
      <c r="F108" s="48">
        <v>1000</v>
      </c>
      <c r="G108" s="48">
        <v>994</v>
      </c>
      <c r="H108" s="423">
        <f t="shared" si="1"/>
        <v>0.994</v>
      </c>
      <c r="I108" s="134"/>
    </row>
    <row r="109" spans="1:8" ht="13.5" thickBot="1">
      <c r="A109" s="85" t="s">
        <v>105</v>
      </c>
      <c r="B109" s="86" t="s">
        <v>106</v>
      </c>
      <c r="C109" s="87">
        <v>2000</v>
      </c>
      <c r="D109" s="87">
        <v>2000</v>
      </c>
      <c r="E109" s="87">
        <v>2000</v>
      </c>
      <c r="F109" s="87">
        <v>2000</v>
      </c>
      <c r="G109" s="87">
        <v>1822</v>
      </c>
      <c r="H109" s="423">
        <f t="shared" si="1"/>
        <v>0.911</v>
      </c>
    </row>
    <row r="110" spans="1:8" ht="12.75">
      <c r="A110" s="68" t="s">
        <v>107</v>
      </c>
      <c r="B110" s="47" t="s">
        <v>215</v>
      </c>
      <c r="C110" s="48">
        <v>2000</v>
      </c>
      <c r="D110" s="349">
        <f>2000-470</f>
        <v>1530</v>
      </c>
      <c r="E110" s="48">
        <f>2000-470</f>
        <v>1530</v>
      </c>
      <c r="F110" s="48">
        <f>2000-470</f>
        <v>1530</v>
      </c>
      <c r="G110" s="48">
        <v>1522</v>
      </c>
      <c r="H110" s="423">
        <f t="shared" si="1"/>
        <v>0.9947712418300654</v>
      </c>
    </row>
    <row r="111" spans="1:8" ht="12.75">
      <c r="A111" s="68" t="s">
        <v>107</v>
      </c>
      <c r="B111" s="47" t="s">
        <v>216</v>
      </c>
      <c r="C111" s="48">
        <v>3000</v>
      </c>
      <c r="D111" s="349">
        <f>3000-1200</f>
        <v>1800</v>
      </c>
      <c r="E111" s="349">
        <v>1760</v>
      </c>
      <c r="F111" s="48">
        <v>1760</v>
      </c>
      <c r="G111" s="48">
        <v>1754</v>
      </c>
      <c r="H111" s="423">
        <f t="shared" si="1"/>
        <v>0.9965909090909091</v>
      </c>
    </row>
    <row r="112" spans="1:8" ht="12.75">
      <c r="A112" s="68" t="s">
        <v>107</v>
      </c>
      <c r="B112" s="47" t="s">
        <v>110</v>
      </c>
      <c r="C112" s="48">
        <v>9000</v>
      </c>
      <c r="D112" s="349">
        <v>11200</v>
      </c>
      <c r="E112" s="349">
        <v>11820</v>
      </c>
      <c r="F112" s="48">
        <v>11820</v>
      </c>
      <c r="G112" s="48">
        <v>11813</v>
      </c>
      <c r="H112" s="423">
        <f t="shared" si="1"/>
        <v>0.9994077834179357</v>
      </c>
    </row>
    <row r="113" spans="1:8" ht="12.75">
      <c r="A113" s="68" t="s">
        <v>107</v>
      </c>
      <c r="B113" s="47" t="s">
        <v>111</v>
      </c>
      <c r="C113" s="48">
        <v>1000</v>
      </c>
      <c r="D113" s="349">
        <v>470</v>
      </c>
      <c r="E113" s="349">
        <v>0</v>
      </c>
      <c r="F113" s="48">
        <v>0</v>
      </c>
      <c r="G113" s="48">
        <v>0</v>
      </c>
      <c r="H113" s="423">
        <v>0</v>
      </c>
    </row>
    <row r="114" spans="1:8" ht="12.75">
      <c r="A114" s="68" t="s">
        <v>107</v>
      </c>
      <c r="B114" s="47" t="s">
        <v>214</v>
      </c>
      <c r="C114" s="48">
        <v>200</v>
      </c>
      <c r="D114" s="48">
        <v>200</v>
      </c>
      <c r="E114" s="402">
        <v>90</v>
      </c>
      <c r="F114" s="402">
        <v>0</v>
      </c>
      <c r="G114" s="48">
        <v>0</v>
      </c>
      <c r="H114" s="423">
        <v>0</v>
      </c>
    </row>
    <row r="115" spans="1:8" ht="12.75">
      <c r="A115" s="68" t="s">
        <v>107</v>
      </c>
      <c r="B115" s="47" t="s">
        <v>212</v>
      </c>
      <c r="C115" s="48">
        <v>1000</v>
      </c>
      <c r="D115" s="48">
        <v>1000</v>
      </c>
      <c r="E115" s="48">
        <v>1000</v>
      </c>
      <c r="F115" s="349">
        <v>1200</v>
      </c>
      <c r="G115" s="48">
        <v>1143</v>
      </c>
      <c r="H115" s="423">
        <f t="shared" si="1"/>
        <v>0.9525</v>
      </c>
    </row>
    <row r="116" spans="1:8" ht="12.75">
      <c r="A116" s="68" t="s">
        <v>107</v>
      </c>
      <c r="B116" s="47" t="s">
        <v>213</v>
      </c>
      <c r="C116" s="48">
        <v>300</v>
      </c>
      <c r="D116" s="48">
        <v>300</v>
      </c>
      <c r="E116" s="48">
        <v>300</v>
      </c>
      <c r="F116" s="349">
        <v>190</v>
      </c>
      <c r="G116" s="48">
        <v>0</v>
      </c>
      <c r="H116" s="423">
        <f t="shared" si="1"/>
        <v>0</v>
      </c>
    </row>
    <row r="117" spans="1:8" ht="13.5" thickBot="1">
      <c r="A117" s="85" t="s">
        <v>107</v>
      </c>
      <c r="B117" s="86" t="s">
        <v>112</v>
      </c>
      <c r="C117" s="87">
        <v>9000</v>
      </c>
      <c r="D117" s="359">
        <v>13563</v>
      </c>
      <c r="E117" s="87">
        <v>13563</v>
      </c>
      <c r="F117" s="87">
        <v>13563</v>
      </c>
      <c r="G117" s="87">
        <v>13563</v>
      </c>
      <c r="H117" s="423">
        <f t="shared" si="1"/>
        <v>1</v>
      </c>
    </row>
    <row r="118" spans="1:8" ht="12.75">
      <c r="A118" s="82" t="s">
        <v>113</v>
      </c>
      <c r="B118" s="83" t="s">
        <v>209</v>
      </c>
      <c r="C118" s="84">
        <v>1600</v>
      </c>
      <c r="D118" s="84">
        <v>1600</v>
      </c>
      <c r="E118" s="84">
        <v>1600</v>
      </c>
      <c r="F118" s="430">
        <v>1600</v>
      </c>
      <c r="G118" s="84">
        <v>1220</v>
      </c>
      <c r="H118" s="423">
        <f t="shared" si="1"/>
        <v>0.7625</v>
      </c>
    </row>
    <row r="119" spans="1:8" ht="12.75">
      <c r="A119" s="90" t="s">
        <v>115</v>
      </c>
      <c r="B119" s="65" t="s">
        <v>116</v>
      </c>
      <c r="C119" s="66">
        <v>12000</v>
      </c>
      <c r="D119" s="66">
        <v>12000</v>
      </c>
      <c r="E119" s="385">
        <v>12000</v>
      </c>
      <c r="F119" s="385">
        <v>12000</v>
      </c>
      <c r="G119" s="66">
        <v>7117</v>
      </c>
      <c r="H119" s="423">
        <f t="shared" si="1"/>
        <v>0.5930833333333333</v>
      </c>
    </row>
    <row r="120" spans="1:8" ht="13.5" thickBot="1">
      <c r="A120" s="85" t="s">
        <v>117</v>
      </c>
      <c r="B120" s="86" t="s">
        <v>217</v>
      </c>
      <c r="C120" s="87">
        <v>4000</v>
      </c>
      <c r="D120" s="87">
        <v>4000</v>
      </c>
      <c r="E120" s="87">
        <v>4000</v>
      </c>
      <c r="F120" s="87">
        <v>4000</v>
      </c>
      <c r="G120" s="87">
        <v>2731</v>
      </c>
      <c r="H120" s="423">
        <f t="shared" si="1"/>
        <v>0.68275</v>
      </c>
    </row>
    <row r="121" spans="1:8" ht="13.5" thickBot="1">
      <c r="A121" s="462" t="s">
        <v>119</v>
      </c>
      <c r="B121" s="463"/>
      <c r="C121" s="63">
        <f>SUM(C122:C126)</f>
        <v>279970</v>
      </c>
      <c r="D121" s="63">
        <f>SUM(D122:D126)</f>
        <v>279972</v>
      </c>
      <c r="E121" s="63">
        <f>SUM(E122:E126)</f>
        <v>287121</v>
      </c>
      <c r="F121" s="63">
        <f>SUM(F122:F126)</f>
        <v>288421</v>
      </c>
      <c r="G121" s="63">
        <f>SUM(G122:G126)</f>
        <v>253788</v>
      </c>
      <c r="H121" s="423">
        <f t="shared" si="1"/>
        <v>0.8799220583799376</v>
      </c>
    </row>
    <row r="122" spans="1:8" ht="12.75">
      <c r="A122" s="94" t="s">
        <v>120</v>
      </c>
      <c r="B122" s="95" t="s">
        <v>121</v>
      </c>
      <c r="C122" s="96">
        <f>100000</f>
        <v>100000</v>
      </c>
      <c r="D122" s="96">
        <f>100000</f>
        <v>100000</v>
      </c>
      <c r="E122" s="388">
        <f>100000</f>
        <v>100000</v>
      </c>
      <c r="F122" s="388">
        <f>100000</f>
        <v>100000</v>
      </c>
      <c r="G122" s="96">
        <v>78722</v>
      </c>
      <c r="H122" s="423">
        <f t="shared" si="1"/>
        <v>0.78722</v>
      </c>
    </row>
    <row r="123" spans="1:9" ht="12.75">
      <c r="A123" s="97" t="s">
        <v>122</v>
      </c>
      <c r="B123" s="31" t="s">
        <v>123</v>
      </c>
      <c r="C123" s="32">
        <v>5040</v>
      </c>
      <c r="D123" s="362">
        <v>5042</v>
      </c>
      <c r="E123" s="362">
        <v>12191</v>
      </c>
      <c r="F123" s="32">
        <v>12191</v>
      </c>
      <c r="G123" s="32">
        <v>10025</v>
      </c>
      <c r="H123" s="423">
        <f t="shared" si="1"/>
        <v>0.8223279468460339</v>
      </c>
      <c r="I123" t="s">
        <v>284</v>
      </c>
    </row>
    <row r="124" spans="1:8" ht="12.75">
      <c r="A124" s="97" t="s">
        <v>124</v>
      </c>
      <c r="B124" s="31" t="s">
        <v>125</v>
      </c>
      <c r="C124" s="32">
        <v>103000</v>
      </c>
      <c r="D124" s="32">
        <v>103000</v>
      </c>
      <c r="E124" s="32">
        <v>103000</v>
      </c>
      <c r="F124" s="362">
        <v>104300</v>
      </c>
      <c r="G124" s="32">
        <v>104174</v>
      </c>
      <c r="H124" s="423">
        <f t="shared" si="1"/>
        <v>0.9987919463087248</v>
      </c>
    </row>
    <row r="125" spans="1:8" ht="12.75">
      <c r="A125" s="97" t="s">
        <v>126</v>
      </c>
      <c r="B125" s="31" t="s">
        <v>127</v>
      </c>
      <c r="C125" s="32">
        <v>55000</v>
      </c>
      <c r="D125" s="32">
        <v>55000</v>
      </c>
      <c r="E125" s="32">
        <v>55000</v>
      </c>
      <c r="F125" s="32">
        <v>55000</v>
      </c>
      <c r="G125" s="32">
        <v>43937</v>
      </c>
      <c r="H125" s="423">
        <f t="shared" si="1"/>
        <v>0.7988545454545455</v>
      </c>
    </row>
    <row r="126" spans="1:8" ht="13.5" thickBot="1">
      <c r="A126" s="80" t="s">
        <v>128</v>
      </c>
      <c r="B126" s="50" t="s">
        <v>129</v>
      </c>
      <c r="C126" s="98">
        <v>16930</v>
      </c>
      <c r="D126" s="98">
        <v>16930</v>
      </c>
      <c r="E126" s="98">
        <v>16930</v>
      </c>
      <c r="F126" s="98">
        <v>16930</v>
      </c>
      <c r="G126" s="98">
        <v>16930</v>
      </c>
      <c r="H126" s="423">
        <f t="shared" si="1"/>
        <v>1</v>
      </c>
    </row>
    <row r="127" spans="1:8" ht="13.5" thickBot="1">
      <c r="A127" s="61" t="s">
        <v>130</v>
      </c>
      <c r="B127" s="62"/>
      <c r="C127" s="63">
        <f>SUM(C128:C135)</f>
        <v>115050</v>
      </c>
      <c r="D127" s="63">
        <f>SUM(D128:D135)</f>
        <v>115050</v>
      </c>
      <c r="E127" s="63">
        <f>SUM(E128:E135)</f>
        <v>143300</v>
      </c>
      <c r="F127" s="63">
        <f>SUM(F128:F135)</f>
        <v>143300</v>
      </c>
      <c r="G127" s="63">
        <f>SUM(G128:G135)</f>
        <v>122886</v>
      </c>
      <c r="H127" s="423">
        <f t="shared" si="1"/>
        <v>0.8575436147941382</v>
      </c>
    </row>
    <row r="128" spans="1:8" ht="12.75">
      <c r="A128" s="90" t="s">
        <v>131</v>
      </c>
      <c r="B128" s="65" t="s">
        <v>132</v>
      </c>
      <c r="C128" s="66">
        <v>70000</v>
      </c>
      <c r="D128" s="66">
        <v>70000</v>
      </c>
      <c r="E128" s="66">
        <v>70000</v>
      </c>
      <c r="F128" s="66">
        <v>70000</v>
      </c>
      <c r="G128" s="66">
        <v>60483</v>
      </c>
      <c r="H128" s="423">
        <f t="shared" si="1"/>
        <v>0.8640428571428571</v>
      </c>
    </row>
    <row r="129" spans="1:8" ht="12.75">
      <c r="A129" s="68" t="s">
        <v>133</v>
      </c>
      <c r="B129" s="47" t="s">
        <v>134</v>
      </c>
      <c r="C129" s="48">
        <v>11000</v>
      </c>
      <c r="D129" s="48">
        <v>11000</v>
      </c>
      <c r="E129" s="48">
        <v>11000</v>
      </c>
      <c r="F129" s="48">
        <v>11000</v>
      </c>
      <c r="G129" s="48">
        <f>12795-1795</f>
        <v>11000</v>
      </c>
      <c r="H129" s="423">
        <f t="shared" si="1"/>
        <v>1</v>
      </c>
    </row>
    <row r="130" spans="1:8" ht="13.5" thickBot="1">
      <c r="A130" s="85" t="s">
        <v>133</v>
      </c>
      <c r="B130" s="86" t="s">
        <v>135</v>
      </c>
      <c r="C130" s="87">
        <v>2000</v>
      </c>
      <c r="D130" s="87">
        <v>2000</v>
      </c>
      <c r="E130" s="87">
        <v>2000</v>
      </c>
      <c r="F130" s="87">
        <v>2000</v>
      </c>
      <c r="G130" s="87">
        <v>1795</v>
      </c>
      <c r="H130" s="423">
        <f t="shared" si="1"/>
        <v>0.8975</v>
      </c>
    </row>
    <row r="131" spans="1:8" ht="12.75">
      <c r="A131" s="90" t="s">
        <v>136</v>
      </c>
      <c r="B131" s="65" t="s">
        <v>137</v>
      </c>
      <c r="C131" s="66">
        <v>500</v>
      </c>
      <c r="D131" s="66">
        <v>500</v>
      </c>
      <c r="E131" s="66">
        <v>500</v>
      </c>
      <c r="F131" s="66">
        <v>500</v>
      </c>
      <c r="G131" s="66">
        <v>188</v>
      </c>
      <c r="H131" s="423">
        <f t="shared" si="1"/>
        <v>0.376</v>
      </c>
    </row>
    <row r="132" spans="1:8" ht="12.75">
      <c r="A132" s="68" t="s">
        <v>138</v>
      </c>
      <c r="B132" s="47" t="s">
        <v>262</v>
      </c>
      <c r="C132" s="48">
        <v>18500</v>
      </c>
      <c r="D132" s="48">
        <v>18500</v>
      </c>
      <c r="E132" s="402">
        <v>50000</v>
      </c>
      <c r="F132" s="414">
        <v>50000</v>
      </c>
      <c r="G132" s="48">
        <v>42991</v>
      </c>
      <c r="H132" s="423">
        <f t="shared" si="1"/>
        <v>0.85982</v>
      </c>
    </row>
    <row r="133" spans="1:8" ht="12.75">
      <c r="A133" s="68" t="s">
        <v>140</v>
      </c>
      <c r="B133" s="47" t="s">
        <v>142</v>
      </c>
      <c r="C133" s="48">
        <v>12350</v>
      </c>
      <c r="D133" s="48">
        <v>12350</v>
      </c>
      <c r="E133" s="402">
        <v>9100</v>
      </c>
      <c r="F133" s="414">
        <v>9100</v>
      </c>
      <c r="G133" s="48">
        <v>6429</v>
      </c>
      <c r="H133" s="423">
        <f t="shared" si="1"/>
        <v>0.7064835164835165</v>
      </c>
    </row>
    <row r="134" spans="1:8" ht="12.75">
      <c r="A134" s="68" t="s">
        <v>143</v>
      </c>
      <c r="B134" s="47" t="s">
        <v>144</v>
      </c>
      <c r="C134" s="48">
        <v>400</v>
      </c>
      <c r="D134" s="48">
        <v>400</v>
      </c>
      <c r="E134" s="48">
        <v>400</v>
      </c>
      <c r="F134" s="48">
        <v>400</v>
      </c>
      <c r="G134" s="48">
        <v>0</v>
      </c>
      <c r="H134" s="423">
        <f t="shared" si="1"/>
        <v>0</v>
      </c>
    </row>
    <row r="135" spans="1:8" ht="13.5" thickBot="1">
      <c r="A135" s="85" t="s">
        <v>145</v>
      </c>
      <c r="B135" s="86" t="s">
        <v>146</v>
      </c>
      <c r="C135" s="87">
        <v>300</v>
      </c>
      <c r="D135" s="87">
        <v>300</v>
      </c>
      <c r="E135" s="87">
        <v>300</v>
      </c>
      <c r="F135" s="87">
        <v>300</v>
      </c>
      <c r="G135" s="87">
        <v>0</v>
      </c>
      <c r="H135" s="423">
        <f t="shared" si="1"/>
        <v>0</v>
      </c>
    </row>
    <row r="136" spans="1:8" ht="16.5" thickBot="1">
      <c r="A136" s="99" t="s">
        <v>147</v>
      </c>
      <c r="B136" s="100"/>
      <c r="C136" s="101">
        <f>SUM(C82+C87+C89+C91+C97+C102+C104+C121+C127)</f>
        <v>813837</v>
      </c>
      <c r="D136" s="101">
        <f>SUM(D82+D87+D89+D91+D97+D102+D104+D121+D127)</f>
        <v>824569</v>
      </c>
      <c r="E136" s="101">
        <f>SUM(E82+E87+E89+E91+E97+E102+E104+E121+E127)</f>
        <v>952785</v>
      </c>
      <c r="F136" s="101">
        <f>SUM(F82+F87+F89+F91+F97+F102+F104+F121+F127)</f>
        <v>1014361</v>
      </c>
      <c r="G136" s="101">
        <f>SUM(G82+G87+G89+G91+G97+G102+G104+G121+G127)</f>
        <v>859678</v>
      </c>
      <c r="H136" s="423">
        <f t="shared" si="1"/>
        <v>0.847506952652951</v>
      </c>
    </row>
    <row r="137" spans="1:8" ht="15" customHeight="1">
      <c r="A137" s="102" t="s">
        <v>122</v>
      </c>
      <c r="B137" s="103" t="s">
        <v>148</v>
      </c>
      <c r="C137" s="104">
        <f>C58+C76-40</f>
        <v>302026</v>
      </c>
      <c r="D137" s="415">
        <f>D58+D76-42</f>
        <v>305564</v>
      </c>
      <c r="E137" s="104">
        <f>E58+E76-42</f>
        <v>305564</v>
      </c>
      <c r="F137" s="415">
        <f>F58+F76-42</f>
        <v>306482</v>
      </c>
      <c r="G137" s="104">
        <f>G58+G76-42</f>
        <v>306482</v>
      </c>
      <c r="H137" s="423">
        <f t="shared" si="1"/>
        <v>1</v>
      </c>
    </row>
    <row r="138" spans="1:8" ht="12.75">
      <c r="A138" s="105" t="s">
        <v>149</v>
      </c>
      <c r="B138" s="43" t="s">
        <v>150</v>
      </c>
      <c r="C138" s="106">
        <v>17000</v>
      </c>
      <c r="D138" s="106">
        <v>17000</v>
      </c>
      <c r="E138" s="106">
        <v>17000</v>
      </c>
      <c r="F138" s="106">
        <v>17000</v>
      </c>
      <c r="G138" s="106">
        <v>17000</v>
      </c>
      <c r="H138" s="423">
        <f t="shared" si="1"/>
        <v>1</v>
      </c>
    </row>
    <row r="139" spans="1:8" ht="13.5" thickBot="1">
      <c r="A139" s="464" t="s">
        <v>151</v>
      </c>
      <c r="B139" s="465"/>
      <c r="C139" s="107">
        <f>SUM(C137:C138)</f>
        <v>319026</v>
      </c>
      <c r="D139" s="107">
        <f>SUM(D137:D138)</f>
        <v>322564</v>
      </c>
      <c r="E139" s="107">
        <f>SUM(E137:E138)</f>
        <v>322564</v>
      </c>
      <c r="F139" s="107">
        <f>SUM(F137:F138)</f>
        <v>323482</v>
      </c>
      <c r="G139" s="107">
        <f>SUM(G137:G138)</f>
        <v>323482</v>
      </c>
      <c r="H139" s="423">
        <f t="shared" si="1"/>
        <v>1</v>
      </c>
    </row>
    <row r="140" spans="1:8" ht="16.5" thickBot="1">
      <c r="A140" s="108" t="s">
        <v>152</v>
      </c>
      <c r="B140" s="77"/>
      <c r="C140" s="109">
        <f>C136+C139</f>
        <v>1132863</v>
      </c>
      <c r="D140" s="109">
        <f>D136+D139</f>
        <v>1147133</v>
      </c>
      <c r="E140" s="109">
        <f>E136+E139</f>
        <v>1275349</v>
      </c>
      <c r="F140" s="109">
        <f>F136+F139</f>
        <v>1337843</v>
      </c>
      <c r="G140" s="109">
        <f>G136+G139</f>
        <v>1183160</v>
      </c>
      <c r="H140" s="423">
        <f t="shared" si="1"/>
        <v>0.8843788097706532</v>
      </c>
    </row>
    <row r="141" ht="12.75">
      <c r="H141" s="423"/>
    </row>
    <row r="142" spans="1:8" ht="27" customHeight="1" thickBot="1">
      <c r="A142" s="110"/>
      <c r="B142" s="111"/>
      <c r="C142" s="111"/>
      <c r="D142" s="111"/>
      <c r="E142" s="111"/>
      <c r="F142" s="111"/>
      <c r="G142" s="111"/>
      <c r="H142" s="423"/>
    </row>
    <row r="143" spans="1:8" ht="18.75" thickBot="1">
      <c r="A143" s="466" t="s">
        <v>153</v>
      </c>
      <c r="B143" s="467"/>
      <c r="C143" s="467"/>
      <c r="D143" s="467"/>
      <c r="E143" s="467"/>
      <c r="F143" s="467"/>
      <c r="G143" s="468"/>
      <c r="H143" s="423"/>
    </row>
    <row r="144" spans="1:8" ht="12.75">
      <c r="A144" s="450" t="s">
        <v>2</v>
      </c>
      <c r="B144" s="451"/>
      <c r="C144" s="441" t="s">
        <v>3</v>
      </c>
      <c r="D144" s="441" t="s">
        <v>245</v>
      </c>
      <c r="E144" s="441" t="s">
        <v>253</v>
      </c>
      <c r="F144" s="441" t="s">
        <v>274</v>
      </c>
      <c r="G144" s="441" t="s">
        <v>283</v>
      </c>
      <c r="H144" s="424" t="s">
        <v>279</v>
      </c>
    </row>
    <row r="145" spans="1:8" ht="13.5" thickBot="1">
      <c r="A145" s="459"/>
      <c r="B145" s="460"/>
      <c r="C145" s="461"/>
      <c r="D145" s="442"/>
      <c r="E145" s="442"/>
      <c r="F145" s="442"/>
      <c r="G145" s="442"/>
      <c r="H145" s="424" t="s">
        <v>280</v>
      </c>
    </row>
    <row r="146" spans="1:8" ht="16.5" thickBot="1">
      <c r="A146" s="454" t="s">
        <v>154</v>
      </c>
      <c r="B146" s="455"/>
      <c r="C146" s="121">
        <f>SUM(C147:C154)</f>
        <v>3347518</v>
      </c>
      <c r="D146" s="121">
        <f>SUM(D147:D154)</f>
        <v>3357298</v>
      </c>
      <c r="E146" s="121">
        <f>SUM(E147:E154)</f>
        <v>3347762</v>
      </c>
      <c r="F146" s="121">
        <f>SUM(F147:F154)</f>
        <v>3224918</v>
      </c>
      <c r="G146" s="121">
        <f>SUM(G147:G154)</f>
        <v>1998794</v>
      </c>
      <c r="H146" s="423">
        <f aca="true" t="shared" si="2" ref="H146:H201">G146/F146</f>
        <v>0.6197968444468975</v>
      </c>
    </row>
    <row r="147" spans="1:8" ht="13.5" thickBot="1">
      <c r="A147" s="411">
        <v>230</v>
      </c>
      <c r="B147" s="408" t="s">
        <v>155</v>
      </c>
      <c r="C147" s="409">
        <v>4000</v>
      </c>
      <c r="D147" s="410">
        <v>4201</v>
      </c>
      <c r="E147" s="410">
        <v>6474</v>
      </c>
      <c r="F147" s="409">
        <v>6474</v>
      </c>
      <c r="G147" s="409">
        <v>6474</v>
      </c>
      <c r="H147" s="423">
        <f t="shared" si="2"/>
        <v>1</v>
      </c>
    </row>
    <row r="148" spans="1:9" ht="12.75">
      <c r="A148" s="39">
        <v>322</v>
      </c>
      <c r="B148" s="65" t="s">
        <v>157</v>
      </c>
      <c r="C148" s="66">
        <v>446805</v>
      </c>
      <c r="D148" s="66">
        <v>446805</v>
      </c>
      <c r="E148" s="407">
        <f>446805-19160</f>
        <v>427645</v>
      </c>
      <c r="F148" s="66">
        <f>446805-19160</f>
        <v>427645</v>
      </c>
      <c r="G148" s="66">
        <v>2570</v>
      </c>
      <c r="H148" s="423">
        <f t="shared" si="2"/>
        <v>0.006009657543055572</v>
      </c>
      <c r="I148" s="164"/>
    </row>
    <row r="149" spans="1:8" ht="12.75">
      <c r="A149" s="40">
        <v>322</v>
      </c>
      <c r="B149" s="47" t="s">
        <v>158</v>
      </c>
      <c r="C149" s="48">
        <v>566158</v>
      </c>
      <c r="D149" s="48">
        <v>566158</v>
      </c>
      <c r="E149" s="349">
        <f>566158-7229</f>
        <v>558929</v>
      </c>
      <c r="F149" s="435">
        <v>494000</v>
      </c>
      <c r="G149" s="48">
        <v>492962</v>
      </c>
      <c r="H149" s="423">
        <f t="shared" si="2"/>
        <v>0.9978987854251012</v>
      </c>
    </row>
    <row r="150" spans="1:9" ht="12.75">
      <c r="A150" s="40">
        <v>322</v>
      </c>
      <c r="B150" s="47" t="s">
        <v>159</v>
      </c>
      <c r="C150" s="48">
        <v>933113</v>
      </c>
      <c r="D150" s="48">
        <v>933113</v>
      </c>
      <c r="E150" s="349">
        <f>933113-17765</f>
        <v>915348</v>
      </c>
      <c r="F150" s="48">
        <f>933113-17765</f>
        <v>915348</v>
      </c>
      <c r="G150" s="48">
        <v>697532</v>
      </c>
      <c r="H150" s="423">
        <f t="shared" si="2"/>
        <v>0.76204022950834</v>
      </c>
      <c r="I150" s="134"/>
    </row>
    <row r="151" spans="1:8" ht="12.75">
      <c r="A151" s="40">
        <v>322</v>
      </c>
      <c r="B151" s="47" t="s">
        <v>160</v>
      </c>
      <c r="C151" s="48">
        <v>0</v>
      </c>
      <c r="D151" s="48">
        <v>0</v>
      </c>
      <c r="E151" s="402">
        <v>4748</v>
      </c>
      <c r="F151" s="414">
        <v>4748</v>
      </c>
      <c r="G151" s="48">
        <v>4748</v>
      </c>
      <c r="H151" s="423">
        <f t="shared" si="2"/>
        <v>1</v>
      </c>
    </row>
    <row r="152" spans="1:8" ht="12.75">
      <c r="A152" s="40">
        <v>322</v>
      </c>
      <c r="B152" s="47" t="s">
        <v>161</v>
      </c>
      <c r="C152" s="48">
        <v>1397442</v>
      </c>
      <c r="D152" s="349">
        <f>1397442+9579</f>
        <v>1407021</v>
      </c>
      <c r="E152" s="349">
        <f>1397442-28739</f>
        <v>1368703</v>
      </c>
      <c r="F152" s="48">
        <f>1397442-28739</f>
        <v>1368703</v>
      </c>
      <c r="G152" s="48">
        <v>786508</v>
      </c>
      <c r="H152" s="423">
        <f t="shared" si="2"/>
        <v>0.5746374487379659</v>
      </c>
    </row>
    <row r="153" spans="1:8" ht="12.75">
      <c r="A153" s="40">
        <v>322</v>
      </c>
      <c r="B153" s="47" t="s">
        <v>259</v>
      </c>
      <c r="C153" s="48">
        <v>0</v>
      </c>
      <c r="D153" s="379">
        <v>0</v>
      </c>
      <c r="E153" s="349">
        <v>8000</v>
      </c>
      <c r="F153" s="48">
        <v>8000</v>
      </c>
      <c r="G153" s="48">
        <v>8000</v>
      </c>
      <c r="H153" s="423">
        <f t="shared" si="2"/>
        <v>1</v>
      </c>
    </row>
    <row r="154" spans="1:10" ht="13.5" thickBot="1">
      <c r="A154" s="2">
        <v>322</v>
      </c>
      <c r="B154" s="146" t="s">
        <v>260</v>
      </c>
      <c r="C154" s="147">
        <v>0</v>
      </c>
      <c r="D154" s="377">
        <v>0</v>
      </c>
      <c r="E154" s="378">
        <v>57915</v>
      </c>
      <c r="F154" s="378">
        <v>0</v>
      </c>
      <c r="G154" s="147">
        <v>0</v>
      </c>
      <c r="H154" s="423">
        <v>0</v>
      </c>
      <c r="I154" s="164">
        <f>SUM(F148:F154)</f>
        <v>3218444</v>
      </c>
      <c r="J154" s="164">
        <f>SUM(G148:G154)</f>
        <v>1992320</v>
      </c>
    </row>
    <row r="155" spans="1:8" ht="16.5" thickBot="1">
      <c r="A155" s="454" t="s">
        <v>162</v>
      </c>
      <c r="B155" s="455"/>
      <c r="C155" s="121">
        <f>SUM(C156:C169)</f>
        <v>3679665</v>
      </c>
      <c r="D155" s="121">
        <f>SUM(D156:D169)</f>
        <v>3704866</v>
      </c>
      <c r="E155" s="121">
        <f>SUM(E156:E169)</f>
        <v>3678056</v>
      </c>
      <c r="F155" s="121">
        <f>SUM(F156:F169)</f>
        <v>3619102</v>
      </c>
      <c r="G155" s="121">
        <f>SUM(G156:G169)</f>
        <v>2204295</v>
      </c>
      <c r="H155" s="423">
        <f t="shared" si="2"/>
        <v>0.609072361044259</v>
      </c>
    </row>
    <row r="156" spans="1:8" ht="12.75">
      <c r="A156" s="68" t="s">
        <v>83</v>
      </c>
      <c r="B156" s="9" t="s">
        <v>163</v>
      </c>
      <c r="C156" s="10">
        <v>4000</v>
      </c>
      <c r="D156" s="348">
        <v>4201</v>
      </c>
      <c r="E156" s="348">
        <v>2261</v>
      </c>
      <c r="F156" s="348">
        <f>2261+553</f>
        <v>2814</v>
      </c>
      <c r="G156" s="10">
        <v>2814</v>
      </c>
      <c r="H156" s="423">
        <f t="shared" si="2"/>
        <v>1</v>
      </c>
    </row>
    <row r="157" spans="1:8" ht="12.75">
      <c r="A157" s="122" t="s">
        <v>83</v>
      </c>
      <c r="B157" s="9" t="s">
        <v>164</v>
      </c>
      <c r="C157" s="123">
        <v>15000</v>
      </c>
      <c r="D157" s="123">
        <v>15000</v>
      </c>
      <c r="E157" s="123">
        <v>15000</v>
      </c>
      <c r="F157" s="123">
        <v>15000</v>
      </c>
      <c r="G157" s="123">
        <v>0</v>
      </c>
      <c r="H157" s="423">
        <f t="shared" si="2"/>
        <v>0</v>
      </c>
    </row>
    <row r="158" spans="1:8" ht="13.5" thickBot="1">
      <c r="A158" s="124" t="s">
        <v>83</v>
      </c>
      <c r="B158" s="391" t="s">
        <v>205</v>
      </c>
      <c r="C158" s="392">
        <f>30988+32752+18700</f>
        <v>82440</v>
      </c>
      <c r="D158" s="393">
        <f>30988+32752+18700+1000</f>
        <v>83440</v>
      </c>
      <c r="E158" s="394">
        <v>1900</v>
      </c>
      <c r="F158" s="413">
        <v>1900</v>
      </c>
      <c r="G158" s="392">
        <v>1890</v>
      </c>
      <c r="H158" s="423">
        <f t="shared" si="2"/>
        <v>0.9947368421052631</v>
      </c>
    </row>
    <row r="159" spans="1:8" ht="12.75">
      <c r="A159" s="127" t="s">
        <v>85</v>
      </c>
      <c r="B159" s="6" t="s">
        <v>285</v>
      </c>
      <c r="C159" s="7">
        <v>0</v>
      </c>
      <c r="D159" s="354">
        <v>24000</v>
      </c>
      <c r="E159" s="354">
        <f>23741</f>
        <v>23741</v>
      </c>
      <c r="F159" s="434">
        <v>25710</v>
      </c>
      <c r="G159" s="390">
        <v>25709</v>
      </c>
      <c r="H159" s="423">
        <f t="shared" si="2"/>
        <v>0.9999611046285493</v>
      </c>
    </row>
    <row r="160" spans="1:8" ht="12.75">
      <c r="A160" s="64" t="s">
        <v>87</v>
      </c>
      <c r="B160" s="389" t="s">
        <v>166</v>
      </c>
      <c r="C160" s="390">
        <v>2000</v>
      </c>
      <c r="D160" s="390">
        <v>2000</v>
      </c>
      <c r="E160" s="396">
        <v>2000</v>
      </c>
      <c r="F160" s="396">
        <v>2000</v>
      </c>
      <c r="G160" s="390">
        <v>0</v>
      </c>
      <c r="H160" s="423">
        <f t="shared" si="2"/>
        <v>0</v>
      </c>
    </row>
    <row r="161" spans="1:8" ht="12.75">
      <c r="A161" s="64" t="s">
        <v>90</v>
      </c>
      <c r="B161" s="6" t="s">
        <v>271</v>
      </c>
      <c r="C161" s="7">
        <f>470321+20000</f>
        <v>490321</v>
      </c>
      <c r="D161" s="7">
        <f>470321+20000</f>
        <v>490321</v>
      </c>
      <c r="E161" s="354">
        <f>470321+20000-20168</f>
        <v>470153</v>
      </c>
      <c r="F161" s="428">
        <f>470321+20000-20168</f>
        <v>470153</v>
      </c>
      <c r="G161" s="7">
        <v>2705</v>
      </c>
      <c r="H161" s="423">
        <f t="shared" si="2"/>
        <v>0.005753446218571401</v>
      </c>
    </row>
    <row r="162" spans="1:8" ht="12.75">
      <c r="A162" s="386" t="s">
        <v>90</v>
      </c>
      <c r="B162" s="6" t="s">
        <v>263</v>
      </c>
      <c r="C162" s="7">
        <v>0</v>
      </c>
      <c r="D162" s="7">
        <v>0</v>
      </c>
      <c r="E162" s="354">
        <v>61476</v>
      </c>
      <c r="F162" s="354">
        <v>0</v>
      </c>
      <c r="G162" s="7">
        <v>0</v>
      </c>
      <c r="H162" s="423">
        <v>0</v>
      </c>
    </row>
    <row r="163" spans="1:8" ht="12.75">
      <c r="A163" s="97" t="s">
        <v>168</v>
      </c>
      <c r="B163" s="130" t="s">
        <v>269</v>
      </c>
      <c r="C163" s="10">
        <v>40000</v>
      </c>
      <c r="D163" s="10">
        <v>40000</v>
      </c>
      <c r="E163" s="384">
        <v>40000</v>
      </c>
      <c r="F163" s="384">
        <v>40000</v>
      </c>
      <c r="G163" s="10">
        <v>0</v>
      </c>
      <c r="H163" s="423">
        <f t="shared" si="2"/>
        <v>0</v>
      </c>
    </row>
    <row r="164" spans="1:8" ht="12.75">
      <c r="A164" s="68" t="s">
        <v>168</v>
      </c>
      <c r="B164" s="9" t="s">
        <v>270</v>
      </c>
      <c r="C164" s="10">
        <f>1470992-60663-500</f>
        <v>1409829</v>
      </c>
      <c r="D164" s="10">
        <f>1470992-60663-500</f>
        <v>1409829</v>
      </c>
      <c r="E164" s="348">
        <f>1470992-30252+10</f>
        <v>1440750</v>
      </c>
      <c r="F164" s="383">
        <f>1470992-30252+10</f>
        <v>1440750</v>
      </c>
      <c r="G164" s="10">
        <f>827903+46</f>
        <v>827949</v>
      </c>
      <c r="H164" s="423">
        <f t="shared" si="2"/>
        <v>0.5746652785007809</v>
      </c>
    </row>
    <row r="165" spans="1:8" ht="12.75">
      <c r="A165" s="131" t="s">
        <v>171</v>
      </c>
      <c r="B165" s="47" t="s">
        <v>259</v>
      </c>
      <c r="C165" s="7">
        <v>0</v>
      </c>
      <c r="D165" s="7">
        <v>0</v>
      </c>
      <c r="E165" s="354">
        <v>11435</v>
      </c>
      <c r="F165" s="382">
        <v>11435</v>
      </c>
      <c r="G165" s="7">
        <v>11435</v>
      </c>
      <c r="H165" s="423">
        <f>G165/F165</f>
        <v>1</v>
      </c>
    </row>
    <row r="166" spans="1:8" ht="12.75">
      <c r="A166" s="97" t="s">
        <v>171</v>
      </c>
      <c r="B166" s="9" t="s">
        <v>272</v>
      </c>
      <c r="C166" s="10">
        <v>25000</v>
      </c>
      <c r="D166" s="10">
        <v>25000</v>
      </c>
      <c r="E166" s="384">
        <v>25000</v>
      </c>
      <c r="F166" s="384">
        <v>25000</v>
      </c>
      <c r="G166" s="10">
        <v>2347</v>
      </c>
      <c r="H166" s="423">
        <f t="shared" si="2"/>
        <v>0.09388</v>
      </c>
    </row>
    <row r="167" spans="1:8" ht="12.75">
      <c r="A167" s="131" t="s">
        <v>171</v>
      </c>
      <c r="B167" s="6" t="s">
        <v>265</v>
      </c>
      <c r="C167" s="7">
        <v>984949</v>
      </c>
      <c r="D167" s="7">
        <v>984949</v>
      </c>
      <c r="E167" s="354">
        <f>984524-18700</f>
        <v>965824</v>
      </c>
      <c r="F167" s="382">
        <f>984524-18700</f>
        <v>965824</v>
      </c>
      <c r="G167" s="7">
        <f>513104+224484</f>
        <v>737588</v>
      </c>
      <c r="H167" s="423">
        <f t="shared" si="2"/>
        <v>0.7636877940494334</v>
      </c>
    </row>
    <row r="168" spans="1:8" ht="12.75">
      <c r="A168" s="67" t="s">
        <v>122</v>
      </c>
      <c r="B168" s="9" t="s">
        <v>176</v>
      </c>
      <c r="C168" s="10">
        <v>624126</v>
      </c>
      <c r="D168" s="10">
        <v>624126</v>
      </c>
      <c r="E168" s="348">
        <f>624126-7610</f>
        <v>616516</v>
      </c>
      <c r="F168" s="46">
        <f>624126-7610</f>
        <v>616516</v>
      </c>
      <c r="G168" s="10">
        <v>591858</v>
      </c>
      <c r="H168" s="423">
        <f t="shared" si="2"/>
        <v>0.9600042821273089</v>
      </c>
    </row>
    <row r="169" spans="1:8" ht="13.5" thickBot="1">
      <c r="A169" s="132" t="s">
        <v>126</v>
      </c>
      <c r="B169" s="20" t="s">
        <v>177</v>
      </c>
      <c r="C169" s="21">
        <v>2000</v>
      </c>
      <c r="D169" s="21">
        <v>2000</v>
      </c>
      <c r="E169" s="397">
        <v>2000</v>
      </c>
      <c r="F169" s="397">
        <v>2000</v>
      </c>
      <c r="G169" s="21">
        <v>0</v>
      </c>
      <c r="H169" s="423">
        <f t="shared" si="2"/>
        <v>0</v>
      </c>
    </row>
    <row r="170" ht="12.75">
      <c r="H170" s="423"/>
    </row>
    <row r="171" ht="12.75">
      <c r="H171" s="423"/>
    </row>
    <row r="172" ht="12.75">
      <c r="H172" s="423"/>
    </row>
    <row r="173" ht="17.25" customHeight="1">
      <c r="H173" s="423"/>
    </row>
    <row r="174" spans="1:8" ht="15" customHeight="1">
      <c r="A174" s="133"/>
      <c r="B174" s="134"/>
      <c r="C174" s="134"/>
      <c r="D174" s="134"/>
      <c r="E174" s="134"/>
      <c r="F174" s="134"/>
      <c r="G174" s="134"/>
      <c r="H174" s="423"/>
    </row>
    <row r="175" spans="1:8" ht="19.5" customHeight="1" thickBot="1">
      <c r="A175" s="134"/>
      <c r="B175" s="111"/>
      <c r="C175" s="111"/>
      <c r="D175" s="111"/>
      <c r="E175" s="111"/>
      <c r="F175" s="111"/>
      <c r="G175" s="111"/>
      <c r="H175" s="423"/>
    </row>
    <row r="176" spans="1:11" ht="18.75" thickBot="1">
      <c r="A176" s="456" t="s">
        <v>178</v>
      </c>
      <c r="B176" s="457"/>
      <c r="C176" s="457"/>
      <c r="D176" s="457"/>
      <c r="E176" s="457"/>
      <c r="F176" s="457"/>
      <c r="G176" s="458"/>
      <c r="H176" s="423"/>
      <c r="J176" s="164"/>
      <c r="K176" s="164"/>
    </row>
    <row r="177" spans="1:9" ht="12.75">
      <c r="A177" s="450" t="s">
        <v>2</v>
      </c>
      <c r="B177" s="451"/>
      <c r="C177" s="441" t="s">
        <v>3</v>
      </c>
      <c r="D177" s="441" t="s">
        <v>245</v>
      </c>
      <c r="E177" s="441" t="s">
        <v>253</v>
      </c>
      <c r="F177" s="441" t="s">
        <v>274</v>
      </c>
      <c r="G177" s="441" t="s">
        <v>283</v>
      </c>
      <c r="H177" s="424" t="s">
        <v>279</v>
      </c>
      <c r="I177" s="164"/>
    </row>
    <row r="178" spans="1:9" ht="13.5" thickBot="1">
      <c r="A178" s="459"/>
      <c r="B178" s="460"/>
      <c r="C178" s="461"/>
      <c r="D178" s="442"/>
      <c r="E178" s="442"/>
      <c r="F178" s="442"/>
      <c r="G178" s="442"/>
      <c r="H178" s="424" t="s">
        <v>280</v>
      </c>
      <c r="I178" s="164"/>
    </row>
    <row r="179" spans="1:8" ht="16.5" thickBot="1">
      <c r="A179" s="446" t="s">
        <v>179</v>
      </c>
      <c r="B179" s="436"/>
      <c r="C179" s="135">
        <f>SUM(C180:C182)</f>
        <v>332574</v>
      </c>
      <c r="D179" s="135">
        <f>SUM(D180:D182)</f>
        <v>320397</v>
      </c>
      <c r="E179" s="135">
        <f>SUM(E180:E182)</f>
        <v>320397</v>
      </c>
      <c r="F179" s="135">
        <f>SUM(F180:F182)</f>
        <v>374362</v>
      </c>
      <c r="G179" s="135">
        <f>SUM(G180:G182)</f>
        <v>188997</v>
      </c>
      <c r="H179" s="423">
        <f t="shared" si="2"/>
        <v>0.5048509196980463</v>
      </c>
    </row>
    <row r="180" spans="1:8" ht="12.75">
      <c r="A180" s="136">
        <v>411</v>
      </c>
      <c r="B180" s="137" t="s">
        <v>180</v>
      </c>
      <c r="C180" s="138">
        <v>427</v>
      </c>
      <c r="D180" s="138">
        <v>427</v>
      </c>
      <c r="E180" s="138">
        <v>427</v>
      </c>
      <c r="F180" s="138">
        <v>427</v>
      </c>
      <c r="G180" s="138">
        <v>0</v>
      </c>
      <c r="H180" s="423">
        <f t="shared" si="2"/>
        <v>0</v>
      </c>
    </row>
    <row r="181" spans="1:8" ht="12.75">
      <c r="A181" s="139">
        <v>454</v>
      </c>
      <c r="B181" s="41" t="s">
        <v>181</v>
      </c>
      <c r="C181" s="42">
        <f>8123+33723</f>
        <v>41846</v>
      </c>
      <c r="D181" s="355">
        <v>27735</v>
      </c>
      <c r="E181" s="46">
        <v>27735</v>
      </c>
      <c r="F181" s="46">
        <v>27735</v>
      </c>
      <c r="G181" s="42">
        <v>25574</v>
      </c>
      <c r="H181" s="423">
        <f t="shared" si="2"/>
        <v>0.9220840093744367</v>
      </c>
    </row>
    <row r="182" spans="1:8" ht="13.5" thickBot="1">
      <c r="A182" s="141">
        <v>513</v>
      </c>
      <c r="B182" s="142" t="s">
        <v>182</v>
      </c>
      <c r="C182" s="143">
        <v>290301</v>
      </c>
      <c r="D182" s="364">
        <f>290301+14111-12177</f>
        <v>292235</v>
      </c>
      <c r="E182" s="412">
        <f>290301+14111-12177</f>
        <v>292235</v>
      </c>
      <c r="F182" s="364">
        <f>290301+14111-12177+53965</f>
        <v>346200</v>
      </c>
      <c r="G182" s="143">
        <v>163423</v>
      </c>
      <c r="H182" s="423">
        <f t="shared" si="2"/>
        <v>0.4720479491623339</v>
      </c>
    </row>
    <row r="183" spans="1:8" ht="16.5" thickBot="1">
      <c r="A183" s="446" t="s">
        <v>183</v>
      </c>
      <c r="B183" s="436"/>
      <c r="C183" s="135">
        <f>SUM(C184:C185)</f>
        <v>16040</v>
      </c>
      <c r="D183" s="135">
        <f>SUM(D184:D185)</f>
        <v>16040</v>
      </c>
      <c r="E183" s="135">
        <f>SUM(E184:E185)</f>
        <v>16040</v>
      </c>
      <c r="F183" s="135">
        <f>SUM(F184:F185)</f>
        <v>20630</v>
      </c>
      <c r="G183" s="135">
        <f>SUM(G184:G185)</f>
        <v>20536</v>
      </c>
      <c r="H183" s="423">
        <f t="shared" si="2"/>
        <v>0.995443528841493</v>
      </c>
    </row>
    <row r="184" spans="1:8" ht="14.25" customHeight="1">
      <c r="A184" s="144">
        <v>821</v>
      </c>
      <c r="B184" s="137" t="s">
        <v>184</v>
      </c>
      <c r="C184" s="145">
        <f>870*12+5000</f>
        <v>15440</v>
      </c>
      <c r="D184" s="145">
        <f>870*12+5000</f>
        <v>15440</v>
      </c>
      <c r="E184" s="145">
        <f>870*12+5000</f>
        <v>15440</v>
      </c>
      <c r="F184" s="427">
        <v>20000</v>
      </c>
      <c r="G184" s="145">
        <v>19913</v>
      </c>
      <c r="H184" s="423">
        <f t="shared" si="2"/>
        <v>0.99565</v>
      </c>
    </row>
    <row r="185" spans="1:8" ht="13.5" thickBot="1">
      <c r="A185" s="25">
        <v>821</v>
      </c>
      <c r="B185" s="146" t="s">
        <v>185</v>
      </c>
      <c r="C185" s="147">
        <v>600</v>
      </c>
      <c r="D185" s="147">
        <v>600</v>
      </c>
      <c r="E185" s="147">
        <v>600</v>
      </c>
      <c r="F185" s="378">
        <v>630</v>
      </c>
      <c r="G185" s="147">
        <v>623</v>
      </c>
      <c r="H185" s="423">
        <f t="shared" si="2"/>
        <v>0.9888888888888889</v>
      </c>
    </row>
    <row r="186" spans="1:8" ht="15.75">
      <c r="A186" s="58"/>
      <c r="B186" s="110"/>
      <c r="C186" s="110"/>
      <c r="D186" s="110"/>
      <c r="E186" s="110"/>
      <c r="F186" s="110"/>
      <c r="G186" s="110"/>
      <c r="H186" s="423"/>
    </row>
    <row r="187" spans="1:8" ht="15.75">
      <c r="A187" s="58"/>
      <c r="B187" s="110"/>
      <c r="C187" s="110"/>
      <c r="D187" s="110"/>
      <c r="E187" s="110"/>
      <c r="F187" s="110"/>
      <c r="G187" s="110"/>
      <c r="H187" s="423"/>
    </row>
    <row r="188" spans="1:8" ht="15.75">
      <c r="A188" s="58"/>
      <c r="B188" s="110"/>
      <c r="C188" s="110"/>
      <c r="D188" s="110"/>
      <c r="E188" s="110"/>
      <c r="F188" s="110"/>
      <c r="G188" s="110"/>
      <c r="H188" s="423"/>
    </row>
    <row r="189" spans="1:8" ht="15.75">
      <c r="A189" s="58"/>
      <c r="B189" s="110"/>
      <c r="C189" s="110"/>
      <c r="D189" s="110"/>
      <c r="E189" s="110"/>
      <c r="F189" s="110"/>
      <c r="G189" s="110"/>
      <c r="H189" s="423"/>
    </row>
    <row r="190" spans="2:8" ht="13.5" thickBot="1">
      <c r="B190" s="111"/>
      <c r="C190" s="111"/>
      <c r="D190" s="111"/>
      <c r="E190" s="111"/>
      <c r="F190" s="111"/>
      <c r="G190" s="111"/>
      <c r="H190" s="423"/>
    </row>
    <row r="191" spans="1:8" ht="18.75" thickBot="1">
      <c r="A191" s="447" t="s">
        <v>186</v>
      </c>
      <c r="B191" s="448"/>
      <c r="C191" s="448"/>
      <c r="D191" s="448"/>
      <c r="E191" s="448"/>
      <c r="F191" s="448"/>
      <c r="G191" s="449"/>
      <c r="H191" s="423"/>
    </row>
    <row r="192" spans="1:8" ht="12.75">
      <c r="A192" s="450" t="s">
        <v>2</v>
      </c>
      <c r="B192" s="451"/>
      <c r="C192" s="439" t="s">
        <v>3</v>
      </c>
      <c r="D192" s="441" t="s">
        <v>245</v>
      </c>
      <c r="E192" s="441" t="s">
        <v>253</v>
      </c>
      <c r="F192" s="441" t="s">
        <v>274</v>
      </c>
      <c r="G192" s="441" t="s">
        <v>283</v>
      </c>
      <c r="H192" s="424" t="s">
        <v>279</v>
      </c>
    </row>
    <row r="193" spans="1:8" ht="13.5" thickBot="1">
      <c r="A193" s="452"/>
      <c r="B193" s="453"/>
      <c r="C193" s="440"/>
      <c r="D193" s="442"/>
      <c r="E193" s="442"/>
      <c r="F193" s="442"/>
      <c r="G193" s="442"/>
      <c r="H193" s="424" t="s">
        <v>280</v>
      </c>
    </row>
    <row r="194" spans="1:8" ht="15">
      <c r="A194" s="148" t="s">
        <v>187</v>
      </c>
      <c r="B194" s="16"/>
      <c r="C194" s="84">
        <f>C77</f>
        <v>1148476</v>
      </c>
      <c r="D194" s="84">
        <f>D77</f>
        <v>1190344</v>
      </c>
      <c r="E194" s="84">
        <f>E77</f>
        <v>1301286</v>
      </c>
      <c r="F194" s="84">
        <f>F77</f>
        <v>1378295</v>
      </c>
      <c r="G194" s="84">
        <f>G77</f>
        <v>1313871.23</v>
      </c>
      <c r="H194" s="423">
        <f t="shared" si="2"/>
        <v>0.9532583590595627</v>
      </c>
    </row>
    <row r="195" spans="1:8" ht="15">
      <c r="A195" s="149" t="s">
        <v>188</v>
      </c>
      <c r="B195" s="9"/>
      <c r="C195" s="48">
        <f>C140</f>
        <v>1132863</v>
      </c>
      <c r="D195" s="48">
        <f>D140</f>
        <v>1147133</v>
      </c>
      <c r="E195" s="48">
        <f>E140</f>
        <v>1275349</v>
      </c>
      <c r="F195" s="48">
        <f>F140</f>
        <v>1337843</v>
      </c>
      <c r="G195" s="48">
        <f>G140</f>
        <v>1183160</v>
      </c>
      <c r="H195" s="423">
        <f t="shared" si="2"/>
        <v>0.8843788097706532</v>
      </c>
    </row>
    <row r="196" spans="1:8" ht="15.75">
      <c r="A196" s="150"/>
      <c r="B196" s="151" t="s">
        <v>189</v>
      </c>
      <c r="C196" s="152">
        <f>C194-C195</f>
        <v>15613</v>
      </c>
      <c r="D196" s="152">
        <f>D194-D195</f>
        <v>43211</v>
      </c>
      <c r="E196" s="152">
        <f>E194-E195</f>
        <v>25937</v>
      </c>
      <c r="F196" s="152">
        <f>F194-F195</f>
        <v>40452</v>
      </c>
      <c r="G196" s="152">
        <f>G194-G195</f>
        <v>130711.22999999998</v>
      </c>
      <c r="H196" s="423"/>
    </row>
    <row r="197" spans="1:8" ht="15">
      <c r="A197" s="149" t="s">
        <v>190</v>
      </c>
      <c r="B197" s="9"/>
      <c r="C197" s="48">
        <f>C146</f>
        <v>3347518</v>
      </c>
      <c r="D197" s="48">
        <f>D146</f>
        <v>3357298</v>
      </c>
      <c r="E197" s="48">
        <f>E146</f>
        <v>3347762</v>
      </c>
      <c r="F197" s="48">
        <f>F146</f>
        <v>3224918</v>
      </c>
      <c r="G197" s="48">
        <f>G146</f>
        <v>1998794</v>
      </c>
      <c r="H197" s="423">
        <f t="shared" si="2"/>
        <v>0.6197968444468975</v>
      </c>
    </row>
    <row r="198" spans="1:8" ht="15">
      <c r="A198" s="149" t="s">
        <v>191</v>
      </c>
      <c r="B198" s="9"/>
      <c r="C198" s="10">
        <f>C155</f>
        <v>3679665</v>
      </c>
      <c r="D198" s="10">
        <f>D155</f>
        <v>3704866</v>
      </c>
      <c r="E198" s="10">
        <f>E155</f>
        <v>3678056</v>
      </c>
      <c r="F198" s="10">
        <f>F155</f>
        <v>3619102</v>
      </c>
      <c r="G198" s="10">
        <f>G155</f>
        <v>2204295</v>
      </c>
      <c r="H198" s="423">
        <f t="shared" si="2"/>
        <v>0.609072361044259</v>
      </c>
    </row>
    <row r="199" spans="1:8" ht="15.75">
      <c r="A199" s="150"/>
      <c r="B199" s="153" t="s">
        <v>192</v>
      </c>
      <c r="C199" s="152">
        <f>C197-C198</f>
        <v>-332147</v>
      </c>
      <c r="D199" s="152">
        <f>D197-D198</f>
        <v>-347568</v>
      </c>
      <c r="E199" s="152">
        <f>E197-E198</f>
        <v>-330294</v>
      </c>
      <c r="F199" s="152">
        <f>F197-F198</f>
        <v>-394184</v>
      </c>
      <c r="G199" s="152">
        <f>G197-G198</f>
        <v>-205501</v>
      </c>
      <c r="H199" s="423"/>
    </row>
    <row r="200" spans="1:8" ht="15">
      <c r="A200" s="437" t="s">
        <v>193</v>
      </c>
      <c r="B200" s="438"/>
      <c r="C200" s="79">
        <f>C179</f>
        <v>332574</v>
      </c>
      <c r="D200" s="79">
        <f>D179</f>
        <v>320397</v>
      </c>
      <c r="E200" s="79">
        <f>E179</f>
        <v>320397</v>
      </c>
      <c r="F200" s="79">
        <f>F179</f>
        <v>374362</v>
      </c>
      <c r="G200" s="79">
        <f>G179</f>
        <v>188997</v>
      </c>
      <c r="H200" s="423">
        <f t="shared" si="2"/>
        <v>0.5048509196980463</v>
      </c>
    </row>
    <row r="201" spans="1:8" ht="15">
      <c r="A201" s="437" t="s">
        <v>194</v>
      </c>
      <c r="B201" s="438"/>
      <c r="C201" s="79">
        <f>C183</f>
        <v>16040</v>
      </c>
      <c r="D201" s="79">
        <f>D183</f>
        <v>16040</v>
      </c>
      <c r="E201" s="79">
        <f>E183</f>
        <v>16040</v>
      </c>
      <c r="F201" s="79">
        <f>F183</f>
        <v>20630</v>
      </c>
      <c r="G201" s="79">
        <f>G183</f>
        <v>20536</v>
      </c>
      <c r="H201" s="423">
        <f t="shared" si="2"/>
        <v>0.995443528841493</v>
      </c>
    </row>
    <row r="202" spans="1:8" ht="16.5" thickBot="1">
      <c r="A202" s="154"/>
      <c r="B202" s="155" t="s">
        <v>195</v>
      </c>
      <c r="C202" s="156">
        <f>C200-C201</f>
        <v>316534</v>
      </c>
      <c r="D202" s="156">
        <f>D200-D201</f>
        <v>304357</v>
      </c>
      <c r="E202" s="156">
        <f>E200-E201</f>
        <v>304357</v>
      </c>
      <c r="F202" s="156">
        <f>F200-F201</f>
        <v>353732</v>
      </c>
      <c r="G202" s="156">
        <f>G200-G201</f>
        <v>168461</v>
      </c>
      <c r="H202" s="423"/>
    </row>
    <row r="203" spans="1:8" ht="16.5" thickBot="1">
      <c r="A203" s="443" t="s">
        <v>196</v>
      </c>
      <c r="B203" s="444"/>
      <c r="C203" s="157">
        <f>C196+C199+C202</f>
        <v>0</v>
      </c>
      <c r="D203" s="157">
        <f>D196+D199+D202</f>
        <v>0</v>
      </c>
      <c r="E203" s="157">
        <f>E196+E199+E202</f>
        <v>0</v>
      </c>
      <c r="F203" s="157">
        <f>F196+F199+F202</f>
        <v>0</v>
      </c>
      <c r="G203" s="157">
        <f>G196+G199+G202</f>
        <v>93671.22999999998</v>
      </c>
      <c r="H203" s="423"/>
    </row>
    <row r="204" ht="12.75">
      <c r="H204" s="423"/>
    </row>
    <row r="205" spans="2:8" ht="12.75">
      <c r="B205" s="158" t="s">
        <v>197</v>
      </c>
      <c r="C205" s="164">
        <f aca="true" t="shared" si="3" ref="C205:G206">C194+C197+C200</f>
        <v>4828568</v>
      </c>
      <c r="D205" s="164">
        <f t="shared" si="3"/>
        <v>4868039</v>
      </c>
      <c r="E205" s="164">
        <f t="shared" si="3"/>
        <v>4969445</v>
      </c>
      <c r="F205" s="164">
        <f t="shared" si="3"/>
        <v>4977575</v>
      </c>
      <c r="G205" s="164">
        <f t="shared" si="3"/>
        <v>3501662.23</v>
      </c>
      <c r="H205" s="423">
        <f>G205/F205</f>
        <v>0.703487587831424</v>
      </c>
    </row>
    <row r="206" spans="2:8" ht="12.75">
      <c r="B206" s="158" t="s">
        <v>198</v>
      </c>
      <c r="C206" s="164">
        <f t="shared" si="3"/>
        <v>4828568</v>
      </c>
      <c r="D206" s="164">
        <f t="shared" si="3"/>
        <v>4868039</v>
      </c>
      <c r="E206" s="164">
        <f t="shared" si="3"/>
        <v>4969445</v>
      </c>
      <c r="F206" s="164">
        <f t="shared" si="3"/>
        <v>4977575</v>
      </c>
      <c r="G206" s="164">
        <f t="shared" si="3"/>
        <v>3407991</v>
      </c>
      <c r="H206" s="423">
        <f>G206/F206</f>
        <v>0.6846689401967826</v>
      </c>
    </row>
    <row r="207" spans="2:8" ht="12.75">
      <c r="B207" s="158"/>
      <c r="C207" s="164"/>
      <c r="D207" s="164"/>
      <c r="E207" s="164"/>
      <c r="F207" s="164"/>
      <c r="G207" s="164"/>
      <c r="H207" s="423"/>
    </row>
    <row r="208" spans="2:8" ht="12.75">
      <c r="B208" s="158" t="s">
        <v>199</v>
      </c>
      <c r="C208" s="164">
        <f>C205-C76</f>
        <v>4827028</v>
      </c>
      <c r="D208" s="164">
        <f>D205-D76</f>
        <v>4866497</v>
      </c>
      <c r="E208" s="164">
        <f>E205-E76</f>
        <v>4967903</v>
      </c>
      <c r="F208" s="164">
        <f>F205-F76</f>
        <v>4975945</v>
      </c>
      <c r="G208" s="164">
        <f>G205-G76</f>
        <v>3500032.23</v>
      </c>
      <c r="H208" s="423">
        <f>G208/F208</f>
        <v>0.7033904574909892</v>
      </c>
    </row>
    <row r="209" spans="2:8" ht="12.75">
      <c r="B209" s="158" t="s">
        <v>200</v>
      </c>
      <c r="C209" s="164">
        <f>C206-C139</f>
        <v>4509542</v>
      </c>
      <c r="D209" s="164">
        <f>D206-D139</f>
        <v>4545475</v>
      </c>
      <c r="E209" s="164">
        <f>E206-E139</f>
        <v>4646881</v>
      </c>
      <c r="F209" s="164">
        <f>F206-F139</f>
        <v>4654093</v>
      </c>
      <c r="G209" s="164">
        <f>G206-G139</f>
        <v>3084509</v>
      </c>
      <c r="H209" s="423">
        <f>G209/F209</f>
        <v>0.6627519046138528</v>
      </c>
    </row>
  </sheetData>
  <sheetProtection/>
  <mergeCells count="56">
    <mergeCell ref="F80:F81"/>
    <mergeCell ref="F144:F145"/>
    <mergeCell ref="F192:F193"/>
    <mergeCell ref="F177:F178"/>
    <mergeCell ref="A9:B10"/>
    <mergeCell ref="C9:C10"/>
    <mergeCell ref="D9:D10"/>
    <mergeCell ref="G9:G10"/>
    <mergeCell ref="F9:F10"/>
    <mergeCell ref="A1:G1"/>
    <mergeCell ref="A2:G2"/>
    <mergeCell ref="A3:G3"/>
    <mergeCell ref="A8:G8"/>
    <mergeCell ref="A6:G6"/>
    <mergeCell ref="E144:E145"/>
    <mergeCell ref="A11:B11"/>
    <mergeCell ref="A20:B20"/>
    <mergeCell ref="A40:B40"/>
    <mergeCell ref="A42:B42"/>
    <mergeCell ref="A79:G79"/>
    <mergeCell ref="A80:B81"/>
    <mergeCell ref="C80:C81"/>
    <mergeCell ref="D80:D81"/>
    <mergeCell ref="G80:G81"/>
    <mergeCell ref="E192:E193"/>
    <mergeCell ref="A87:B87"/>
    <mergeCell ref="A89:B89"/>
    <mergeCell ref="A121:B121"/>
    <mergeCell ref="A139:B139"/>
    <mergeCell ref="A143:G143"/>
    <mergeCell ref="A144:B145"/>
    <mergeCell ref="C144:C145"/>
    <mergeCell ref="D144:D145"/>
    <mergeCell ref="G144:G145"/>
    <mergeCell ref="A146:B146"/>
    <mergeCell ref="A155:B155"/>
    <mergeCell ref="A176:G176"/>
    <mergeCell ref="A177:B178"/>
    <mergeCell ref="C177:C178"/>
    <mergeCell ref="D177:D178"/>
    <mergeCell ref="G177:G178"/>
    <mergeCell ref="E177:E178"/>
    <mergeCell ref="A203:B203"/>
    <mergeCell ref="A4:G4"/>
    <mergeCell ref="A5:G5"/>
    <mergeCell ref="E9:E10"/>
    <mergeCell ref="E80:E81"/>
    <mergeCell ref="A179:B179"/>
    <mergeCell ref="A183:B183"/>
    <mergeCell ref="A191:G191"/>
    <mergeCell ref="A192:B193"/>
    <mergeCell ref="G192:G193"/>
    <mergeCell ref="A200:B200"/>
    <mergeCell ref="C192:C193"/>
    <mergeCell ref="D192:D193"/>
    <mergeCell ref="A201:B201"/>
  </mergeCells>
  <printOptions/>
  <pageMargins left="0.57" right="0.28" top="0.56" bottom="0.62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0" customWidth="1"/>
    <col min="2" max="2" width="43.75390625" style="0" customWidth="1"/>
    <col min="3" max="5" width="11.375" style="0" customWidth="1"/>
    <col min="6" max="6" width="11.875" style="0" customWidth="1"/>
  </cols>
  <sheetData>
    <row r="1" spans="1:6" ht="20.25">
      <c r="A1" s="476" t="s">
        <v>0</v>
      </c>
      <c r="B1" s="476"/>
      <c r="C1" s="476"/>
      <c r="D1" s="476"/>
      <c r="E1" s="476"/>
      <c r="F1" s="476"/>
    </row>
    <row r="2" spans="1:6" ht="12.75">
      <c r="A2" s="477"/>
      <c r="B2" s="477"/>
      <c r="C2" s="477"/>
      <c r="D2" s="477"/>
      <c r="E2" s="477"/>
      <c r="F2" s="477"/>
    </row>
    <row r="3" spans="1:6" ht="12.75">
      <c r="A3" s="365"/>
      <c r="B3" s="365"/>
      <c r="C3" s="365"/>
      <c r="D3" s="365"/>
      <c r="E3" s="365"/>
      <c r="F3" s="365"/>
    </row>
    <row r="4" spans="1:6" ht="12.75">
      <c r="A4" s="445" t="s">
        <v>242</v>
      </c>
      <c r="B4" s="445"/>
      <c r="C4" s="445"/>
      <c r="D4" s="445"/>
      <c r="E4" s="445"/>
      <c r="F4" s="445"/>
    </row>
    <row r="5" spans="1:6" ht="12.75">
      <c r="A5" s="445" t="s">
        <v>251</v>
      </c>
      <c r="B5" s="445"/>
      <c r="C5" s="445"/>
      <c r="D5" s="445"/>
      <c r="E5" s="445"/>
      <c r="F5" s="445"/>
    </row>
    <row r="6" spans="1:6" ht="12.75">
      <c r="A6" s="445" t="s">
        <v>252</v>
      </c>
      <c r="B6" s="445"/>
      <c r="C6" s="445"/>
      <c r="D6" s="445"/>
      <c r="E6" s="445"/>
      <c r="F6" s="445"/>
    </row>
    <row r="7" spans="1:6" ht="12.75">
      <c r="A7" s="18"/>
      <c r="B7" s="18"/>
      <c r="C7" s="18"/>
      <c r="D7" s="18"/>
      <c r="E7" s="18"/>
      <c r="F7" s="18"/>
    </row>
    <row r="8" ht="13.5" thickBot="1"/>
    <row r="9" spans="1:6" ht="18.75" thickBot="1">
      <c r="A9" s="478" t="s">
        <v>1</v>
      </c>
      <c r="B9" s="479"/>
      <c r="C9" s="479"/>
      <c r="D9" s="479"/>
      <c r="E9" s="479"/>
      <c r="F9" s="480"/>
    </row>
    <row r="10" spans="1:6" ht="12.75" customHeight="1">
      <c r="A10" s="450" t="s">
        <v>2</v>
      </c>
      <c r="B10" s="451"/>
      <c r="C10" s="441" t="s">
        <v>3</v>
      </c>
      <c r="D10" s="441" t="s">
        <v>245</v>
      </c>
      <c r="E10" s="441" t="s">
        <v>253</v>
      </c>
      <c r="F10" s="441" t="s">
        <v>254</v>
      </c>
    </row>
    <row r="11" spans="1:6" ht="13.5" thickBot="1">
      <c r="A11" s="474"/>
      <c r="B11" s="475"/>
      <c r="C11" s="442"/>
      <c r="D11" s="442"/>
      <c r="E11" s="442"/>
      <c r="F11" s="442"/>
    </row>
    <row r="12" spans="1:7" ht="13.5" thickBot="1">
      <c r="A12" s="469" t="s">
        <v>4</v>
      </c>
      <c r="B12" s="470"/>
      <c r="C12" s="1">
        <f>SUM(C13:C20)</f>
        <v>667312</v>
      </c>
      <c r="D12" s="1">
        <f>SUM(D13:D20)</f>
        <v>667712</v>
      </c>
      <c r="E12" s="1">
        <f>SUM(E13:E20)</f>
        <v>668122</v>
      </c>
      <c r="F12" s="1">
        <f>SUM(F13:F20)</f>
        <v>495463</v>
      </c>
      <c r="G12" s="14"/>
    </row>
    <row r="13" spans="1:6" ht="13.5" thickBot="1">
      <c r="A13" s="2">
        <v>111</v>
      </c>
      <c r="B13" s="3" t="s">
        <v>5</v>
      </c>
      <c r="C13" s="4">
        <v>625000</v>
      </c>
      <c r="D13" s="4">
        <v>625000</v>
      </c>
      <c r="E13" s="4">
        <v>625000</v>
      </c>
      <c r="F13" s="4">
        <v>461983</v>
      </c>
    </row>
    <row r="14" spans="1:6" ht="12.75">
      <c r="A14" s="5">
        <v>121</v>
      </c>
      <c r="B14" s="6" t="s">
        <v>6</v>
      </c>
      <c r="C14" s="7">
        <v>12200</v>
      </c>
      <c r="D14" s="7">
        <v>12200</v>
      </c>
      <c r="E14" s="7">
        <v>12200</v>
      </c>
      <c r="F14" s="7">
        <v>7729</v>
      </c>
    </row>
    <row r="15" spans="1:6" ht="12.75">
      <c r="A15" s="8">
        <v>121</v>
      </c>
      <c r="B15" s="9" t="s">
        <v>7</v>
      </c>
      <c r="C15" s="10">
        <v>13200</v>
      </c>
      <c r="D15" s="10">
        <v>13200</v>
      </c>
      <c r="E15" s="10">
        <v>13200</v>
      </c>
      <c r="F15" s="10">
        <v>11001</v>
      </c>
    </row>
    <row r="16" spans="1:8" ht="13.5" thickBot="1">
      <c r="A16" s="11">
        <v>121</v>
      </c>
      <c r="B16" s="12" t="s">
        <v>8</v>
      </c>
      <c r="C16" s="13">
        <v>70</v>
      </c>
      <c r="D16" s="13">
        <v>70</v>
      </c>
      <c r="E16" s="13">
        <v>70</v>
      </c>
      <c r="F16" s="13">
        <v>65</v>
      </c>
      <c r="G16" s="368">
        <f>SUM(F14:F16)</f>
        <v>18795</v>
      </c>
      <c r="H16" s="164"/>
    </row>
    <row r="17" spans="1:6" ht="12.75">
      <c r="A17" s="5">
        <v>133</v>
      </c>
      <c r="B17" s="6" t="s">
        <v>9</v>
      </c>
      <c r="C17" s="7">
        <v>510</v>
      </c>
      <c r="D17" s="7">
        <v>510</v>
      </c>
      <c r="E17" s="366">
        <v>520</v>
      </c>
      <c r="F17" s="7">
        <v>511</v>
      </c>
    </row>
    <row r="18" spans="1:6" ht="12.75">
      <c r="A18" s="8">
        <v>133</v>
      </c>
      <c r="B18" s="9" t="s">
        <v>10</v>
      </c>
      <c r="C18" s="10">
        <v>332</v>
      </c>
      <c r="D18" s="348">
        <v>732</v>
      </c>
      <c r="E18" s="348">
        <v>332</v>
      </c>
      <c r="F18" s="10">
        <v>332</v>
      </c>
    </row>
    <row r="19" spans="1:6" ht="12.75">
      <c r="A19" s="8">
        <v>133</v>
      </c>
      <c r="B19" s="9" t="s">
        <v>11</v>
      </c>
      <c r="C19" s="10">
        <v>2200</v>
      </c>
      <c r="D19" s="10">
        <v>2200</v>
      </c>
      <c r="E19" s="367">
        <v>3000</v>
      </c>
      <c r="F19" s="10">
        <v>2785</v>
      </c>
    </row>
    <row r="20" spans="1:7" ht="13.5" thickBot="1">
      <c r="A20" s="11">
        <v>133</v>
      </c>
      <c r="B20" s="12" t="s">
        <v>12</v>
      </c>
      <c r="C20" s="13">
        <v>13800</v>
      </c>
      <c r="D20" s="13">
        <v>13800</v>
      </c>
      <c r="E20" s="13">
        <v>13800</v>
      </c>
      <c r="F20" s="13">
        <v>11057</v>
      </c>
      <c r="G20" s="164">
        <f>SUM(F17:F20)</f>
        <v>14685</v>
      </c>
    </row>
    <row r="21" spans="1:7" ht="13.5" thickBot="1">
      <c r="A21" s="469" t="s">
        <v>13</v>
      </c>
      <c r="B21" s="470"/>
      <c r="C21" s="1">
        <f>SUM(C22:C39)</f>
        <v>88314</v>
      </c>
      <c r="D21" s="1">
        <f>SUM(D22:D39)</f>
        <v>117877</v>
      </c>
      <c r="E21" s="1">
        <f>SUM(E22:E39)</f>
        <v>116177</v>
      </c>
      <c r="F21" s="1">
        <f>SUM(F22:F39)</f>
        <v>93092</v>
      </c>
      <c r="G21" s="18"/>
    </row>
    <row r="22" spans="1:8" ht="12.75">
      <c r="A22" s="15">
        <v>212</v>
      </c>
      <c r="B22" s="16" t="s">
        <v>14</v>
      </c>
      <c r="C22" s="17">
        <f>477+165</f>
        <v>642</v>
      </c>
      <c r="D22" s="17">
        <f>477+165</f>
        <v>642</v>
      </c>
      <c r="E22" s="17">
        <f>477+165</f>
        <v>642</v>
      </c>
      <c r="F22" s="17">
        <v>442</v>
      </c>
      <c r="G22" s="14"/>
      <c r="H22" s="164"/>
    </row>
    <row r="23" spans="1:6" ht="12.75">
      <c r="A23" s="5">
        <v>212</v>
      </c>
      <c r="B23" s="6" t="s">
        <v>15</v>
      </c>
      <c r="C23" s="7">
        <v>1000</v>
      </c>
      <c r="D23" s="7">
        <v>1000</v>
      </c>
      <c r="E23" s="7">
        <v>1000</v>
      </c>
      <c r="F23" s="7">
        <v>216</v>
      </c>
    </row>
    <row r="24" spans="1:6" ht="12.75">
      <c r="A24" s="8">
        <v>212</v>
      </c>
      <c r="B24" s="9" t="s">
        <v>16</v>
      </c>
      <c r="C24" s="10">
        <v>3682</v>
      </c>
      <c r="D24" s="10">
        <v>3682</v>
      </c>
      <c r="E24" s="10">
        <v>3682</v>
      </c>
      <c r="F24" s="10">
        <v>2648</v>
      </c>
    </row>
    <row r="25" spans="1:6" ht="12.75">
      <c r="A25" s="8">
        <v>212</v>
      </c>
      <c r="B25" s="9" t="s">
        <v>17</v>
      </c>
      <c r="C25" s="10">
        <v>12000</v>
      </c>
      <c r="D25" s="348">
        <f>12000+25000</f>
        <v>37000</v>
      </c>
      <c r="E25" s="348">
        <v>36300</v>
      </c>
      <c r="F25" s="10">
        <v>31821</v>
      </c>
    </row>
    <row r="26" spans="1:7" ht="13.5" thickBot="1">
      <c r="A26" s="19">
        <v>212</v>
      </c>
      <c r="B26" s="20" t="s">
        <v>18</v>
      </c>
      <c r="C26" s="21">
        <v>20</v>
      </c>
      <c r="D26" s="21">
        <v>20</v>
      </c>
      <c r="E26" s="21">
        <v>20</v>
      </c>
      <c r="F26" s="21">
        <v>0</v>
      </c>
      <c r="G26" s="164">
        <f>SUM(F22:F26)</f>
        <v>35127</v>
      </c>
    </row>
    <row r="27" spans="1:6" ht="13.5" thickBot="1">
      <c r="A27" s="22">
        <v>221</v>
      </c>
      <c r="B27" s="23" t="s">
        <v>19</v>
      </c>
      <c r="C27" s="24">
        <v>9900</v>
      </c>
      <c r="D27" s="24">
        <v>9900</v>
      </c>
      <c r="E27" s="24">
        <v>9900</v>
      </c>
      <c r="F27" s="24">
        <v>9511</v>
      </c>
    </row>
    <row r="28" spans="1:6" ht="13.5" thickBot="1">
      <c r="A28" s="22">
        <v>222</v>
      </c>
      <c r="B28" s="23" t="s">
        <v>20</v>
      </c>
      <c r="C28" s="24">
        <v>100</v>
      </c>
      <c r="D28" s="24">
        <v>100</v>
      </c>
      <c r="E28" s="24">
        <v>100</v>
      </c>
      <c r="F28" s="24">
        <v>50</v>
      </c>
    </row>
    <row r="29" spans="1:6" ht="12.75">
      <c r="A29" s="5">
        <v>223</v>
      </c>
      <c r="B29" s="6" t="s">
        <v>21</v>
      </c>
      <c r="C29" s="7">
        <v>800</v>
      </c>
      <c r="D29" s="7">
        <v>800</v>
      </c>
      <c r="E29" s="7">
        <v>800</v>
      </c>
      <c r="F29" s="7">
        <v>580</v>
      </c>
    </row>
    <row r="30" spans="1:6" ht="12.75">
      <c r="A30" s="8">
        <v>223</v>
      </c>
      <c r="B30" s="9" t="s">
        <v>22</v>
      </c>
      <c r="C30" s="10">
        <v>420</v>
      </c>
      <c r="D30" s="10">
        <v>420</v>
      </c>
      <c r="E30" s="10">
        <v>420</v>
      </c>
      <c r="F30" s="10">
        <v>360</v>
      </c>
    </row>
    <row r="31" spans="1:6" ht="12.75">
      <c r="A31" s="8">
        <v>223</v>
      </c>
      <c r="B31" s="9" t="s">
        <v>23</v>
      </c>
      <c r="C31" s="10">
        <v>8000</v>
      </c>
      <c r="D31" s="10">
        <v>8000</v>
      </c>
      <c r="E31" s="10">
        <v>8000</v>
      </c>
      <c r="F31" s="10">
        <v>5725</v>
      </c>
    </row>
    <row r="32" spans="1:6" ht="12.75">
      <c r="A32" s="8">
        <v>223</v>
      </c>
      <c r="B32" s="9" t="s">
        <v>24</v>
      </c>
      <c r="C32" s="10">
        <v>12000</v>
      </c>
      <c r="D32" s="348">
        <f>12000+4563</f>
        <v>16563</v>
      </c>
      <c r="E32" s="369">
        <f>12000+4563</f>
        <v>16563</v>
      </c>
      <c r="F32" s="10">
        <v>15137</v>
      </c>
    </row>
    <row r="33" spans="1:6" ht="12.75">
      <c r="A33" s="8">
        <v>223</v>
      </c>
      <c r="B33" s="9" t="s">
        <v>25</v>
      </c>
      <c r="C33" s="10">
        <v>2000</v>
      </c>
      <c r="D33" s="10">
        <v>2000</v>
      </c>
      <c r="E33" s="367">
        <v>1000</v>
      </c>
      <c r="F33" s="10">
        <v>108</v>
      </c>
    </row>
    <row r="34" spans="1:6" ht="12.75">
      <c r="A34" s="8">
        <v>223</v>
      </c>
      <c r="B34" s="9" t="s">
        <v>26</v>
      </c>
      <c r="C34" s="10">
        <v>650</v>
      </c>
      <c r="D34" s="10">
        <v>650</v>
      </c>
      <c r="E34" s="10">
        <v>650</v>
      </c>
      <c r="F34" s="10">
        <v>524</v>
      </c>
    </row>
    <row r="35" spans="1:8" ht="12.75">
      <c r="A35" s="8">
        <v>223</v>
      </c>
      <c r="B35" s="9" t="s">
        <v>27</v>
      </c>
      <c r="C35" s="10">
        <v>18000</v>
      </c>
      <c r="D35" s="10">
        <v>18000</v>
      </c>
      <c r="E35" s="10">
        <v>18000</v>
      </c>
      <c r="F35" s="10">
        <v>13394</v>
      </c>
      <c r="G35" s="14"/>
      <c r="H35" s="164"/>
    </row>
    <row r="36" spans="1:6" ht="12.75">
      <c r="A36" s="8">
        <v>223</v>
      </c>
      <c r="B36" s="9" t="s">
        <v>28</v>
      </c>
      <c r="C36" s="10">
        <v>6000</v>
      </c>
      <c r="D36" s="10">
        <v>6000</v>
      </c>
      <c r="E36" s="10">
        <v>6000</v>
      </c>
      <c r="F36" s="10">
        <v>3232</v>
      </c>
    </row>
    <row r="37" spans="1:6" ht="12.75">
      <c r="A37" s="8">
        <v>223</v>
      </c>
      <c r="B37" s="9" t="s">
        <v>29</v>
      </c>
      <c r="C37" s="10">
        <v>1000</v>
      </c>
      <c r="D37" s="10">
        <v>1000</v>
      </c>
      <c r="E37" s="10">
        <v>1000</v>
      </c>
      <c r="F37" s="10">
        <v>770</v>
      </c>
    </row>
    <row r="38" spans="1:6" ht="12.75">
      <c r="A38" s="8">
        <v>223</v>
      </c>
      <c r="B38" s="9" t="s">
        <v>206</v>
      </c>
      <c r="C38" s="10">
        <v>12000</v>
      </c>
      <c r="D38" s="10">
        <v>12000</v>
      </c>
      <c r="E38" s="10">
        <v>12000</v>
      </c>
      <c r="F38" s="10">
        <v>8527</v>
      </c>
    </row>
    <row r="39" spans="1:7" ht="13.5" thickBot="1">
      <c r="A39" s="11">
        <v>223</v>
      </c>
      <c r="B39" s="12" t="s">
        <v>31</v>
      </c>
      <c r="C39" s="13">
        <v>100</v>
      </c>
      <c r="D39" s="13">
        <v>100</v>
      </c>
      <c r="E39" s="13">
        <v>100</v>
      </c>
      <c r="F39" s="13">
        <v>47</v>
      </c>
      <c r="G39" s="370">
        <f>SUM(F29:F39)</f>
        <v>48404</v>
      </c>
    </row>
    <row r="40" spans="1:6" ht="13.5" thickBot="1">
      <c r="A40" s="469" t="s">
        <v>32</v>
      </c>
      <c r="B40" s="470"/>
      <c r="C40" s="1">
        <f>SUM(C41)</f>
        <v>200</v>
      </c>
      <c r="D40" s="1">
        <f>SUM(D41)</f>
        <v>300</v>
      </c>
      <c r="E40" s="1">
        <f>SUM(E41)</f>
        <v>400</v>
      </c>
      <c r="F40" s="1">
        <f>SUM(F41)</f>
        <v>357</v>
      </c>
    </row>
    <row r="41" spans="1:6" ht="13.5" thickBot="1">
      <c r="A41" s="25">
        <v>240</v>
      </c>
      <c r="B41" s="20" t="s">
        <v>33</v>
      </c>
      <c r="C41" s="21">
        <v>200</v>
      </c>
      <c r="D41" s="352">
        <v>300</v>
      </c>
      <c r="E41" s="352">
        <v>400</v>
      </c>
      <c r="F41" s="21">
        <v>357</v>
      </c>
    </row>
    <row r="42" spans="1:6" ht="13.5" thickBot="1">
      <c r="A42" s="469" t="s">
        <v>34</v>
      </c>
      <c r="B42" s="470"/>
      <c r="C42" s="1">
        <f>SUM(C43:C54)</f>
        <v>24182</v>
      </c>
      <c r="D42" s="1">
        <f>SUM(D43:D54)</f>
        <v>27193</v>
      </c>
      <c r="E42" s="1">
        <f>SUM(E43:E54)</f>
        <v>29913</v>
      </c>
      <c r="F42" s="1">
        <f>SUM(F43:F54)</f>
        <v>21942</v>
      </c>
    </row>
    <row r="43" spans="1:6" ht="12.75">
      <c r="A43" s="26">
        <v>292</v>
      </c>
      <c r="B43" s="27" t="s">
        <v>35</v>
      </c>
      <c r="C43" s="28">
        <v>0</v>
      </c>
      <c r="D43" s="28">
        <v>0</v>
      </c>
      <c r="E43" s="28">
        <v>0</v>
      </c>
      <c r="F43" s="28">
        <v>0</v>
      </c>
    </row>
    <row r="44" spans="1:6" ht="12.75">
      <c r="A44" s="26">
        <v>292</v>
      </c>
      <c r="B44" s="27" t="s">
        <v>36</v>
      </c>
      <c r="C44" s="28">
        <v>200</v>
      </c>
      <c r="D44" s="28">
        <v>200</v>
      </c>
      <c r="E44" s="371">
        <v>1010</v>
      </c>
      <c r="F44" s="28">
        <v>995</v>
      </c>
    </row>
    <row r="45" spans="1:6" ht="12.75">
      <c r="A45" s="30">
        <v>292</v>
      </c>
      <c r="B45" s="31" t="s">
        <v>37</v>
      </c>
      <c r="C45" s="32">
        <v>5570</v>
      </c>
      <c r="D45" s="32">
        <v>5570</v>
      </c>
      <c r="E45" s="32">
        <v>5570</v>
      </c>
      <c r="F45" s="32">
        <v>5570</v>
      </c>
    </row>
    <row r="46" spans="1:6" ht="12.75">
      <c r="A46" s="30">
        <v>292</v>
      </c>
      <c r="B46" s="9" t="s">
        <v>38</v>
      </c>
      <c r="C46" s="33">
        <v>140</v>
      </c>
      <c r="D46" s="353">
        <v>160</v>
      </c>
      <c r="E46" s="372">
        <v>160</v>
      </c>
      <c r="F46" s="33">
        <v>80</v>
      </c>
    </row>
    <row r="47" spans="1:6" ht="12.75">
      <c r="A47" s="30">
        <v>292</v>
      </c>
      <c r="B47" s="31" t="s">
        <v>39</v>
      </c>
      <c r="C47" s="32">
        <v>7000</v>
      </c>
      <c r="D47" s="32">
        <v>7000</v>
      </c>
      <c r="E47" s="32">
        <v>7000</v>
      </c>
      <c r="F47" s="32">
        <f>2507+1201</f>
        <v>3708</v>
      </c>
    </row>
    <row r="48" spans="1:6" ht="12.75">
      <c r="A48" s="30">
        <v>292</v>
      </c>
      <c r="B48" s="31" t="s">
        <v>40</v>
      </c>
      <c r="C48" s="32">
        <v>200</v>
      </c>
      <c r="D48" s="32">
        <v>200</v>
      </c>
      <c r="E48" s="32">
        <v>200</v>
      </c>
      <c r="F48" s="32">
        <v>99</v>
      </c>
    </row>
    <row r="49" spans="1:6" ht="12.75">
      <c r="A49" s="30">
        <v>292</v>
      </c>
      <c r="B49" s="31" t="s">
        <v>255</v>
      </c>
      <c r="C49" s="32">
        <v>0</v>
      </c>
      <c r="D49" s="32">
        <v>0</v>
      </c>
      <c r="E49" s="373">
        <v>1400</v>
      </c>
      <c r="F49" s="32">
        <v>476</v>
      </c>
    </row>
    <row r="50" spans="1:6" ht="12.75">
      <c r="A50" s="30">
        <v>292</v>
      </c>
      <c r="B50" s="31" t="s">
        <v>41</v>
      </c>
      <c r="C50" s="32">
        <v>1872</v>
      </c>
      <c r="D50" s="32">
        <v>1872</v>
      </c>
      <c r="E50" s="32">
        <v>1872</v>
      </c>
      <c r="F50" s="32">
        <v>1872</v>
      </c>
    </row>
    <row r="51" spans="1:6" ht="12.75">
      <c r="A51" s="30">
        <v>292</v>
      </c>
      <c r="B51" s="9" t="s">
        <v>42</v>
      </c>
      <c r="C51" s="33">
        <v>8000</v>
      </c>
      <c r="D51" s="353">
        <f>8000+2191</f>
        <v>10191</v>
      </c>
      <c r="E51" s="372">
        <f>8000+2191</f>
        <v>10191</v>
      </c>
      <c r="F51" s="33">
        <v>7316</v>
      </c>
    </row>
    <row r="52" spans="1:6" ht="12.75">
      <c r="A52" s="30">
        <v>292</v>
      </c>
      <c r="B52" s="9" t="s">
        <v>43</v>
      </c>
      <c r="C52" s="33">
        <v>1000</v>
      </c>
      <c r="D52" s="33">
        <v>1000</v>
      </c>
      <c r="E52" s="33">
        <v>1000</v>
      </c>
      <c r="F52" s="33">
        <f>207+140</f>
        <v>347</v>
      </c>
    </row>
    <row r="53" spans="1:6" ht="12.75">
      <c r="A53" s="30">
        <v>292</v>
      </c>
      <c r="B53" s="9" t="s">
        <v>44</v>
      </c>
      <c r="C53" s="33">
        <v>100</v>
      </c>
      <c r="D53" s="33">
        <v>100</v>
      </c>
      <c r="E53" s="33">
        <v>100</v>
      </c>
      <c r="F53" s="33">
        <v>75</v>
      </c>
    </row>
    <row r="54" spans="1:6" ht="13.5" thickBot="1">
      <c r="A54" s="34">
        <v>292</v>
      </c>
      <c r="B54" s="20" t="s">
        <v>45</v>
      </c>
      <c r="C54" s="35">
        <v>100</v>
      </c>
      <c r="D54" s="347">
        <v>900</v>
      </c>
      <c r="E54" s="347">
        <v>1410</v>
      </c>
      <c r="F54" s="35">
        <v>1404</v>
      </c>
    </row>
    <row r="55" spans="1:6" ht="13.5" thickBot="1">
      <c r="A55" s="36" t="s">
        <v>46</v>
      </c>
      <c r="B55" s="37"/>
      <c r="C55" s="38">
        <f>SUM(C56:C74)</f>
        <v>366928</v>
      </c>
      <c r="D55" s="38">
        <f>SUM(D56:D74)</f>
        <v>375720</v>
      </c>
      <c r="E55" s="38">
        <f>SUM(E56:E74)</f>
        <v>485132</v>
      </c>
      <c r="F55" s="38">
        <f>SUM(F56:F74)</f>
        <v>308403</v>
      </c>
    </row>
    <row r="56" spans="1:6" ht="12.75">
      <c r="A56" s="39">
        <v>311</v>
      </c>
      <c r="B56" s="6" t="s">
        <v>248</v>
      </c>
      <c r="C56" s="7">
        <v>50</v>
      </c>
      <c r="D56" s="354">
        <f>50+50+3000</f>
        <v>3100</v>
      </c>
      <c r="E56" s="382">
        <f>50+50+3000</f>
        <v>3100</v>
      </c>
      <c r="F56" s="7">
        <v>3100</v>
      </c>
    </row>
    <row r="57" spans="1:6" ht="12.75">
      <c r="A57" s="40">
        <v>312</v>
      </c>
      <c r="B57" s="9" t="s">
        <v>48</v>
      </c>
      <c r="C57" s="10">
        <v>3720</v>
      </c>
      <c r="D57" s="10">
        <v>3720</v>
      </c>
      <c r="E57" s="10">
        <v>3720</v>
      </c>
      <c r="F57" s="10">
        <v>2556</v>
      </c>
    </row>
    <row r="58" spans="1:6" ht="12.75">
      <c r="A58" s="40">
        <v>312</v>
      </c>
      <c r="B58" s="41" t="s">
        <v>49</v>
      </c>
      <c r="C58" s="42">
        <v>3110</v>
      </c>
      <c r="D58" s="42">
        <v>3110</v>
      </c>
      <c r="E58" s="42">
        <v>3110</v>
      </c>
      <c r="F58" s="42">
        <v>2393</v>
      </c>
    </row>
    <row r="59" spans="1:6" ht="12.75">
      <c r="A59" s="40">
        <v>312</v>
      </c>
      <c r="B59" s="43" t="s">
        <v>50</v>
      </c>
      <c r="C59" s="44">
        <f>289106+6020+5400</f>
        <v>300526</v>
      </c>
      <c r="D59" s="350">
        <f>289106+6020+5400+2970+568</f>
        <v>304064</v>
      </c>
      <c r="E59" s="374">
        <f>289106+6020+5400+2970+568</f>
        <v>304064</v>
      </c>
      <c r="F59" s="44">
        <f>229087-1942</f>
        <v>227145</v>
      </c>
    </row>
    <row r="60" spans="1:6" ht="12.75">
      <c r="A60" s="40">
        <v>312</v>
      </c>
      <c r="B60" s="45" t="s">
        <v>51</v>
      </c>
      <c r="C60" s="46">
        <v>2589</v>
      </c>
      <c r="D60" s="46">
        <v>2589</v>
      </c>
      <c r="E60" s="46">
        <v>2589</v>
      </c>
      <c r="F60" s="46">
        <v>1942</v>
      </c>
    </row>
    <row r="61" spans="1:6" ht="12.75">
      <c r="A61" s="40">
        <v>312</v>
      </c>
      <c r="B61" s="41" t="s">
        <v>52</v>
      </c>
      <c r="C61" s="46">
        <v>2753</v>
      </c>
      <c r="D61" s="46">
        <v>2753</v>
      </c>
      <c r="E61" s="355">
        <v>2770</v>
      </c>
      <c r="F61" s="46">
        <v>2753</v>
      </c>
    </row>
    <row r="62" spans="1:6" ht="12.75">
      <c r="A62" s="40">
        <v>312</v>
      </c>
      <c r="B62" s="9" t="s">
        <v>246</v>
      </c>
      <c r="C62" s="10">
        <v>0</v>
      </c>
      <c r="D62" s="348">
        <v>2204</v>
      </c>
      <c r="E62" s="383">
        <v>2204</v>
      </c>
      <c r="F62" s="10">
        <v>2204</v>
      </c>
    </row>
    <row r="63" spans="1:6" ht="12.75">
      <c r="A63" s="40">
        <v>312</v>
      </c>
      <c r="B63" s="9" t="s">
        <v>54</v>
      </c>
      <c r="C63" s="10">
        <v>12350</v>
      </c>
      <c r="D63" s="10">
        <v>12350</v>
      </c>
      <c r="E63" s="367">
        <v>9100</v>
      </c>
      <c r="F63" s="10">
        <v>5819</v>
      </c>
    </row>
    <row r="64" spans="1:6" ht="12.75">
      <c r="A64" s="40">
        <v>312</v>
      </c>
      <c r="B64" s="45" t="s">
        <v>53</v>
      </c>
      <c r="C64" s="46">
        <v>100</v>
      </c>
      <c r="D64" s="46">
        <v>100</v>
      </c>
      <c r="E64" s="46">
        <v>100</v>
      </c>
      <c r="F64" s="46">
        <v>0</v>
      </c>
    </row>
    <row r="65" spans="1:6" ht="12.75">
      <c r="A65" s="40">
        <v>312</v>
      </c>
      <c r="B65" s="9" t="s">
        <v>56</v>
      </c>
      <c r="C65" s="10">
        <v>14000</v>
      </c>
      <c r="D65" s="10">
        <v>14000</v>
      </c>
      <c r="E65" s="367">
        <v>35000</v>
      </c>
      <c r="F65" s="10">
        <v>22528</v>
      </c>
    </row>
    <row r="66" spans="1:6" ht="12.75">
      <c r="A66" s="40">
        <v>312</v>
      </c>
      <c r="B66" s="47" t="s">
        <v>57</v>
      </c>
      <c r="C66" s="48">
        <v>1800</v>
      </c>
      <c r="D66" s="48">
        <v>1800</v>
      </c>
      <c r="E66" s="375">
        <v>2500</v>
      </c>
      <c r="F66" s="48">
        <v>968</v>
      </c>
    </row>
    <row r="67" spans="1:6" ht="12.75">
      <c r="A67" s="40">
        <v>312</v>
      </c>
      <c r="B67" s="47" t="s">
        <v>256</v>
      </c>
      <c r="C67" s="48">
        <v>0</v>
      </c>
      <c r="D67" s="48">
        <v>0</v>
      </c>
      <c r="E67" s="375">
        <v>3052</v>
      </c>
      <c r="F67" s="48">
        <v>3052</v>
      </c>
    </row>
    <row r="68" spans="1:6" ht="12.75">
      <c r="A68" s="40">
        <v>312</v>
      </c>
      <c r="B68" s="47" t="s">
        <v>257</v>
      </c>
      <c r="C68" s="48">
        <v>0</v>
      </c>
      <c r="D68" s="48">
        <v>0</v>
      </c>
      <c r="E68" s="375">
        <v>28739</v>
      </c>
      <c r="F68" s="48">
        <v>14370</v>
      </c>
    </row>
    <row r="69" spans="1:6" ht="12.75">
      <c r="A69" s="40">
        <v>312</v>
      </c>
      <c r="B69" s="47" t="s">
        <v>268</v>
      </c>
      <c r="C69" s="48">
        <v>0</v>
      </c>
      <c r="D69" s="48">
        <v>0</v>
      </c>
      <c r="E69" s="375">
        <v>19160</v>
      </c>
      <c r="F69" s="48">
        <v>0</v>
      </c>
    </row>
    <row r="70" spans="1:6" ht="12.75">
      <c r="A70" s="40">
        <v>312</v>
      </c>
      <c r="B70" s="47" t="s">
        <v>273</v>
      </c>
      <c r="C70" s="48">
        <v>0</v>
      </c>
      <c r="D70" s="48">
        <v>0</v>
      </c>
      <c r="E70" s="375">
        <v>7229</v>
      </c>
      <c r="F70" s="48">
        <v>0</v>
      </c>
    </row>
    <row r="71" spans="1:6" ht="12.75">
      <c r="A71" s="40">
        <v>313</v>
      </c>
      <c r="B71" s="47" t="s">
        <v>267</v>
      </c>
      <c r="C71" s="48">
        <v>0</v>
      </c>
      <c r="D71" s="48">
        <v>0</v>
      </c>
      <c r="E71" s="375">
        <v>17765</v>
      </c>
      <c r="F71" s="48">
        <v>0</v>
      </c>
    </row>
    <row r="72" spans="1:6" ht="12.75">
      <c r="A72" s="40">
        <v>312</v>
      </c>
      <c r="B72" s="47" t="s">
        <v>58</v>
      </c>
      <c r="C72" s="48">
        <v>9000</v>
      </c>
      <c r="D72" s="48">
        <v>9000</v>
      </c>
      <c r="E72" s="48">
        <v>9000</v>
      </c>
      <c r="F72" s="48">
        <v>6973</v>
      </c>
    </row>
    <row r="73" spans="1:6" ht="12.75">
      <c r="A73" s="40">
        <v>312</v>
      </c>
      <c r="B73" s="47" t="s">
        <v>59</v>
      </c>
      <c r="C73" s="48">
        <v>16930</v>
      </c>
      <c r="D73" s="48">
        <v>16930</v>
      </c>
      <c r="E73" s="48">
        <v>16930</v>
      </c>
      <c r="F73" s="48">
        <v>12600</v>
      </c>
    </row>
    <row r="74" spans="1:6" ht="13.5" thickBot="1">
      <c r="A74" s="49">
        <v>312</v>
      </c>
      <c r="B74" s="50" t="s">
        <v>258</v>
      </c>
      <c r="C74" s="51">
        <v>0</v>
      </c>
      <c r="D74" s="51">
        <v>0</v>
      </c>
      <c r="E74" s="376">
        <v>15000</v>
      </c>
      <c r="F74" s="51">
        <v>0</v>
      </c>
    </row>
    <row r="75" spans="1:7" ht="18.75" thickBot="1">
      <c r="A75" s="52" t="s">
        <v>61</v>
      </c>
      <c r="B75" s="53"/>
      <c r="C75" s="54">
        <f>SUM(C12+C21+C40+C42+C55)</f>
        <v>1146936</v>
      </c>
      <c r="D75" s="54">
        <f>SUM(D12+D21+D40+D42+D55)</f>
        <v>1188802</v>
      </c>
      <c r="E75" s="54">
        <f>SUM(E12+E21+E40+E42+E55)</f>
        <v>1299744</v>
      </c>
      <c r="F75" s="54">
        <f>SUM(F12+F21+F40+F42+F55)</f>
        <v>919257</v>
      </c>
      <c r="G75" s="60"/>
    </row>
    <row r="76" spans="1:6" ht="21" customHeight="1" thickBot="1">
      <c r="A76" s="55"/>
      <c r="B76" s="56" t="s">
        <v>62</v>
      </c>
      <c r="C76" s="57">
        <v>1540</v>
      </c>
      <c r="D76" s="57">
        <v>1542</v>
      </c>
      <c r="E76" s="57">
        <v>1542</v>
      </c>
      <c r="F76" s="387">
        <f>112+42</f>
        <v>154</v>
      </c>
    </row>
    <row r="77" spans="1:6" ht="16.5" thickBot="1">
      <c r="A77" s="52" t="s">
        <v>63</v>
      </c>
      <c r="B77" s="37"/>
      <c r="C77" s="54">
        <f>SUM(C75:C76)</f>
        <v>1148476</v>
      </c>
      <c r="D77" s="54">
        <f>SUM(D75:D76)</f>
        <v>1190344</v>
      </c>
      <c r="E77" s="54">
        <f>SUM(E75:E76)</f>
        <v>1301286</v>
      </c>
      <c r="F77" s="54">
        <f>SUM(F75:F76)</f>
        <v>919411</v>
      </c>
    </row>
    <row r="78" spans="1:6" ht="16.5" thickBot="1">
      <c r="A78" s="58"/>
      <c r="B78" s="59"/>
      <c r="C78" s="59"/>
      <c r="D78" s="59"/>
      <c r="E78" s="59"/>
      <c r="F78" s="59"/>
    </row>
    <row r="79" spans="1:6" ht="24" customHeight="1" thickBot="1">
      <c r="A79" s="471" t="s">
        <v>64</v>
      </c>
      <c r="B79" s="472"/>
      <c r="C79" s="472"/>
      <c r="D79" s="472"/>
      <c r="E79" s="472"/>
      <c r="F79" s="473"/>
    </row>
    <row r="80" spans="1:6" ht="12.75" customHeight="1">
      <c r="A80" s="450" t="s">
        <v>2</v>
      </c>
      <c r="B80" s="451"/>
      <c r="C80" s="441" t="s">
        <v>3</v>
      </c>
      <c r="D80" s="441" t="s">
        <v>245</v>
      </c>
      <c r="E80" s="441" t="s">
        <v>253</v>
      </c>
      <c r="F80" s="441" t="s">
        <v>254</v>
      </c>
    </row>
    <row r="81" spans="1:6" ht="13.5" thickBot="1">
      <c r="A81" s="474"/>
      <c r="B81" s="475"/>
      <c r="C81" s="442"/>
      <c r="D81" s="442"/>
      <c r="E81" s="442"/>
      <c r="F81" s="442"/>
    </row>
    <row r="82" spans="1:6" ht="13.5" thickBot="1">
      <c r="A82" s="61" t="s">
        <v>65</v>
      </c>
      <c r="B82" s="62"/>
      <c r="C82" s="63">
        <f>SUM(C83:C86)</f>
        <v>159213</v>
      </c>
      <c r="D82" s="63">
        <f>SUM(D83:D86)</f>
        <v>161760</v>
      </c>
      <c r="E82" s="63">
        <f>SUM(E83:E86)</f>
        <v>164757</v>
      </c>
      <c r="F82" s="63">
        <f>SUM(F83:F86)</f>
        <v>108899</v>
      </c>
    </row>
    <row r="83" spans="1:6" ht="12.75">
      <c r="A83" s="64" t="s">
        <v>66</v>
      </c>
      <c r="B83" s="65" t="s">
        <v>67</v>
      </c>
      <c r="C83" s="66">
        <v>135500</v>
      </c>
      <c r="D83" s="66">
        <f>135500+350-350</f>
        <v>135500</v>
      </c>
      <c r="E83" s="66">
        <f>135500+350-350</f>
        <v>135500</v>
      </c>
      <c r="F83" s="66">
        <v>88726</v>
      </c>
    </row>
    <row r="84" spans="1:6" ht="12.75">
      <c r="A84" s="67" t="s">
        <v>68</v>
      </c>
      <c r="B84" s="47" t="s">
        <v>69</v>
      </c>
      <c r="C84" s="48">
        <v>17240</v>
      </c>
      <c r="D84" s="349">
        <f>17240+850+1520+177</f>
        <v>19787</v>
      </c>
      <c r="E84" s="349">
        <v>22767</v>
      </c>
      <c r="F84" s="48">
        <v>15150</v>
      </c>
    </row>
    <row r="85" spans="1:6" ht="12.75">
      <c r="A85" s="68" t="s">
        <v>70</v>
      </c>
      <c r="B85" s="47" t="s">
        <v>71</v>
      </c>
      <c r="C85" s="48">
        <v>3720</v>
      </c>
      <c r="D85" s="48">
        <v>3720</v>
      </c>
      <c r="E85" s="48">
        <v>3720</v>
      </c>
      <c r="F85" s="48">
        <v>2253</v>
      </c>
    </row>
    <row r="86" spans="1:6" ht="13.5" thickBot="1">
      <c r="A86" s="69" t="s">
        <v>72</v>
      </c>
      <c r="B86" s="70" t="s">
        <v>73</v>
      </c>
      <c r="C86" s="71">
        <v>2753</v>
      </c>
      <c r="D86" s="71">
        <v>2753</v>
      </c>
      <c r="E86" s="358">
        <v>2770</v>
      </c>
      <c r="F86" s="71">
        <v>2770</v>
      </c>
    </row>
    <row r="87" spans="1:6" ht="13.5" thickBot="1">
      <c r="A87" s="462" t="s">
        <v>74</v>
      </c>
      <c r="B87" s="463"/>
      <c r="C87" s="63">
        <f>SUM(C88)</f>
        <v>140</v>
      </c>
      <c r="D87" s="63">
        <f>SUM(D88)</f>
        <v>160</v>
      </c>
      <c r="E87" s="63">
        <f>SUM(E88)</f>
        <v>160</v>
      </c>
      <c r="F87" s="63">
        <f>SUM(F88)</f>
        <v>80</v>
      </c>
    </row>
    <row r="88" spans="1:6" ht="13.5" thickBot="1">
      <c r="A88" s="72" t="s">
        <v>75</v>
      </c>
      <c r="B88" s="59" t="s">
        <v>76</v>
      </c>
      <c r="C88" s="73">
        <v>140</v>
      </c>
      <c r="D88" s="356">
        <v>160</v>
      </c>
      <c r="E88" s="73">
        <v>160</v>
      </c>
      <c r="F88" s="73">
        <v>80</v>
      </c>
    </row>
    <row r="89" spans="1:7" ht="13.5" thickBot="1">
      <c r="A89" s="462" t="s">
        <v>77</v>
      </c>
      <c r="B89" s="463"/>
      <c r="C89" s="63">
        <f>SUM(C90)</f>
        <v>5000</v>
      </c>
      <c r="D89" s="63">
        <f>SUM(D90)</f>
        <v>5000</v>
      </c>
      <c r="E89" s="63">
        <f>SUM(E90)</f>
        <v>5000</v>
      </c>
      <c r="F89" s="63">
        <f>SUM(F90)</f>
        <v>2200</v>
      </c>
      <c r="G89" s="361"/>
    </row>
    <row r="90" spans="1:6" ht="13.5" thickBot="1">
      <c r="A90" s="74" t="s">
        <v>78</v>
      </c>
      <c r="B90" s="75" t="s">
        <v>79</v>
      </c>
      <c r="C90" s="76">
        <v>5000</v>
      </c>
      <c r="D90" s="76">
        <v>5000</v>
      </c>
      <c r="E90" s="76">
        <v>5000</v>
      </c>
      <c r="F90" s="76">
        <v>2200</v>
      </c>
    </row>
    <row r="91" spans="1:6" ht="13.5" thickBot="1">
      <c r="A91" s="61" t="s">
        <v>80</v>
      </c>
      <c r="B91" s="77"/>
      <c r="C91" s="63">
        <f>SUM(C92:C96)</f>
        <v>137364</v>
      </c>
      <c r="D91" s="63">
        <f>SUM(D92:D96)</f>
        <v>137364</v>
      </c>
      <c r="E91" s="63">
        <f>SUM(E92:E96)</f>
        <v>212484</v>
      </c>
      <c r="F91" s="63">
        <f>SUM(F92:F96)</f>
        <v>100819</v>
      </c>
    </row>
    <row r="92" spans="1:6" ht="12.75">
      <c r="A92" s="78" t="s">
        <v>81</v>
      </c>
      <c r="B92" s="27" t="s">
        <v>82</v>
      </c>
      <c r="C92" s="28">
        <v>2000</v>
      </c>
      <c r="D92" s="28">
        <v>2000</v>
      </c>
      <c r="E92" s="28">
        <v>2000</v>
      </c>
      <c r="F92" s="28">
        <v>492</v>
      </c>
    </row>
    <row r="93" spans="1:6" ht="12.75">
      <c r="A93" s="68" t="s">
        <v>83</v>
      </c>
      <c r="B93" s="47" t="s">
        <v>84</v>
      </c>
      <c r="C93" s="48">
        <v>5500</v>
      </c>
      <c r="D93" s="48">
        <v>5500</v>
      </c>
      <c r="E93" s="48">
        <v>5500</v>
      </c>
      <c r="F93" s="48">
        <f>2935+17+215</f>
        <v>3167</v>
      </c>
    </row>
    <row r="94" spans="1:6" ht="12.75">
      <c r="A94" s="68" t="s">
        <v>83</v>
      </c>
      <c r="B94" s="47" t="s">
        <v>261</v>
      </c>
      <c r="C94" s="48">
        <v>0</v>
      </c>
      <c r="D94" s="48">
        <v>0</v>
      </c>
      <c r="E94" s="375">
        <v>69120</v>
      </c>
      <c r="F94" s="48">
        <f>14370+756</f>
        <v>15126</v>
      </c>
    </row>
    <row r="95" spans="1:6" ht="12.75">
      <c r="A95" s="68" t="s">
        <v>85</v>
      </c>
      <c r="B95" s="47" t="s">
        <v>86</v>
      </c>
      <c r="C95" s="79">
        <f>15000+7000</f>
        <v>22000</v>
      </c>
      <c r="D95" s="79">
        <f>15000+7000</f>
        <v>22000</v>
      </c>
      <c r="E95" s="380">
        <v>28000</v>
      </c>
      <c r="F95" s="79">
        <v>20631</v>
      </c>
    </row>
    <row r="96" spans="1:6" ht="13.5" thickBot="1">
      <c r="A96" s="80" t="s">
        <v>87</v>
      </c>
      <c r="B96" s="50" t="s">
        <v>88</v>
      </c>
      <c r="C96" s="81">
        <f>110000-2782+646</f>
        <v>107864</v>
      </c>
      <c r="D96" s="81">
        <f>110000-2782+646</f>
        <v>107864</v>
      </c>
      <c r="E96" s="81">
        <f>110000-2782+646</f>
        <v>107864</v>
      </c>
      <c r="F96" s="81">
        <v>61403</v>
      </c>
    </row>
    <row r="97" spans="1:6" ht="13.5" thickBot="1">
      <c r="A97" s="61" t="s">
        <v>89</v>
      </c>
      <c r="B97" s="62"/>
      <c r="C97" s="63">
        <f>SUM(C98:C100)</f>
        <v>25000</v>
      </c>
      <c r="D97" s="63">
        <f>SUM(D98:D100)</f>
        <v>28600</v>
      </c>
      <c r="E97" s="63">
        <f>SUM(E98:E100)</f>
        <v>42800</v>
      </c>
      <c r="F97" s="63">
        <f>SUM(F98:F100)</f>
        <v>19327</v>
      </c>
    </row>
    <row r="98" spans="1:6" ht="12.75">
      <c r="A98" s="82" t="s">
        <v>90</v>
      </c>
      <c r="B98" s="83" t="s">
        <v>91</v>
      </c>
      <c r="C98" s="84">
        <v>20000</v>
      </c>
      <c r="D98" s="84">
        <v>20000</v>
      </c>
      <c r="E98" s="395">
        <v>20600</v>
      </c>
      <c r="F98" s="84">
        <v>14028</v>
      </c>
    </row>
    <row r="99" spans="1:6" ht="12.75">
      <c r="A99" s="72" t="s">
        <v>168</v>
      </c>
      <c r="B99" s="357" t="s">
        <v>249</v>
      </c>
      <c r="C99" s="71">
        <v>0</v>
      </c>
      <c r="D99" s="358">
        <v>600</v>
      </c>
      <c r="E99" s="71">
        <v>600</v>
      </c>
      <c r="F99" s="71">
        <v>300</v>
      </c>
    </row>
    <row r="100" spans="1:7" ht="13.5" thickBot="1">
      <c r="A100" s="85" t="s">
        <v>92</v>
      </c>
      <c r="B100" s="86" t="s">
        <v>264</v>
      </c>
      <c r="C100" s="87">
        <v>5000</v>
      </c>
      <c r="D100" s="359">
        <f>5000+3000</f>
        <v>8000</v>
      </c>
      <c r="E100" s="359">
        <v>21600</v>
      </c>
      <c r="F100" s="87">
        <v>4999</v>
      </c>
      <c r="G100" s="361"/>
    </row>
    <row r="101" spans="1:7" ht="13.5" thickBot="1">
      <c r="A101" s="61" t="s">
        <v>94</v>
      </c>
      <c r="B101" s="77"/>
      <c r="C101" s="63">
        <f>SUM(C102)</f>
        <v>15000</v>
      </c>
      <c r="D101" s="63">
        <f>SUM(D102)</f>
        <v>15000</v>
      </c>
      <c r="E101" s="63">
        <f>SUM(E102)</f>
        <v>15000</v>
      </c>
      <c r="F101" s="63">
        <f>SUM(F102)</f>
        <v>11611</v>
      </c>
      <c r="G101" s="164"/>
    </row>
    <row r="102" spans="1:6" ht="13.5" thickBot="1">
      <c r="A102" s="88" t="s">
        <v>95</v>
      </c>
      <c r="B102" s="50" t="s">
        <v>96</v>
      </c>
      <c r="C102" s="51">
        <v>15000</v>
      </c>
      <c r="D102" s="51">
        <v>15000</v>
      </c>
      <c r="E102" s="51">
        <v>15000</v>
      </c>
      <c r="F102" s="51">
        <v>11611</v>
      </c>
    </row>
    <row r="103" spans="1:6" ht="13.5" thickBot="1">
      <c r="A103" s="89" t="s">
        <v>97</v>
      </c>
      <c r="B103" s="62"/>
      <c r="C103" s="63">
        <f>SUM(C104:C119)</f>
        <v>77100</v>
      </c>
      <c r="D103" s="63">
        <f>SUM(D104:D119)</f>
        <v>81663</v>
      </c>
      <c r="E103" s="63">
        <f>SUM(E104:E119)</f>
        <v>82163</v>
      </c>
      <c r="F103" s="63">
        <f>SUM(F104:F119)</f>
        <v>56819</v>
      </c>
    </row>
    <row r="104" spans="1:6" ht="13.5" thickBot="1">
      <c r="A104" s="85" t="s">
        <v>98</v>
      </c>
      <c r="B104" s="86" t="s">
        <v>100</v>
      </c>
      <c r="C104" s="87">
        <v>5000</v>
      </c>
      <c r="D104" s="87">
        <v>5000</v>
      </c>
      <c r="E104" s="87">
        <v>5000</v>
      </c>
      <c r="F104" s="87">
        <v>1829</v>
      </c>
    </row>
    <row r="105" spans="1:6" ht="12.75">
      <c r="A105" s="90" t="s">
        <v>98</v>
      </c>
      <c r="B105" s="65" t="s">
        <v>99</v>
      </c>
      <c r="C105" s="66">
        <v>8000</v>
      </c>
      <c r="D105" s="66">
        <v>8000</v>
      </c>
      <c r="E105" s="381">
        <v>8500</v>
      </c>
      <c r="F105" s="66">
        <v>6000</v>
      </c>
    </row>
    <row r="106" spans="1:6" ht="12.75">
      <c r="A106" s="90" t="s">
        <v>101</v>
      </c>
      <c r="B106" s="91" t="s">
        <v>211</v>
      </c>
      <c r="C106" s="92">
        <v>18000</v>
      </c>
      <c r="D106" s="92">
        <v>18000</v>
      </c>
      <c r="E106" s="92">
        <v>18000</v>
      </c>
      <c r="F106" s="92">
        <v>11061</v>
      </c>
    </row>
    <row r="107" spans="1:6" ht="12.75">
      <c r="A107" s="68" t="s">
        <v>103</v>
      </c>
      <c r="B107" s="93" t="s">
        <v>210</v>
      </c>
      <c r="C107" s="48">
        <v>1000</v>
      </c>
      <c r="D107" s="48">
        <v>1000</v>
      </c>
      <c r="E107" s="48">
        <v>1000</v>
      </c>
      <c r="F107" s="48">
        <v>573</v>
      </c>
    </row>
    <row r="108" spans="1:7" ht="13.5" thickBot="1">
      <c r="A108" s="85" t="s">
        <v>105</v>
      </c>
      <c r="B108" s="86" t="s">
        <v>106</v>
      </c>
      <c r="C108" s="87">
        <v>2000</v>
      </c>
      <c r="D108" s="87">
        <v>2000</v>
      </c>
      <c r="E108" s="87">
        <v>2000</v>
      </c>
      <c r="F108" s="87">
        <v>1236</v>
      </c>
      <c r="G108" s="361"/>
    </row>
    <row r="109" spans="1:6" ht="12.75">
      <c r="A109" s="68" t="s">
        <v>107</v>
      </c>
      <c r="B109" s="47" t="s">
        <v>215</v>
      </c>
      <c r="C109" s="48">
        <v>2000</v>
      </c>
      <c r="D109" s="349">
        <f>2000-470</f>
        <v>1530</v>
      </c>
      <c r="E109" s="48">
        <f>2000-470</f>
        <v>1530</v>
      </c>
      <c r="F109" s="48">
        <v>1522</v>
      </c>
    </row>
    <row r="110" spans="1:6" ht="12.75">
      <c r="A110" s="68" t="s">
        <v>107</v>
      </c>
      <c r="B110" s="47" t="s">
        <v>216</v>
      </c>
      <c r="C110" s="48">
        <v>3000</v>
      </c>
      <c r="D110" s="349">
        <f>3000-1200</f>
        <v>1800</v>
      </c>
      <c r="E110" s="349">
        <v>1760</v>
      </c>
      <c r="F110" s="48">
        <v>1754</v>
      </c>
    </row>
    <row r="111" spans="1:6" ht="12.75">
      <c r="A111" s="68" t="s">
        <v>107</v>
      </c>
      <c r="B111" s="47" t="s">
        <v>110</v>
      </c>
      <c r="C111" s="48">
        <v>9000</v>
      </c>
      <c r="D111" s="349">
        <v>11200</v>
      </c>
      <c r="E111" s="349">
        <v>11820</v>
      </c>
      <c r="F111" s="48">
        <v>11813</v>
      </c>
    </row>
    <row r="112" spans="1:6" ht="12.75">
      <c r="A112" s="68" t="s">
        <v>107</v>
      </c>
      <c r="B112" s="47" t="s">
        <v>111</v>
      </c>
      <c r="C112" s="48">
        <v>1000</v>
      </c>
      <c r="D112" s="349">
        <v>470</v>
      </c>
      <c r="E112" s="349">
        <v>0</v>
      </c>
      <c r="F112" s="48">
        <v>0</v>
      </c>
    </row>
    <row r="113" spans="1:6" ht="12.75">
      <c r="A113" s="68" t="s">
        <v>107</v>
      </c>
      <c r="B113" s="47" t="s">
        <v>214</v>
      </c>
      <c r="C113" s="48">
        <v>200</v>
      </c>
      <c r="D113" s="48">
        <v>200</v>
      </c>
      <c r="E113" s="375">
        <v>90</v>
      </c>
      <c r="F113" s="48">
        <v>0</v>
      </c>
    </row>
    <row r="114" spans="1:6" ht="12.75">
      <c r="A114" s="68" t="s">
        <v>107</v>
      </c>
      <c r="B114" s="47" t="s">
        <v>212</v>
      </c>
      <c r="C114" s="48">
        <v>1000</v>
      </c>
      <c r="D114" s="48">
        <v>1000</v>
      </c>
      <c r="E114" s="48">
        <v>1000</v>
      </c>
      <c r="F114" s="48">
        <v>0</v>
      </c>
    </row>
    <row r="115" spans="1:6" ht="12.75">
      <c r="A115" s="68" t="s">
        <v>107</v>
      </c>
      <c r="B115" s="47" t="s">
        <v>213</v>
      </c>
      <c r="C115" s="48">
        <v>300</v>
      </c>
      <c r="D115" s="48">
        <v>300</v>
      </c>
      <c r="E115" s="48">
        <v>300</v>
      </c>
      <c r="F115" s="48">
        <v>0</v>
      </c>
    </row>
    <row r="116" spans="1:7" ht="13.5" thickBot="1">
      <c r="A116" s="85" t="s">
        <v>107</v>
      </c>
      <c r="B116" s="86" t="s">
        <v>112</v>
      </c>
      <c r="C116" s="87">
        <v>9000</v>
      </c>
      <c r="D116" s="359">
        <v>13563</v>
      </c>
      <c r="E116" s="87">
        <v>13563</v>
      </c>
      <c r="F116" s="87">
        <v>13563</v>
      </c>
      <c r="G116" s="164">
        <f>SUM(F109:F116)</f>
        <v>28652</v>
      </c>
    </row>
    <row r="117" spans="1:6" ht="12.75">
      <c r="A117" s="82" t="s">
        <v>113</v>
      </c>
      <c r="B117" s="83" t="s">
        <v>209</v>
      </c>
      <c r="C117" s="84">
        <v>1600</v>
      </c>
      <c r="D117" s="84">
        <v>1600</v>
      </c>
      <c r="E117" s="84">
        <v>1600</v>
      </c>
      <c r="F117" s="84">
        <v>1199</v>
      </c>
    </row>
    <row r="118" spans="1:6" ht="12.75">
      <c r="A118" s="90" t="s">
        <v>115</v>
      </c>
      <c r="B118" s="65" t="s">
        <v>116</v>
      </c>
      <c r="C118" s="66">
        <v>12000</v>
      </c>
      <c r="D118" s="66">
        <v>12000</v>
      </c>
      <c r="E118" s="385">
        <v>12000</v>
      </c>
      <c r="F118" s="66">
        <v>4115</v>
      </c>
    </row>
    <row r="119" spans="1:6" ht="13.5" thickBot="1">
      <c r="A119" s="85" t="s">
        <v>117</v>
      </c>
      <c r="B119" s="86" t="s">
        <v>217</v>
      </c>
      <c r="C119" s="87">
        <v>4000</v>
      </c>
      <c r="D119" s="87">
        <v>4000</v>
      </c>
      <c r="E119" s="87">
        <v>4000</v>
      </c>
      <c r="F119" s="87">
        <v>2154</v>
      </c>
    </row>
    <row r="120" spans="1:7" ht="13.5" thickBot="1">
      <c r="A120" s="462" t="s">
        <v>119</v>
      </c>
      <c r="B120" s="463"/>
      <c r="C120" s="63">
        <f>SUM(C121:C125)</f>
        <v>279970</v>
      </c>
      <c r="D120" s="63">
        <f>SUM(D121:D125)</f>
        <v>279972</v>
      </c>
      <c r="E120" s="63">
        <f>SUM(E121:E125)</f>
        <v>287121</v>
      </c>
      <c r="F120" s="63">
        <f>SUM(F121:F125)</f>
        <v>174820</v>
      </c>
      <c r="G120" s="363"/>
    </row>
    <row r="121" spans="1:6" ht="12.75">
      <c r="A121" s="94" t="s">
        <v>120</v>
      </c>
      <c r="B121" s="95" t="s">
        <v>121</v>
      </c>
      <c r="C121" s="96">
        <f>100000</f>
        <v>100000</v>
      </c>
      <c r="D121" s="96">
        <f>100000</f>
        <v>100000</v>
      </c>
      <c r="E121" s="388">
        <f>100000</f>
        <v>100000</v>
      </c>
      <c r="F121" s="96">
        <v>55148</v>
      </c>
    </row>
    <row r="122" spans="1:6" ht="12.75">
      <c r="A122" s="97" t="s">
        <v>122</v>
      </c>
      <c r="B122" s="31" t="s">
        <v>123</v>
      </c>
      <c r="C122" s="32">
        <v>5040</v>
      </c>
      <c r="D122" s="362">
        <v>5042</v>
      </c>
      <c r="E122" s="362">
        <v>12191</v>
      </c>
      <c r="F122" s="32">
        <v>2414</v>
      </c>
    </row>
    <row r="123" spans="1:6" ht="12.75">
      <c r="A123" s="97" t="s">
        <v>124</v>
      </c>
      <c r="B123" s="31" t="s">
        <v>125</v>
      </c>
      <c r="C123" s="32">
        <v>103000</v>
      </c>
      <c r="D123" s="32">
        <v>103000</v>
      </c>
      <c r="E123" s="32">
        <v>103000</v>
      </c>
      <c r="F123" s="32">
        <v>72595</v>
      </c>
    </row>
    <row r="124" spans="1:7" ht="12.75">
      <c r="A124" s="97" t="s">
        <v>126</v>
      </c>
      <c r="B124" s="31" t="s">
        <v>127</v>
      </c>
      <c r="C124" s="32">
        <v>55000</v>
      </c>
      <c r="D124" s="32">
        <v>55000</v>
      </c>
      <c r="E124" s="32">
        <v>55000</v>
      </c>
      <c r="F124" s="32">
        <v>31834</v>
      </c>
      <c r="G124" s="361"/>
    </row>
    <row r="125" spans="1:6" ht="13.5" thickBot="1">
      <c r="A125" s="80" t="s">
        <v>128</v>
      </c>
      <c r="B125" s="50" t="s">
        <v>129</v>
      </c>
      <c r="C125" s="98">
        <v>16930</v>
      </c>
      <c r="D125" s="98">
        <v>16930</v>
      </c>
      <c r="E125" s="98">
        <v>16930</v>
      </c>
      <c r="F125" s="98">
        <v>12829</v>
      </c>
    </row>
    <row r="126" spans="1:6" ht="13.5" thickBot="1">
      <c r="A126" s="61" t="s">
        <v>130</v>
      </c>
      <c r="B126" s="62"/>
      <c r="C126" s="63">
        <f>SUM(C127:C134)</f>
        <v>115050</v>
      </c>
      <c r="D126" s="63">
        <f>SUM(D127:D134)</f>
        <v>115050</v>
      </c>
      <c r="E126" s="63">
        <f>SUM(E127:E134)</f>
        <v>143300</v>
      </c>
      <c r="F126" s="63">
        <f>SUM(F127:F134)</f>
        <v>91422</v>
      </c>
    </row>
    <row r="127" spans="1:7" ht="12.75">
      <c r="A127" s="90" t="s">
        <v>131</v>
      </c>
      <c r="B127" s="65" t="s">
        <v>132</v>
      </c>
      <c r="C127" s="66">
        <v>70000</v>
      </c>
      <c r="D127" s="66">
        <v>70000</v>
      </c>
      <c r="E127" s="66">
        <v>70000</v>
      </c>
      <c r="F127" s="66">
        <v>45295</v>
      </c>
      <c r="G127" s="361"/>
    </row>
    <row r="128" spans="1:7" ht="12.75">
      <c r="A128" s="68" t="s">
        <v>133</v>
      </c>
      <c r="B128" s="47" t="s">
        <v>134</v>
      </c>
      <c r="C128" s="48">
        <v>11000</v>
      </c>
      <c r="D128" s="48">
        <v>11000</v>
      </c>
      <c r="E128" s="48">
        <v>11000</v>
      </c>
      <c r="F128" s="48">
        <f>9270-1041</f>
        <v>8229</v>
      </c>
      <c r="G128" s="164"/>
    </row>
    <row r="129" spans="1:6" ht="13.5" thickBot="1">
      <c r="A129" s="85" t="s">
        <v>133</v>
      </c>
      <c r="B129" s="86" t="s">
        <v>135</v>
      </c>
      <c r="C129" s="87">
        <v>2000</v>
      </c>
      <c r="D129" s="87">
        <v>2000</v>
      </c>
      <c r="E129" s="87">
        <v>2000</v>
      </c>
      <c r="F129" s="87">
        <v>1041</v>
      </c>
    </row>
    <row r="130" spans="1:6" ht="12.75">
      <c r="A130" s="90" t="s">
        <v>136</v>
      </c>
      <c r="B130" s="65" t="s">
        <v>137</v>
      </c>
      <c r="C130" s="66">
        <v>500</v>
      </c>
      <c r="D130" s="66">
        <v>500</v>
      </c>
      <c r="E130" s="66">
        <v>500</v>
      </c>
      <c r="F130" s="66">
        <v>149</v>
      </c>
    </row>
    <row r="131" spans="1:6" ht="12.75">
      <c r="A131" s="68" t="s">
        <v>138</v>
      </c>
      <c r="B131" s="47" t="s">
        <v>262</v>
      </c>
      <c r="C131" s="48">
        <v>18500</v>
      </c>
      <c r="D131" s="48">
        <v>18500</v>
      </c>
      <c r="E131" s="375">
        <v>50000</v>
      </c>
      <c r="F131" s="48">
        <v>32414</v>
      </c>
    </row>
    <row r="132" spans="1:6" ht="12.75">
      <c r="A132" s="68" t="s">
        <v>140</v>
      </c>
      <c r="B132" s="47" t="s">
        <v>142</v>
      </c>
      <c r="C132" s="48">
        <v>12350</v>
      </c>
      <c r="D132" s="48">
        <v>12350</v>
      </c>
      <c r="E132" s="375">
        <v>9100</v>
      </c>
      <c r="F132" s="48">
        <v>4294</v>
      </c>
    </row>
    <row r="133" spans="1:6" ht="12.75">
      <c r="A133" s="68" t="s">
        <v>143</v>
      </c>
      <c r="B133" s="47" t="s">
        <v>144</v>
      </c>
      <c r="C133" s="48">
        <v>400</v>
      </c>
      <c r="D133" s="48">
        <v>400</v>
      </c>
      <c r="E133" s="48">
        <v>400</v>
      </c>
      <c r="F133" s="48">
        <v>0</v>
      </c>
    </row>
    <row r="134" spans="1:6" ht="13.5" thickBot="1">
      <c r="A134" s="85" t="s">
        <v>145</v>
      </c>
      <c r="B134" s="86" t="s">
        <v>146</v>
      </c>
      <c r="C134" s="87">
        <v>300</v>
      </c>
      <c r="D134" s="87">
        <v>300</v>
      </c>
      <c r="E134" s="87">
        <v>300</v>
      </c>
      <c r="F134" s="87">
        <v>0</v>
      </c>
    </row>
    <row r="135" spans="1:6" ht="16.5" thickBot="1">
      <c r="A135" s="99" t="s">
        <v>147</v>
      </c>
      <c r="B135" s="100"/>
      <c r="C135" s="101">
        <f>SUM(C82+C87+C89+C91+C97+C101+C103+C120+C126)</f>
        <v>813837</v>
      </c>
      <c r="D135" s="101">
        <f>SUM(D82+D87+D89+D91+D97+D101+D103+D120+D126)</f>
        <v>824569</v>
      </c>
      <c r="E135" s="101">
        <f>SUM(E82+E87+E89+E91+E97+E101+E103+E120+E126)</f>
        <v>952785</v>
      </c>
      <c r="F135" s="101">
        <f>SUM(F82+F87+F89+F91+F97+F101+F103+F120+F126)</f>
        <v>565997</v>
      </c>
    </row>
    <row r="136" spans="1:6" ht="12.75">
      <c r="A136" s="102" t="s">
        <v>122</v>
      </c>
      <c r="B136" s="103" t="s">
        <v>148</v>
      </c>
      <c r="C136" s="104">
        <f>C59+C76-40</f>
        <v>302026</v>
      </c>
      <c r="D136" s="104">
        <f>D59+D76-42</f>
        <v>305564</v>
      </c>
      <c r="E136" s="104">
        <f>E59+E76-42</f>
        <v>305564</v>
      </c>
      <c r="F136" s="104">
        <f>F59+F76-42</f>
        <v>227257</v>
      </c>
    </row>
    <row r="137" spans="1:6" ht="12.75">
      <c r="A137" s="105" t="s">
        <v>149</v>
      </c>
      <c r="B137" s="43" t="s">
        <v>150</v>
      </c>
      <c r="C137" s="106">
        <v>17000</v>
      </c>
      <c r="D137" s="106">
        <v>17000</v>
      </c>
      <c r="E137" s="106">
        <v>17000</v>
      </c>
      <c r="F137" s="106">
        <f>1400*9</f>
        <v>12600</v>
      </c>
    </row>
    <row r="138" spans="1:7" ht="20.25" customHeight="1" thickBot="1">
      <c r="A138" s="464" t="s">
        <v>151</v>
      </c>
      <c r="B138" s="465"/>
      <c r="C138" s="107">
        <f>SUM(C136:C137)</f>
        <v>319026</v>
      </c>
      <c r="D138" s="107">
        <f>SUM(D136:D137)</f>
        <v>322564</v>
      </c>
      <c r="E138" s="107">
        <f>SUM(E136:E137)</f>
        <v>322564</v>
      </c>
      <c r="F138" s="107">
        <f>SUM(F136:F137)</f>
        <v>239857</v>
      </c>
      <c r="G138" s="112"/>
    </row>
    <row r="139" spans="1:7" ht="16.5" thickBot="1">
      <c r="A139" s="108" t="s">
        <v>152</v>
      </c>
      <c r="B139" s="77"/>
      <c r="C139" s="109">
        <f>C135+C138</f>
        <v>1132863</v>
      </c>
      <c r="D139" s="109">
        <f>D135+D138</f>
        <v>1147133</v>
      </c>
      <c r="E139" s="109">
        <f>E135+E138</f>
        <v>1275349</v>
      </c>
      <c r="F139" s="109">
        <f>F135+F138</f>
        <v>805854</v>
      </c>
      <c r="G139" s="113"/>
    </row>
    <row r="141" spans="1:6" ht="13.5" thickBot="1">
      <c r="A141" s="110"/>
      <c r="B141" s="111"/>
      <c r="C141" s="111"/>
      <c r="D141" s="111"/>
      <c r="E141" s="111"/>
      <c r="F141" s="111"/>
    </row>
    <row r="142" spans="1:6" ht="18.75" thickBot="1">
      <c r="A142" s="466" t="s">
        <v>153</v>
      </c>
      <c r="B142" s="467"/>
      <c r="C142" s="467"/>
      <c r="D142" s="467"/>
      <c r="E142" s="467"/>
      <c r="F142" s="468"/>
    </row>
    <row r="143" spans="1:6" ht="12.75" customHeight="1">
      <c r="A143" s="450" t="s">
        <v>2</v>
      </c>
      <c r="B143" s="451"/>
      <c r="C143" s="441" t="s">
        <v>3</v>
      </c>
      <c r="D143" s="441" t="s">
        <v>245</v>
      </c>
      <c r="E143" s="441" t="s">
        <v>253</v>
      </c>
      <c r="F143" s="441" t="s">
        <v>254</v>
      </c>
    </row>
    <row r="144" spans="1:6" ht="13.5" thickBot="1">
      <c r="A144" s="459"/>
      <c r="B144" s="460"/>
      <c r="C144" s="461"/>
      <c r="D144" s="442"/>
      <c r="E144" s="442"/>
      <c r="F144" s="442"/>
    </row>
    <row r="145" spans="1:6" ht="16.5" thickBot="1">
      <c r="A145" s="454" t="s">
        <v>154</v>
      </c>
      <c r="B145" s="455"/>
      <c r="C145" s="121">
        <f>SUM(C146:C153)</f>
        <v>3347518</v>
      </c>
      <c r="D145" s="121">
        <f>SUM(D146:D153)</f>
        <v>3357298</v>
      </c>
      <c r="E145" s="121">
        <f>SUM(E146:E153)</f>
        <v>3347762</v>
      </c>
      <c r="F145" s="121">
        <f>SUM(F146:F153)</f>
        <v>1143989</v>
      </c>
    </row>
    <row r="146" spans="1:6" ht="12.75">
      <c r="A146" s="114">
        <v>230</v>
      </c>
      <c r="B146" s="115" t="s">
        <v>155</v>
      </c>
      <c r="C146" s="116">
        <v>4000</v>
      </c>
      <c r="D146" s="351">
        <v>4201</v>
      </c>
      <c r="E146" s="351">
        <v>6474</v>
      </c>
      <c r="F146" s="116">
        <v>6474</v>
      </c>
    </row>
    <row r="147" spans="1:6" ht="12.75">
      <c r="A147" s="40">
        <v>322</v>
      </c>
      <c r="B147" s="47" t="s">
        <v>157</v>
      </c>
      <c r="C147" s="48">
        <v>446805</v>
      </c>
      <c r="D147" s="48">
        <v>446805</v>
      </c>
      <c r="E147" s="349">
        <f>446805-19160</f>
        <v>427645</v>
      </c>
      <c r="F147" s="48">
        <v>0</v>
      </c>
    </row>
    <row r="148" spans="1:8" ht="12.75">
      <c r="A148" s="40">
        <v>322</v>
      </c>
      <c r="B148" s="47" t="s">
        <v>158</v>
      </c>
      <c r="C148" s="48">
        <v>566158</v>
      </c>
      <c r="D148" s="48">
        <v>566158</v>
      </c>
      <c r="E148" s="349">
        <f>566158-7229</f>
        <v>558929</v>
      </c>
      <c r="F148" s="48">
        <v>492962</v>
      </c>
      <c r="G148" s="164"/>
      <c r="H148" s="164"/>
    </row>
    <row r="149" spans="1:6" ht="12.75">
      <c r="A149" s="40">
        <v>322</v>
      </c>
      <c r="B149" s="47" t="s">
        <v>159</v>
      </c>
      <c r="C149" s="48">
        <v>933113</v>
      </c>
      <c r="D149" s="48">
        <v>933113</v>
      </c>
      <c r="E149" s="349">
        <f>933113-17765</f>
        <v>915348</v>
      </c>
      <c r="F149" s="48">
        <v>327779</v>
      </c>
    </row>
    <row r="150" spans="1:6" ht="12.75">
      <c r="A150" s="40">
        <v>322</v>
      </c>
      <c r="B150" s="47" t="s">
        <v>160</v>
      </c>
      <c r="C150" s="48">
        <v>0</v>
      </c>
      <c r="D150" s="48">
        <v>0</v>
      </c>
      <c r="E150" s="375">
        <v>4748</v>
      </c>
      <c r="F150" s="48">
        <v>4748</v>
      </c>
    </row>
    <row r="151" spans="1:6" ht="12.75">
      <c r="A151" s="40">
        <v>322</v>
      </c>
      <c r="B151" s="47" t="s">
        <v>161</v>
      </c>
      <c r="C151" s="48">
        <v>1397442</v>
      </c>
      <c r="D151" s="349">
        <f>1397442+9579</f>
        <v>1407021</v>
      </c>
      <c r="E151" s="349">
        <f>1397442-28739</f>
        <v>1368703</v>
      </c>
      <c r="F151" s="48">
        <v>304026</v>
      </c>
    </row>
    <row r="152" spans="1:6" ht="12.75">
      <c r="A152" s="40">
        <v>322</v>
      </c>
      <c r="B152" s="47" t="s">
        <v>259</v>
      </c>
      <c r="C152" s="48">
        <v>0</v>
      </c>
      <c r="D152" s="379">
        <v>0</v>
      </c>
      <c r="E152" s="349">
        <v>8000</v>
      </c>
      <c r="F152" s="48">
        <v>8000</v>
      </c>
    </row>
    <row r="153" spans="1:7" ht="13.5" thickBot="1">
      <c r="A153" s="2">
        <v>322</v>
      </c>
      <c r="B153" s="146" t="s">
        <v>260</v>
      </c>
      <c r="C153" s="147">
        <v>0</v>
      </c>
      <c r="D153" s="377">
        <v>0</v>
      </c>
      <c r="E153" s="378">
        <v>57915</v>
      </c>
      <c r="F153" s="147">
        <v>0</v>
      </c>
      <c r="G153" s="164">
        <f>SUM(F147:F153)</f>
        <v>1137515</v>
      </c>
    </row>
    <row r="154" spans="1:6" ht="16.5" thickBot="1">
      <c r="A154" s="454" t="s">
        <v>162</v>
      </c>
      <c r="B154" s="455"/>
      <c r="C154" s="121">
        <f>SUM(C155:C169)</f>
        <v>3679665</v>
      </c>
      <c r="D154" s="121">
        <f>SUM(D155:D169)</f>
        <v>3704866</v>
      </c>
      <c r="E154" s="121">
        <f>SUM(E155:E169)</f>
        <v>3678056</v>
      </c>
      <c r="F154" s="121">
        <f>SUM(F155:F169)</f>
        <v>1271083</v>
      </c>
    </row>
    <row r="155" spans="1:6" ht="12.75">
      <c r="A155" s="68" t="s">
        <v>83</v>
      </c>
      <c r="B155" s="9" t="s">
        <v>163</v>
      </c>
      <c r="C155" s="10">
        <v>4000</v>
      </c>
      <c r="D155" s="348">
        <v>4201</v>
      </c>
      <c r="E155" s="348">
        <v>2261</v>
      </c>
      <c r="F155" s="10">
        <v>2261</v>
      </c>
    </row>
    <row r="156" spans="1:6" ht="12.75">
      <c r="A156" s="122" t="s">
        <v>83</v>
      </c>
      <c r="B156" s="9" t="s">
        <v>164</v>
      </c>
      <c r="C156" s="123">
        <v>15000</v>
      </c>
      <c r="D156" s="123">
        <v>15000</v>
      </c>
      <c r="E156" s="123">
        <v>15000</v>
      </c>
      <c r="F156" s="123">
        <v>0</v>
      </c>
    </row>
    <row r="157" spans="1:6" ht="13.5" thickBot="1">
      <c r="A157" s="124" t="s">
        <v>83</v>
      </c>
      <c r="B157" s="391" t="s">
        <v>205</v>
      </c>
      <c r="C157" s="392">
        <f>30988+32752+18700</f>
        <v>82440</v>
      </c>
      <c r="D157" s="393">
        <f>30988+32752+18700+1000</f>
        <v>83440</v>
      </c>
      <c r="E157" s="394">
        <v>1900</v>
      </c>
      <c r="F157" s="392">
        <v>1890</v>
      </c>
    </row>
    <row r="158" spans="1:6" ht="12.75">
      <c r="A158" s="127" t="s">
        <v>85</v>
      </c>
      <c r="B158" s="6" t="s">
        <v>266</v>
      </c>
      <c r="C158" s="7">
        <v>0</v>
      </c>
      <c r="D158" s="354">
        <v>24000</v>
      </c>
      <c r="E158" s="354">
        <f>23741-3848</f>
        <v>19893</v>
      </c>
      <c r="F158" s="7">
        <v>2404</v>
      </c>
    </row>
    <row r="159" spans="1:6" ht="12.75">
      <c r="A159" s="67" t="s">
        <v>85</v>
      </c>
      <c r="B159" s="9" t="s">
        <v>175</v>
      </c>
      <c r="C159" s="10">
        <v>0</v>
      </c>
      <c r="D159" s="10">
        <v>0</v>
      </c>
      <c r="E159" s="348">
        <v>3848</v>
      </c>
      <c r="F159" s="10"/>
    </row>
    <row r="160" spans="1:6" ht="12.75">
      <c r="A160" s="64" t="s">
        <v>87</v>
      </c>
      <c r="B160" s="389" t="s">
        <v>166</v>
      </c>
      <c r="C160" s="390">
        <v>2000</v>
      </c>
      <c r="D160" s="390">
        <v>2000</v>
      </c>
      <c r="E160" s="396">
        <v>2000</v>
      </c>
      <c r="F160" s="390">
        <v>0</v>
      </c>
    </row>
    <row r="161" spans="1:6" ht="12.75">
      <c r="A161" s="64" t="s">
        <v>90</v>
      </c>
      <c r="B161" s="6" t="s">
        <v>271</v>
      </c>
      <c r="C161" s="7">
        <f>470321+20000</f>
        <v>490321</v>
      </c>
      <c r="D161" s="7">
        <f>470321+20000</f>
        <v>490321</v>
      </c>
      <c r="E161" s="354">
        <f>470321+20000-20168</f>
        <v>470153</v>
      </c>
      <c r="F161" s="7">
        <v>0</v>
      </c>
    </row>
    <row r="162" spans="1:6" ht="12.75">
      <c r="A162" s="386" t="s">
        <v>90</v>
      </c>
      <c r="B162" s="6" t="s">
        <v>263</v>
      </c>
      <c r="C162" s="7">
        <v>0</v>
      </c>
      <c r="D162" s="7">
        <v>0</v>
      </c>
      <c r="E162" s="354">
        <v>61476</v>
      </c>
      <c r="F162" s="7"/>
    </row>
    <row r="163" spans="1:6" ht="12.75">
      <c r="A163" s="97" t="s">
        <v>168</v>
      </c>
      <c r="B163" s="130" t="s">
        <v>269</v>
      </c>
      <c r="C163" s="10">
        <v>40000</v>
      </c>
      <c r="D163" s="10">
        <v>40000</v>
      </c>
      <c r="E163" s="384">
        <v>40000</v>
      </c>
      <c r="F163" s="10">
        <v>0</v>
      </c>
    </row>
    <row r="164" spans="1:6" ht="12.75">
      <c r="A164" s="68" t="s">
        <v>168</v>
      </c>
      <c r="B164" s="9" t="s">
        <v>270</v>
      </c>
      <c r="C164" s="10">
        <f>1470992-60663-500</f>
        <v>1409829</v>
      </c>
      <c r="D164" s="10">
        <f>1470992-60663-500</f>
        <v>1409829</v>
      </c>
      <c r="E164" s="348">
        <f>1470992-30252+10</f>
        <v>1440750</v>
      </c>
      <c r="F164" s="10">
        <f>320028+2</f>
        <v>320030</v>
      </c>
    </row>
    <row r="165" spans="1:6" ht="12.75">
      <c r="A165" s="97" t="s">
        <v>171</v>
      </c>
      <c r="B165" s="9" t="s">
        <v>272</v>
      </c>
      <c r="C165" s="10">
        <v>25000</v>
      </c>
      <c r="D165" s="10">
        <v>25000</v>
      </c>
      <c r="E165" s="384">
        <v>25000</v>
      </c>
      <c r="F165" s="10">
        <v>0</v>
      </c>
    </row>
    <row r="166" spans="1:6" ht="12.75">
      <c r="A166" s="131" t="s">
        <v>171</v>
      </c>
      <c r="B166" s="6" t="s">
        <v>265</v>
      </c>
      <c r="C166" s="7">
        <v>984949</v>
      </c>
      <c r="D166" s="7">
        <v>984949</v>
      </c>
      <c r="E166" s="354">
        <f>984524-18700</f>
        <v>965824</v>
      </c>
      <c r="F166" s="7">
        <f>166132+178898</f>
        <v>345030</v>
      </c>
    </row>
    <row r="167" spans="1:6" ht="12.75">
      <c r="A167" s="131" t="s">
        <v>171</v>
      </c>
      <c r="B167" s="47" t="s">
        <v>259</v>
      </c>
      <c r="C167" s="7">
        <v>0</v>
      </c>
      <c r="D167" s="7">
        <v>0</v>
      </c>
      <c r="E167" s="354">
        <v>11435</v>
      </c>
      <c r="F167" s="7">
        <v>0</v>
      </c>
    </row>
    <row r="168" spans="1:6" ht="12.75">
      <c r="A168" s="67" t="s">
        <v>122</v>
      </c>
      <c r="B168" s="9" t="s">
        <v>176</v>
      </c>
      <c r="C168" s="10">
        <v>624126</v>
      </c>
      <c r="D168" s="10">
        <v>624126</v>
      </c>
      <c r="E168" s="348">
        <f>624126-7610</f>
        <v>616516</v>
      </c>
      <c r="F168" s="10">
        <v>599468</v>
      </c>
    </row>
    <row r="169" spans="1:6" ht="13.5" thickBot="1">
      <c r="A169" s="132" t="s">
        <v>126</v>
      </c>
      <c r="B169" s="20" t="s">
        <v>177</v>
      </c>
      <c r="C169" s="21">
        <v>2000</v>
      </c>
      <c r="D169" s="21">
        <v>2000</v>
      </c>
      <c r="E169" s="397">
        <v>2000</v>
      </c>
      <c r="F169" s="21">
        <v>0</v>
      </c>
    </row>
    <row r="174" spans="1:6" ht="12.75">
      <c r="A174" s="133"/>
      <c r="B174" s="134"/>
      <c r="C174" s="134"/>
      <c r="D174" s="134"/>
      <c r="E174" s="134"/>
      <c r="F174" s="134"/>
    </row>
    <row r="175" spans="1:6" ht="17.25" customHeight="1" thickBot="1">
      <c r="A175" s="134"/>
      <c r="B175" s="111"/>
      <c r="C175" s="111"/>
      <c r="D175" s="111"/>
      <c r="E175" s="111"/>
      <c r="F175" s="111"/>
    </row>
    <row r="176" spans="1:7" ht="27.75" customHeight="1" thickBot="1">
      <c r="A176" s="456" t="s">
        <v>178</v>
      </c>
      <c r="B176" s="457"/>
      <c r="C176" s="457"/>
      <c r="D176" s="457"/>
      <c r="E176" s="457"/>
      <c r="F176" s="458"/>
      <c r="G176" s="140"/>
    </row>
    <row r="177" spans="1:6" ht="12.75" customHeight="1">
      <c r="A177" s="450" t="s">
        <v>2</v>
      </c>
      <c r="B177" s="451"/>
      <c r="C177" s="441" t="s">
        <v>3</v>
      </c>
      <c r="D177" s="441" t="s">
        <v>245</v>
      </c>
      <c r="E177" s="441" t="s">
        <v>253</v>
      </c>
      <c r="F177" s="441" t="s">
        <v>254</v>
      </c>
    </row>
    <row r="178" spans="1:10" ht="13.5" thickBot="1">
      <c r="A178" s="459"/>
      <c r="B178" s="460"/>
      <c r="C178" s="461"/>
      <c r="D178" s="442"/>
      <c r="E178" s="442"/>
      <c r="F178" s="442"/>
      <c r="G178" s="164">
        <f>D179-D180</f>
        <v>319970</v>
      </c>
      <c r="H178" s="164">
        <f>C179-C180</f>
        <v>332147</v>
      </c>
      <c r="I178" s="164">
        <f>D179-D180</f>
        <v>319970</v>
      </c>
      <c r="J178" s="164">
        <f>E179-E180</f>
        <v>319970</v>
      </c>
    </row>
    <row r="179" spans="1:6" ht="16.5" thickBot="1">
      <c r="A179" s="446" t="s">
        <v>179</v>
      </c>
      <c r="B179" s="436"/>
      <c r="C179" s="135">
        <f>SUM(C180:C182)</f>
        <v>332574</v>
      </c>
      <c r="D179" s="135">
        <f>SUM(D180:D182)</f>
        <v>320397</v>
      </c>
      <c r="E179" s="135">
        <f>SUM(E180:E182)</f>
        <v>320397</v>
      </c>
      <c r="F179" s="135">
        <f>SUM(F180:F182)</f>
        <v>106342</v>
      </c>
    </row>
    <row r="180" spans="1:6" ht="12.75">
      <c r="A180" s="136">
        <v>411</v>
      </c>
      <c r="B180" s="137" t="s">
        <v>180</v>
      </c>
      <c r="C180" s="138">
        <v>427</v>
      </c>
      <c r="D180" s="138">
        <v>427</v>
      </c>
      <c r="E180" s="138">
        <v>427</v>
      </c>
      <c r="F180" s="138">
        <v>0</v>
      </c>
    </row>
    <row r="181" spans="1:6" ht="12.75">
      <c r="A181" s="139">
        <v>454</v>
      </c>
      <c r="B181" s="41" t="s">
        <v>181</v>
      </c>
      <c r="C181" s="42">
        <f>8123+33723</f>
        <v>41846</v>
      </c>
      <c r="D181" s="355">
        <v>27735</v>
      </c>
      <c r="E181" s="46">
        <v>27735</v>
      </c>
      <c r="F181" s="42">
        <v>0</v>
      </c>
    </row>
    <row r="182" spans="1:6" ht="13.5" thickBot="1">
      <c r="A182" s="141">
        <v>513</v>
      </c>
      <c r="B182" s="142" t="s">
        <v>182</v>
      </c>
      <c r="C182" s="143">
        <v>290301</v>
      </c>
      <c r="D182" s="364">
        <f>290301+14111-12177</f>
        <v>292235</v>
      </c>
      <c r="E182" s="364">
        <f>290301+14111-12177</f>
        <v>292235</v>
      </c>
      <c r="F182" s="143">
        <f>40208+66134</f>
        <v>106342</v>
      </c>
    </row>
    <row r="183" spans="1:6" ht="16.5" thickBot="1">
      <c r="A183" s="446" t="s">
        <v>183</v>
      </c>
      <c r="B183" s="436"/>
      <c r="C183" s="135">
        <f>SUM(C184:C185)</f>
        <v>16040</v>
      </c>
      <c r="D183" s="135">
        <f>SUM(D184:D185)</f>
        <v>16040</v>
      </c>
      <c r="E183" s="135">
        <f>SUM(E184:E185)</f>
        <v>16040</v>
      </c>
      <c r="F183" s="135">
        <f>SUM(F184:F185)</f>
        <v>10441</v>
      </c>
    </row>
    <row r="184" spans="1:6" ht="12.75">
      <c r="A184" s="144">
        <v>821</v>
      </c>
      <c r="B184" s="137" t="s">
        <v>184</v>
      </c>
      <c r="C184" s="145">
        <f>870*12+5000</f>
        <v>15440</v>
      </c>
      <c r="D184" s="145">
        <f>870*12+5000</f>
        <v>15440</v>
      </c>
      <c r="E184" s="145">
        <f>870*12+5000</f>
        <v>15440</v>
      </c>
      <c r="F184" s="145">
        <v>9946</v>
      </c>
    </row>
    <row r="185" spans="1:6" ht="13.5" thickBot="1">
      <c r="A185" s="25">
        <v>821</v>
      </c>
      <c r="B185" s="146" t="s">
        <v>185</v>
      </c>
      <c r="C185" s="147">
        <v>600</v>
      </c>
      <c r="D185" s="147">
        <v>600</v>
      </c>
      <c r="E185" s="147">
        <v>600</v>
      </c>
      <c r="F185" s="147">
        <v>495</v>
      </c>
    </row>
    <row r="186" spans="1:6" ht="14.25" customHeight="1">
      <c r="A186" s="58"/>
      <c r="B186" s="110"/>
      <c r="C186" s="110"/>
      <c r="D186" s="110"/>
      <c r="E186" s="110"/>
      <c r="F186" s="110"/>
    </row>
    <row r="187" spans="1:6" ht="15.75">
      <c r="A187" s="58"/>
      <c r="B187" s="110"/>
      <c r="C187" s="110"/>
      <c r="D187" s="110"/>
      <c r="E187" s="110"/>
      <c r="F187" s="110"/>
    </row>
    <row r="188" spans="1:6" ht="15.75">
      <c r="A188" s="58"/>
      <c r="B188" s="110"/>
      <c r="C188" s="110"/>
      <c r="D188" s="110"/>
      <c r="E188" s="110"/>
      <c r="F188" s="110"/>
    </row>
    <row r="189" spans="2:6" ht="13.5" thickBot="1">
      <c r="B189" s="111"/>
      <c r="C189" s="111"/>
      <c r="D189" s="111"/>
      <c r="E189" s="111"/>
      <c r="F189" s="111"/>
    </row>
    <row r="190" spans="1:6" ht="18.75" thickBot="1">
      <c r="A190" s="447" t="s">
        <v>186</v>
      </c>
      <c r="B190" s="448"/>
      <c r="C190" s="448"/>
      <c r="D190" s="448"/>
      <c r="E190" s="448"/>
      <c r="F190" s="449"/>
    </row>
    <row r="191" spans="1:6" ht="12.75">
      <c r="A191" s="450" t="s">
        <v>2</v>
      </c>
      <c r="B191" s="451"/>
      <c r="C191" s="439" t="s">
        <v>3</v>
      </c>
      <c r="D191" s="441" t="s">
        <v>245</v>
      </c>
      <c r="E191" s="441" t="s">
        <v>253</v>
      </c>
      <c r="F191" s="441" t="s">
        <v>254</v>
      </c>
    </row>
    <row r="192" spans="1:6" ht="13.5" thickBot="1">
      <c r="A192" s="452"/>
      <c r="B192" s="453"/>
      <c r="C192" s="440"/>
      <c r="D192" s="442"/>
      <c r="E192" s="442"/>
      <c r="F192" s="442"/>
    </row>
    <row r="193" spans="1:6" ht="15">
      <c r="A193" s="148" t="s">
        <v>187</v>
      </c>
      <c r="B193" s="16"/>
      <c r="C193" s="84">
        <f>C77</f>
        <v>1148476</v>
      </c>
      <c r="D193" s="84">
        <f>D77</f>
        <v>1190344</v>
      </c>
      <c r="E193" s="84">
        <f>E77</f>
        <v>1301286</v>
      </c>
      <c r="F193" s="84">
        <f>F77</f>
        <v>919411</v>
      </c>
    </row>
    <row r="194" spans="1:6" ht="15">
      <c r="A194" s="149" t="s">
        <v>188</v>
      </c>
      <c r="B194" s="9"/>
      <c r="C194" s="48">
        <f>C139</f>
        <v>1132863</v>
      </c>
      <c r="D194" s="48">
        <f>D139</f>
        <v>1147133</v>
      </c>
      <c r="E194" s="48">
        <f>E139</f>
        <v>1275349</v>
      </c>
      <c r="F194" s="48">
        <f>F139</f>
        <v>805854</v>
      </c>
    </row>
    <row r="195" spans="1:6" ht="15.75">
      <c r="A195" s="150"/>
      <c r="B195" s="151" t="s">
        <v>189</v>
      </c>
      <c r="C195" s="152">
        <f>C193-C194</f>
        <v>15613</v>
      </c>
      <c r="D195" s="152">
        <f>D193-D194</f>
        <v>43211</v>
      </c>
      <c r="E195" s="152">
        <f>E193-E194</f>
        <v>25937</v>
      </c>
      <c r="F195" s="152">
        <f>F193-F194</f>
        <v>113557</v>
      </c>
    </row>
    <row r="196" spans="1:6" ht="15">
      <c r="A196" s="149" t="s">
        <v>190</v>
      </c>
      <c r="B196" s="9"/>
      <c r="C196" s="48">
        <f>C145</f>
        <v>3347518</v>
      </c>
      <c r="D196" s="48">
        <f>D145</f>
        <v>3357298</v>
      </c>
      <c r="E196" s="48">
        <f>E145</f>
        <v>3347762</v>
      </c>
      <c r="F196" s="48">
        <f>F145</f>
        <v>1143989</v>
      </c>
    </row>
    <row r="197" spans="1:6" ht="15">
      <c r="A197" s="149" t="s">
        <v>191</v>
      </c>
      <c r="B197" s="9"/>
      <c r="C197" s="10">
        <f>C154</f>
        <v>3679665</v>
      </c>
      <c r="D197" s="10">
        <f>D154</f>
        <v>3704866</v>
      </c>
      <c r="E197" s="10">
        <f>E154</f>
        <v>3678056</v>
      </c>
      <c r="F197" s="10">
        <f>F154</f>
        <v>1271083</v>
      </c>
    </row>
    <row r="198" spans="1:7" ht="15.75">
      <c r="A198" s="150"/>
      <c r="B198" s="153" t="s">
        <v>192</v>
      </c>
      <c r="C198" s="152">
        <f>C196-C197</f>
        <v>-332147</v>
      </c>
      <c r="D198" s="152">
        <f>D196-D197</f>
        <v>-347568</v>
      </c>
      <c r="E198" s="152">
        <f>E196-E197</f>
        <v>-330294</v>
      </c>
      <c r="F198" s="152">
        <f>F196-F197</f>
        <v>-127094</v>
      </c>
      <c r="G198" s="164">
        <f>C198+C195</f>
        <v>-316534</v>
      </c>
    </row>
    <row r="199" spans="1:6" ht="15">
      <c r="A199" s="437" t="s">
        <v>193</v>
      </c>
      <c r="B199" s="438"/>
      <c r="C199" s="79">
        <f>C179</f>
        <v>332574</v>
      </c>
      <c r="D199" s="79">
        <f>D179</f>
        <v>320397</v>
      </c>
      <c r="E199" s="79">
        <f>E179</f>
        <v>320397</v>
      </c>
      <c r="F199" s="79">
        <f>F179</f>
        <v>106342</v>
      </c>
    </row>
    <row r="200" spans="1:6" ht="15">
      <c r="A200" s="437" t="s">
        <v>194</v>
      </c>
      <c r="B200" s="438"/>
      <c r="C200" s="79">
        <f>C183</f>
        <v>16040</v>
      </c>
      <c r="D200" s="79">
        <f>D183</f>
        <v>16040</v>
      </c>
      <c r="E200" s="79">
        <f>E183</f>
        <v>16040</v>
      </c>
      <c r="F200" s="79">
        <f>F183</f>
        <v>10441</v>
      </c>
    </row>
    <row r="201" spans="1:6" ht="16.5" thickBot="1">
      <c r="A201" s="154"/>
      <c r="B201" s="155" t="s">
        <v>195</v>
      </c>
      <c r="C201" s="156">
        <f>C199-C200</f>
        <v>316534</v>
      </c>
      <c r="D201" s="156">
        <f>D199-D200</f>
        <v>304357</v>
      </c>
      <c r="E201" s="156">
        <f>E199-E200</f>
        <v>304357</v>
      </c>
      <c r="F201" s="156">
        <f>F199-F200</f>
        <v>95901</v>
      </c>
    </row>
    <row r="202" spans="1:6" ht="16.5" thickBot="1">
      <c r="A202" s="443" t="s">
        <v>196</v>
      </c>
      <c r="B202" s="444"/>
      <c r="C202" s="157">
        <f>C195+C198+C201</f>
        <v>0</v>
      </c>
      <c r="D202" s="157">
        <f>D195+D198+D201</f>
        <v>0</v>
      </c>
      <c r="E202" s="157">
        <f>E195+E198+E201</f>
        <v>0</v>
      </c>
      <c r="F202" s="157">
        <f>F195+F198+F201</f>
        <v>82364</v>
      </c>
    </row>
    <row r="204" spans="2:6" ht="12.75">
      <c r="B204" s="158" t="s">
        <v>197</v>
      </c>
      <c r="C204" s="164">
        <f aca="true" t="shared" si="0" ref="C204:F205">C193+C196+C199</f>
        <v>4828568</v>
      </c>
      <c r="D204" s="164">
        <f t="shared" si="0"/>
        <v>4868039</v>
      </c>
      <c r="E204" s="164">
        <f t="shared" si="0"/>
        <v>4969445</v>
      </c>
      <c r="F204" s="164">
        <f t="shared" si="0"/>
        <v>2169742</v>
      </c>
    </row>
    <row r="205" spans="2:6" ht="12.75">
      <c r="B205" s="158" t="s">
        <v>198</v>
      </c>
      <c r="C205" s="164">
        <f t="shared" si="0"/>
        <v>4828568</v>
      </c>
      <c r="D205" s="164">
        <f t="shared" si="0"/>
        <v>4868039</v>
      </c>
      <c r="E205" s="164">
        <f t="shared" si="0"/>
        <v>4969445</v>
      </c>
      <c r="F205" s="164">
        <f t="shared" si="0"/>
        <v>2087378</v>
      </c>
    </row>
    <row r="206" spans="2:6" ht="12.75">
      <c r="B206" s="158"/>
      <c r="C206" s="164"/>
      <c r="D206" s="164"/>
      <c r="E206" s="164"/>
      <c r="F206" s="164"/>
    </row>
    <row r="207" spans="2:6" ht="12.75">
      <c r="B207" s="158" t="s">
        <v>199</v>
      </c>
      <c r="C207" s="164">
        <f>C204-C76</f>
        <v>4827028</v>
      </c>
      <c r="D207" s="164">
        <f>D204-D76</f>
        <v>4866497</v>
      </c>
      <c r="E207" s="164">
        <f>E204-E76</f>
        <v>4967903</v>
      </c>
      <c r="F207" s="164">
        <f>F204-F76</f>
        <v>2169588</v>
      </c>
    </row>
    <row r="208" spans="2:6" ht="12.75">
      <c r="B208" s="158" t="s">
        <v>200</v>
      </c>
      <c r="C208" s="164">
        <f>C205-C138</f>
        <v>4509542</v>
      </c>
      <c r="D208" s="164">
        <f>D205-D138</f>
        <v>4545475</v>
      </c>
      <c r="E208" s="164">
        <f>E205-E138</f>
        <v>4646881</v>
      </c>
      <c r="F208" s="164">
        <f>F205-F138</f>
        <v>1847521</v>
      </c>
    </row>
  </sheetData>
  <sheetProtection/>
  <mergeCells count="50">
    <mergeCell ref="A199:B199"/>
    <mergeCell ref="C191:C192"/>
    <mergeCell ref="D191:D192"/>
    <mergeCell ref="A200:B200"/>
    <mergeCell ref="A202:B202"/>
    <mergeCell ref="A5:F5"/>
    <mergeCell ref="A6:F6"/>
    <mergeCell ref="E10:E11"/>
    <mergeCell ref="E80:E81"/>
    <mergeCell ref="A179:B179"/>
    <mergeCell ref="A183:B183"/>
    <mergeCell ref="A190:F190"/>
    <mergeCell ref="A191:B192"/>
    <mergeCell ref="F191:F192"/>
    <mergeCell ref="A145:B145"/>
    <mergeCell ref="A154:B154"/>
    <mergeCell ref="A176:F176"/>
    <mergeCell ref="A177:B178"/>
    <mergeCell ref="C177:C178"/>
    <mergeCell ref="D177:D178"/>
    <mergeCell ref="F177:F178"/>
    <mergeCell ref="E177:E178"/>
    <mergeCell ref="E191:E192"/>
    <mergeCell ref="A87:B87"/>
    <mergeCell ref="A89:B89"/>
    <mergeCell ref="A120:B120"/>
    <mergeCell ref="A138:B138"/>
    <mergeCell ref="A142:F142"/>
    <mergeCell ref="A143:B144"/>
    <mergeCell ref="C143:C144"/>
    <mergeCell ref="D143:D144"/>
    <mergeCell ref="F143:F144"/>
    <mergeCell ref="E143:E144"/>
    <mergeCell ref="A12:B12"/>
    <mergeCell ref="A21:B21"/>
    <mergeCell ref="A40:B40"/>
    <mergeCell ref="A42:B42"/>
    <mergeCell ref="A79:F79"/>
    <mergeCell ref="A80:B81"/>
    <mergeCell ref="C80:C81"/>
    <mergeCell ref="D80:D81"/>
    <mergeCell ref="F80:F81"/>
    <mergeCell ref="A1:F1"/>
    <mergeCell ref="A2:F2"/>
    <mergeCell ref="A4:F4"/>
    <mergeCell ref="A9:F9"/>
    <mergeCell ref="A10:B11"/>
    <mergeCell ref="C10:C11"/>
    <mergeCell ref="D10:D11"/>
    <mergeCell ref="F10:F11"/>
  </mergeCells>
  <printOptions/>
  <pageMargins left="0.57" right="0.2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43.75390625" style="0" customWidth="1"/>
    <col min="3" max="4" width="11.375" style="0" customWidth="1"/>
    <col min="5" max="5" width="11.875" style="0" customWidth="1"/>
  </cols>
  <sheetData>
    <row r="1" spans="1:5" ht="20.25">
      <c r="A1" s="476" t="s">
        <v>0</v>
      </c>
      <c r="B1" s="476"/>
      <c r="C1" s="476"/>
      <c r="D1" s="476"/>
      <c r="E1" s="476"/>
    </row>
    <row r="2" spans="1:5" ht="12.75">
      <c r="A2" s="477"/>
      <c r="B2" s="477"/>
      <c r="C2" s="477"/>
      <c r="D2" s="477"/>
      <c r="E2" s="477"/>
    </row>
    <row r="3" spans="1:5" ht="12.75">
      <c r="A3" s="445" t="s">
        <v>242</v>
      </c>
      <c r="B3" s="445"/>
      <c r="C3" s="445"/>
      <c r="D3" s="445"/>
      <c r="E3" s="445"/>
    </row>
    <row r="4" ht="13.5" thickBot="1"/>
    <row r="5" spans="1:5" ht="18.75" thickBot="1">
      <c r="A5" s="478" t="s">
        <v>1</v>
      </c>
      <c r="B5" s="479"/>
      <c r="C5" s="479"/>
      <c r="D5" s="479"/>
      <c r="E5" s="480"/>
    </row>
    <row r="6" spans="1:5" ht="12.75">
      <c r="A6" s="450" t="s">
        <v>2</v>
      </c>
      <c r="B6" s="451"/>
      <c r="C6" s="441" t="s">
        <v>3</v>
      </c>
      <c r="D6" s="441" t="s">
        <v>245</v>
      </c>
      <c r="E6" s="441" t="s">
        <v>247</v>
      </c>
    </row>
    <row r="7" spans="1:5" ht="13.5" thickBot="1">
      <c r="A7" s="474"/>
      <c r="B7" s="475"/>
      <c r="C7" s="442"/>
      <c r="D7" s="442"/>
      <c r="E7" s="442"/>
    </row>
    <row r="8" spans="1:5" ht="13.5" thickBot="1">
      <c r="A8" s="469" t="s">
        <v>4</v>
      </c>
      <c r="B8" s="470"/>
      <c r="C8" s="1">
        <f>SUM(C9:C16)</f>
        <v>667312</v>
      </c>
      <c r="D8" s="1">
        <f>SUM(D9:D16)</f>
        <v>667712</v>
      </c>
      <c r="E8" s="1">
        <f>SUM(E9:E16)</f>
        <v>322915</v>
      </c>
    </row>
    <row r="9" spans="1:5" ht="13.5" thickBot="1">
      <c r="A9" s="2">
        <v>111</v>
      </c>
      <c r="B9" s="3" t="s">
        <v>5</v>
      </c>
      <c r="C9" s="4">
        <v>625000</v>
      </c>
      <c r="D9" s="4">
        <v>625000</v>
      </c>
      <c r="E9" s="4">
        <v>295225</v>
      </c>
    </row>
    <row r="10" spans="1:5" ht="12.75">
      <c r="A10" s="5">
        <v>121</v>
      </c>
      <c r="B10" s="6" t="s">
        <v>6</v>
      </c>
      <c r="C10" s="7">
        <v>12200</v>
      </c>
      <c r="D10" s="7">
        <v>12200</v>
      </c>
      <c r="E10" s="7">
        <v>6016</v>
      </c>
    </row>
    <row r="11" spans="1:5" ht="12.75">
      <c r="A11" s="8">
        <v>121</v>
      </c>
      <c r="B11" s="9" t="s">
        <v>7</v>
      </c>
      <c r="C11" s="10">
        <v>13200</v>
      </c>
      <c r="D11" s="10">
        <v>13200</v>
      </c>
      <c r="E11" s="10">
        <v>8960</v>
      </c>
    </row>
    <row r="12" spans="1:6" ht="13.5" thickBot="1">
      <c r="A12" s="11">
        <v>121</v>
      </c>
      <c r="B12" s="12" t="s">
        <v>8</v>
      </c>
      <c r="C12" s="13">
        <v>70</v>
      </c>
      <c r="D12" s="13">
        <v>70</v>
      </c>
      <c r="E12" s="13">
        <v>59</v>
      </c>
      <c r="F12" s="14">
        <f>SUM(E10:E12)</f>
        <v>15035</v>
      </c>
    </row>
    <row r="13" spans="1:5" ht="12.75">
      <c r="A13" s="5">
        <v>133</v>
      </c>
      <c r="B13" s="6" t="s">
        <v>9</v>
      </c>
      <c r="C13" s="7">
        <v>510</v>
      </c>
      <c r="D13" s="7">
        <v>510</v>
      </c>
      <c r="E13" s="7">
        <v>496</v>
      </c>
    </row>
    <row r="14" spans="1:5" ht="12.75">
      <c r="A14" s="8">
        <v>133</v>
      </c>
      <c r="B14" s="9" t="s">
        <v>10</v>
      </c>
      <c r="C14" s="10">
        <v>332</v>
      </c>
      <c r="D14" s="348">
        <v>732</v>
      </c>
      <c r="E14" s="10">
        <v>732</v>
      </c>
    </row>
    <row r="15" spans="1:5" ht="12.75">
      <c r="A15" s="8">
        <v>133</v>
      </c>
      <c r="B15" s="9" t="s">
        <v>11</v>
      </c>
      <c r="C15" s="10">
        <v>2200</v>
      </c>
      <c r="D15" s="10">
        <v>2200</v>
      </c>
      <c r="E15" s="10">
        <v>1932</v>
      </c>
    </row>
    <row r="16" spans="1:7" ht="13.5" thickBot="1">
      <c r="A16" s="11">
        <v>133</v>
      </c>
      <c r="B16" s="12" t="s">
        <v>12</v>
      </c>
      <c r="C16" s="13">
        <v>13800</v>
      </c>
      <c r="D16" s="13">
        <v>13800</v>
      </c>
      <c r="E16" s="13">
        <v>9495</v>
      </c>
      <c r="F16" s="14">
        <f>SUM(E13:E16)</f>
        <v>12655</v>
      </c>
      <c r="G16" s="164"/>
    </row>
    <row r="17" spans="1:5" ht="13.5" thickBot="1">
      <c r="A17" s="469" t="s">
        <v>13</v>
      </c>
      <c r="B17" s="470"/>
      <c r="C17" s="1">
        <f>SUM(C18:C35)</f>
        <v>88314</v>
      </c>
      <c r="D17" s="1">
        <f>SUM(D18:D35)</f>
        <v>117877</v>
      </c>
      <c r="E17" s="1">
        <f>SUM(E18:E35)</f>
        <v>79798</v>
      </c>
    </row>
    <row r="18" spans="1:5" ht="12.75">
      <c r="A18" s="15">
        <v>212</v>
      </c>
      <c r="B18" s="16" t="s">
        <v>14</v>
      </c>
      <c r="C18" s="17">
        <f>477+165</f>
        <v>642</v>
      </c>
      <c r="D18" s="17">
        <f>477+165</f>
        <v>642</v>
      </c>
      <c r="E18" s="17">
        <v>387</v>
      </c>
    </row>
    <row r="19" spans="1:5" ht="12.75">
      <c r="A19" s="5">
        <v>212</v>
      </c>
      <c r="B19" s="6" t="s">
        <v>15</v>
      </c>
      <c r="C19" s="7">
        <v>1000</v>
      </c>
      <c r="D19" s="7">
        <v>1000</v>
      </c>
      <c r="E19" s="7">
        <v>166</v>
      </c>
    </row>
    <row r="20" spans="1:5" ht="12.75">
      <c r="A20" s="8">
        <v>212</v>
      </c>
      <c r="B20" s="9" t="s">
        <v>16</v>
      </c>
      <c r="C20" s="10">
        <v>3682</v>
      </c>
      <c r="D20" s="10">
        <v>3682</v>
      </c>
      <c r="E20" s="10">
        <v>1824</v>
      </c>
    </row>
    <row r="21" spans="1:6" ht="12.75">
      <c r="A21" s="8">
        <v>212</v>
      </c>
      <c r="B21" s="9" t="s">
        <v>17</v>
      </c>
      <c r="C21" s="10">
        <v>12000</v>
      </c>
      <c r="D21" s="348">
        <f>12000+25000</f>
        <v>37000</v>
      </c>
      <c r="E21" s="10">
        <v>29345</v>
      </c>
      <c r="F21" s="18"/>
    </row>
    <row r="22" spans="1:7" ht="13.5" thickBot="1">
      <c r="A22" s="19">
        <v>212</v>
      </c>
      <c r="B22" s="20" t="s">
        <v>18</v>
      </c>
      <c r="C22" s="21">
        <v>20</v>
      </c>
      <c r="D22" s="21">
        <v>20</v>
      </c>
      <c r="E22" s="21">
        <v>0</v>
      </c>
      <c r="F22" s="14">
        <f>SUM(E18:E22)</f>
        <v>31722</v>
      </c>
      <c r="G22" s="164">
        <f>SUM(E18:E22)</f>
        <v>31722</v>
      </c>
    </row>
    <row r="23" spans="1:5" ht="13.5" thickBot="1">
      <c r="A23" s="22">
        <v>221</v>
      </c>
      <c r="B23" s="23" t="s">
        <v>19</v>
      </c>
      <c r="C23" s="24">
        <v>9900</v>
      </c>
      <c r="D23" s="24">
        <v>9900</v>
      </c>
      <c r="E23" s="24">
        <v>8942</v>
      </c>
    </row>
    <row r="24" spans="1:5" ht="13.5" thickBot="1">
      <c r="A24" s="22">
        <v>222</v>
      </c>
      <c r="B24" s="23" t="s">
        <v>20</v>
      </c>
      <c r="C24" s="24">
        <v>100</v>
      </c>
      <c r="D24" s="24">
        <v>100</v>
      </c>
      <c r="E24" s="24">
        <v>50</v>
      </c>
    </row>
    <row r="25" spans="1:5" ht="12.75">
      <c r="A25" s="5">
        <v>223</v>
      </c>
      <c r="B25" s="6" t="s">
        <v>21</v>
      </c>
      <c r="C25" s="7">
        <v>800</v>
      </c>
      <c r="D25" s="7">
        <v>800</v>
      </c>
      <c r="E25" s="7">
        <v>360</v>
      </c>
    </row>
    <row r="26" spans="1:5" ht="12.75">
      <c r="A26" s="8">
        <v>223</v>
      </c>
      <c r="B26" s="9" t="s">
        <v>22</v>
      </c>
      <c r="C26" s="10">
        <v>420</v>
      </c>
      <c r="D26" s="10">
        <v>420</v>
      </c>
      <c r="E26" s="10">
        <v>270</v>
      </c>
    </row>
    <row r="27" spans="1:5" ht="12.75">
      <c r="A27" s="8">
        <v>223</v>
      </c>
      <c r="B27" s="9" t="s">
        <v>23</v>
      </c>
      <c r="C27" s="10">
        <v>8000</v>
      </c>
      <c r="D27" s="10">
        <v>8000</v>
      </c>
      <c r="E27" s="10">
        <v>4108</v>
      </c>
    </row>
    <row r="28" spans="1:5" ht="12.75">
      <c r="A28" s="8">
        <v>223</v>
      </c>
      <c r="B28" s="9" t="s">
        <v>24</v>
      </c>
      <c r="C28" s="10">
        <v>12000</v>
      </c>
      <c r="D28" s="348">
        <f>12000+4563</f>
        <v>16563</v>
      </c>
      <c r="E28" s="10">
        <v>15126</v>
      </c>
    </row>
    <row r="29" spans="1:5" ht="12.75">
      <c r="A29" s="8">
        <v>223</v>
      </c>
      <c r="B29" s="9" t="s">
        <v>25</v>
      </c>
      <c r="C29" s="10">
        <v>2000</v>
      </c>
      <c r="D29" s="10">
        <v>2000</v>
      </c>
      <c r="E29" s="10">
        <v>108</v>
      </c>
    </row>
    <row r="30" spans="1:5" ht="12.75">
      <c r="A30" s="8">
        <v>223</v>
      </c>
      <c r="B30" s="9" t="s">
        <v>26</v>
      </c>
      <c r="C30" s="10">
        <v>650</v>
      </c>
      <c r="D30" s="10">
        <v>650</v>
      </c>
      <c r="E30" s="10">
        <v>345</v>
      </c>
    </row>
    <row r="31" spans="1:5" ht="12.75">
      <c r="A31" s="8">
        <v>223</v>
      </c>
      <c r="B31" s="9" t="s">
        <v>27</v>
      </c>
      <c r="C31" s="10">
        <v>18000</v>
      </c>
      <c r="D31" s="10">
        <v>18000</v>
      </c>
      <c r="E31" s="10">
        <v>8065</v>
      </c>
    </row>
    <row r="32" spans="1:5" ht="12.75">
      <c r="A32" s="8">
        <v>223</v>
      </c>
      <c r="B32" s="9" t="s">
        <v>28</v>
      </c>
      <c r="C32" s="10">
        <v>6000</v>
      </c>
      <c r="D32" s="10">
        <v>6000</v>
      </c>
      <c r="E32" s="10">
        <v>3085</v>
      </c>
    </row>
    <row r="33" spans="1:5" ht="12.75">
      <c r="A33" s="8">
        <v>223</v>
      </c>
      <c r="B33" s="9" t="s">
        <v>29</v>
      </c>
      <c r="C33" s="10">
        <v>1000</v>
      </c>
      <c r="D33" s="10">
        <v>1000</v>
      </c>
      <c r="E33" s="10">
        <v>633</v>
      </c>
    </row>
    <row r="34" spans="1:5" ht="12.75">
      <c r="A34" s="8">
        <v>223</v>
      </c>
      <c r="B34" s="9" t="s">
        <v>206</v>
      </c>
      <c r="C34" s="10">
        <v>12000</v>
      </c>
      <c r="D34" s="10">
        <v>12000</v>
      </c>
      <c r="E34" s="10">
        <v>6940</v>
      </c>
    </row>
    <row r="35" spans="1:7" ht="13.5" thickBot="1">
      <c r="A35" s="11">
        <v>223</v>
      </c>
      <c r="B35" s="12" t="s">
        <v>31</v>
      </c>
      <c r="C35" s="13">
        <v>100</v>
      </c>
      <c r="D35" s="13">
        <v>100</v>
      </c>
      <c r="E35" s="13">
        <v>44</v>
      </c>
      <c r="F35" s="14">
        <f>SUM(E25:E35)</f>
        <v>39084</v>
      </c>
      <c r="G35" s="164">
        <f>SUM(E25:E35)</f>
        <v>39084</v>
      </c>
    </row>
    <row r="36" spans="1:5" ht="13.5" thickBot="1">
      <c r="A36" s="469" t="s">
        <v>32</v>
      </c>
      <c r="B36" s="470"/>
      <c r="C36" s="1">
        <f>SUM(C37)</f>
        <v>200</v>
      </c>
      <c r="D36" s="1">
        <f>SUM(D37)</f>
        <v>300</v>
      </c>
      <c r="E36" s="1">
        <f>SUM(E37)</f>
        <v>213</v>
      </c>
    </row>
    <row r="37" spans="1:5" ht="13.5" thickBot="1">
      <c r="A37" s="25">
        <v>240</v>
      </c>
      <c r="B37" s="20" t="s">
        <v>33</v>
      </c>
      <c r="C37" s="21">
        <v>200</v>
      </c>
      <c r="D37" s="352">
        <v>300</v>
      </c>
      <c r="E37" s="21">
        <v>213</v>
      </c>
    </row>
    <row r="38" spans="1:5" ht="13.5" thickBot="1">
      <c r="A38" s="469" t="s">
        <v>34</v>
      </c>
      <c r="B38" s="470"/>
      <c r="C38" s="1">
        <f>SUM(C39:C49)</f>
        <v>24182</v>
      </c>
      <c r="D38" s="1">
        <f>SUM(D39:D49)</f>
        <v>27193</v>
      </c>
      <c r="E38" s="1">
        <f>SUM(E39:E49)</f>
        <v>15102</v>
      </c>
    </row>
    <row r="39" spans="1:6" ht="12.75">
      <c r="A39" s="26">
        <v>292</v>
      </c>
      <c r="B39" s="27" t="s">
        <v>35</v>
      </c>
      <c r="C39" s="28">
        <v>0</v>
      </c>
      <c r="D39" s="28">
        <v>0</v>
      </c>
      <c r="E39" s="28">
        <v>0</v>
      </c>
      <c r="F39" s="29"/>
    </row>
    <row r="40" spans="1:5" ht="12.75">
      <c r="A40" s="26">
        <v>292</v>
      </c>
      <c r="B40" s="27" t="s">
        <v>36</v>
      </c>
      <c r="C40" s="28">
        <v>200</v>
      </c>
      <c r="D40" s="28">
        <v>200</v>
      </c>
      <c r="E40" s="28">
        <v>180</v>
      </c>
    </row>
    <row r="41" spans="1:5" ht="12.75">
      <c r="A41" s="30">
        <v>292</v>
      </c>
      <c r="B41" s="31" t="s">
        <v>37</v>
      </c>
      <c r="C41" s="32">
        <v>5570</v>
      </c>
      <c r="D41" s="32">
        <v>5570</v>
      </c>
      <c r="E41" s="32">
        <v>5570</v>
      </c>
    </row>
    <row r="42" spans="1:5" ht="12.75">
      <c r="A42" s="30">
        <v>292</v>
      </c>
      <c r="B42" s="9" t="s">
        <v>38</v>
      </c>
      <c r="C42" s="33">
        <v>140</v>
      </c>
      <c r="D42" s="353">
        <v>160</v>
      </c>
      <c r="E42" s="33">
        <v>0</v>
      </c>
    </row>
    <row r="43" spans="1:5" ht="12.75">
      <c r="A43" s="30">
        <v>292</v>
      </c>
      <c r="B43" s="31" t="s">
        <v>39</v>
      </c>
      <c r="C43" s="32">
        <v>7000</v>
      </c>
      <c r="D43" s="32">
        <v>7000</v>
      </c>
      <c r="E43" s="32">
        <v>2278</v>
      </c>
    </row>
    <row r="44" spans="1:5" ht="12.75">
      <c r="A44" s="30">
        <v>292</v>
      </c>
      <c r="B44" s="31" t="s">
        <v>40</v>
      </c>
      <c r="C44" s="32">
        <v>200</v>
      </c>
      <c r="D44" s="32">
        <v>200</v>
      </c>
      <c r="E44" s="32">
        <v>99</v>
      </c>
    </row>
    <row r="45" spans="1:5" ht="12.75">
      <c r="A45" s="30">
        <v>292</v>
      </c>
      <c r="B45" s="31" t="s">
        <v>41</v>
      </c>
      <c r="C45" s="32">
        <v>1872</v>
      </c>
      <c r="D45" s="32">
        <v>1872</v>
      </c>
      <c r="E45" s="32">
        <v>1872</v>
      </c>
    </row>
    <row r="46" spans="1:5" ht="12.75">
      <c r="A46" s="30">
        <v>292</v>
      </c>
      <c r="B46" s="9" t="s">
        <v>42</v>
      </c>
      <c r="C46" s="33">
        <v>8000</v>
      </c>
      <c r="D46" s="353">
        <f>8000+2191</f>
        <v>10191</v>
      </c>
      <c r="E46" s="33">
        <v>4032</v>
      </c>
    </row>
    <row r="47" spans="1:5" ht="12.75">
      <c r="A47" s="30">
        <v>292</v>
      </c>
      <c r="B47" s="9" t="s">
        <v>43</v>
      </c>
      <c r="C47" s="33">
        <v>1000</v>
      </c>
      <c r="D47" s="33">
        <v>1000</v>
      </c>
      <c r="E47" s="33">
        <v>141</v>
      </c>
    </row>
    <row r="48" spans="1:5" ht="12.75">
      <c r="A48" s="30">
        <v>292</v>
      </c>
      <c r="B48" s="9" t="s">
        <v>44</v>
      </c>
      <c r="C48" s="33">
        <v>100</v>
      </c>
      <c r="D48" s="33">
        <v>100</v>
      </c>
      <c r="E48" s="33">
        <v>45</v>
      </c>
    </row>
    <row r="49" spans="1:5" ht="13.5" thickBot="1">
      <c r="A49" s="34">
        <v>292</v>
      </c>
      <c r="B49" s="20" t="s">
        <v>45</v>
      </c>
      <c r="C49" s="35">
        <v>100</v>
      </c>
      <c r="D49" s="347">
        <v>900</v>
      </c>
      <c r="E49" s="35">
        <v>885</v>
      </c>
    </row>
    <row r="50" spans="1:5" ht="13.5" thickBot="1">
      <c r="A50" s="36" t="s">
        <v>46</v>
      </c>
      <c r="B50" s="37"/>
      <c r="C50" s="38">
        <f>SUM(C51:C64)</f>
        <v>366928</v>
      </c>
      <c r="D50" s="38">
        <f>SUM(D51:D64)</f>
        <v>375720</v>
      </c>
      <c r="E50" s="38">
        <f>SUM(E51:E64)</f>
        <v>189541</v>
      </c>
    </row>
    <row r="51" spans="1:5" ht="12.75">
      <c r="A51" s="39">
        <v>311</v>
      </c>
      <c r="B51" s="6" t="s">
        <v>248</v>
      </c>
      <c r="C51" s="7">
        <v>50</v>
      </c>
      <c r="D51" s="354">
        <f>50+50+3000</f>
        <v>3100</v>
      </c>
      <c r="E51" s="7">
        <v>3100</v>
      </c>
    </row>
    <row r="52" spans="1:5" ht="12.75">
      <c r="A52" s="40">
        <v>312</v>
      </c>
      <c r="B52" s="9" t="s">
        <v>48</v>
      </c>
      <c r="C52" s="10">
        <v>3720</v>
      </c>
      <c r="D52" s="10">
        <v>3720</v>
      </c>
      <c r="E52" s="10">
        <v>1164</v>
      </c>
    </row>
    <row r="53" spans="1:5" ht="12.75">
      <c r="A53" s="40">
        <v>312</v>
      </c>
      <c r="B53" s="41" t="s">
        <v>49</v>
      </c>
      <c r="C53" s="42">
        <v>3110</v>
      </c>
      <c r="D53" s="42">
        <v>3110</v>
      </c>
      <c r="E53" s="42">
        <v>1585</v>
      </c>
    </row>
    <row r="54" spans="1:5" ht="12.75">
      <c r="A54" s="40">
        <v>312</v>
      </c>
      <c r="B54" s="43" t="s">
        <v>50</v>
      </c>
      <c r="C54" s="44">
        <f>289106+6020+5400</f>
        <v>300526</v>
      </c>
      <c r="D54" s="350">
        <f>289106+6020+5400+2970+568</f>
        <v>304064</v>
      </c>
      <c r="E54" s="44">
        <f>153928-1294</f>
        <v>152634</v>
      </c>
    </row>
    <row r="55" spans="1:5" ht="12.75">
      <c r="A55" s="40">
        <v>312</v>
      </c>
      <c r="B55" s="45" t="s">
        <v>51</v>
      </c>
      <c r="C55" s="46">
        <v>2589</v>
      </c>
      <c r="D55" s="46">
        <v>2589</v>
      </c>
      <c r="E55" s="46">
        <v>1294</v>
      </c>
    </row>
    <row r="56" spans="1:5" ht="12.75">
      <c r="A56" s="40">
        <v>312</v>
      </c>
      <c r="B56" s="41" t="s">
        <v>52</v>
      </c>
      <c r="C56" s="46">
        <v>2753</v>
      </c>
      <c r="D56" s="46">
        <v>2753</v>
      </c>
      <c r="E56" s="46">
        <v>2753</v>
      </c>
    </row>
    <row r="57" spans="1:5" ht="12.75">
      <c r="A57" s="40">
        <v>312</v>
      </c>
      <c r="B57" s="45" t="s">
        <v>53</v>
      </c>
      <c r="C57" s="46">
        <v>100</v>
      </c>
      <c r="D57" s="46">
        <v>100</v>
      </c>
      <c r="E57" s="46">
        <v>0</v>
      </c>
    </row>
    <row r="58" spans="1:5" ht="12.75">
      <c r="A58" s="40">
        <v>312</v>
      </c>
      <c r="B58" s="9" t="s">
        <v>54</v>
      </c>
      <c r="C58" s="10">
        <v>12350</v>
      </c>
      <c r="D58" s="10">
        <v>12350</v>
      </c>
      <c r="E58" s="10">
        <v>4577</v>
      </c>
    </row>
    <row r="59" spans="1:5" ht="12.75">
      <c r="A59" s="40">
        <v>312</v>
      </c>
      <c r="B59" s="9" t="s">
        <v>246</v>
      </c>
      <c r="C59" s="10">
        <v>0</v>
      </c>
      <c r="D59" s="348">
        <v>2204</v>
      </c>
      <c r="E59" s="10">
        <v>2204</v>
      </c>
    </row>
    <row r="60" spans="1:5" ht="12.75">
      <c r="A60" s="40">
        <v>312</v>
      </c>
      <c r="B60" s="9" t="s">
        <v>56</v>
      </c>
      <c r="C60" s="10">
        <v>14000</v>
      </c>
      <c r="D60" s="10">
        <v>14000</v>
      </c>
      <c r="E60" s="10">
        <v>7107</v>
      </c>
    </row>
    <row r="61" spans="1:5" ht="12.75">
      <c r="A61" s="40">
        <v>312</v>
      </c>
      <c r="B61" s="47" t="s">
        <v>57</v>
      </c>
      <c r="C61" s="48">
        <v>1800</v>
      </c>
      <c r="D61" s="48">
        <v>1800</v>
      </c>
      <c r="E61" s="48">
        <v>778</v>
      </c>
    </row>
    <row r="62" spans="1:5" ht="12.75">
      <c r="A62" s="40">
        <v>312</v>
      </c>
      <c r="B62" s="47" t="s">
        <v>58</v>
      </c>
      <c r="C62" s="48">
        <v>9000</v>
      </c>
      <c r="D62" s="48">
        <v>9000</v>
      </c>
      <c r="E62" s="48">
        <v>3945</v>
      </c>
    </row>
    <row r="63" spans="1:5" ht="12.75">
      <c r="A63" s="40">
        <v>312</v>
      </c>
      <c r="B63" s="47" t="s">
        <v>59</v>
      </c>
      <c r="C63" s="48">
        <v>16930</v>
      </c>
      <c r="D63" s="48">
        <v>16930</v>
      </c>
      <c r="E63" s="48">
        <v>8400</v>
      </c>
    </row>
    <row r="64" spans="1:5" ht="13.5" thickBot="1">
      <c r="A64" s="49">
        <v>312</v>
      </c>
      <c r="B64" s="50" t="s">
        <v>60</v>
      </c>
      <c r="C64" s="51">
        <v>0</v>
      </c>
      <c r="D64" s="51">
        <v>0</v>
      </c>
      <c r="E64" s="51">
        <v>0</v>
      </c>
    </row>
    <row r="65" spans="1:5" ht="16.5" thickBot="1">
      <c r="A65" s="52" t="s">
        <v>61</v>
      </c>
      <c r="B65" s="53"/>
      <c r="C65" s="54">
        <f>SUM(C8+C17+C36+C38+C50)</f>
        <v>1146936</v>
      </c>
      <c r="D65" s="54">
        <f>SUM(D8+D17+D36+D38+D50)</f>
        <v>1188802</v>
      </c>
      <c r="E65" s="54">
        <f>SUM(E8+E17+E36+E38+E50)</f>
        <v>607569</v>
      </c>
    </row>
    <row r="66" spans="1:5" ht="16.5" thickBot="1">
      <c r="A66" s="55"/>
      <c r="B66" s="56" t="s">
        <v>62</v>
      </c>
      <c r="C66" s="57">
        <v>1540</v>
      </c>
      <c r="D66" s="57">
        <v>1542</v>
      </c>
      <c r="E66" s="57">
        <f>112+42</f>
        <v>154</v>
      </c>
    </row>
    <row r="67" spans="1:5" ht="16.5" thickBot="1">
      <c r="A67" s="52" t="s">
        <v>63</v>
      </c>
      <c r="B67" s="37"/>
      <c r="C67" s="54">
        <f>SUM(C65:C66)</f>
        <v>1148476</v>
      </c>
      <c r="D67" s="54">
        <f>SUM(D65:D66)</f>
        <v>1190344</v>
      </c>
      <c r="E67" s="54">
        <f>SUM(E65:E66)</f>
        <v>607723</v>
      </c>
    </row>
    <row r="68" spans="1:5" ht="16.5" thickBot="1">
      <c r="A68" s="58"/>
      <c r="B68" s="59"/>
      <c r="C68" s="59"/>
      <c r="D68" s="59"/>
      <c r="E68" s="59"/>
    </row>
    <row r="69" spans="1:6" ht="18.75" thickBot="1">
      <c r="A69" s="471" t="s">
        <v>64</v>
      </c>
      <c r="B69" s="472"/>
      <c r="C69" s="472"/>
      <c r="D69" s="472"/>
      <c r="E69" s="473"/>
      <c r="F69" s="60"/>
    </row>
    <row r="70" spans="1:5" ht="12.75" customHeight="1">
      <c r="A70" s="450" t="s">
        <v>2</v>
      </c>
      <c r="B70" s="451"/>
      <c r="C70" s="441" t="s">
        <v>3</v>
      </c>
      <c r="D70" s="441" t="s">
        <v>245</v>
      </c>
      <c r="E70" s="441" t="s">
        <v>247</v>
      </c>
    </row>
    <row r="71" spans="1:5" ht="13.5" thickBot="1">
      <c r="A71" s="474"/>
      <c r="B71" s="475"/>
      <c r="C71" s="442"/>
      <c r="D71" s="442"/>
      <c r="E71" s="442"/>
    </row>
    <row r="72" spans="1:5" ht="13.5" thickBot="1">
      <c r="A72" s="61" t="s">
        <v>65</v>
      </c>
      <c r="B72" s="62"/>
      <c r="C72" s="63">
        <f>SUM(C73:C76)</f>
        <v>159213</v>
      </c>
      <c r="D72" s="63">
        <f>SUM(D73:D76)</f>
        <v>161760</v>
      </c>
      <c r="E72" s="63">
        <f>SUM(E73:E76)</f>
        <v>71395</v>
      </c>
    </row>
    <row r="73" spans="1:5" ht="12.75">
      <c r="A73" s="64" t="s">
        <v>66</v>
      </c>
      <c r="B73" s="65" t="s">
        <v>67</v>
      </c>
      <c r="C73" s="66">
        <v>135500</v>
      </c>
      <c r="D73" s="66">
        <f>135500+350-350</f>
        <v>135500</v>
      </c>
      <c r="E73" s="66">
        <v>59179</v>
      </c>
    </row>
    <row r="74" spans="1:5" ht="12.75">
      <c r="A74" s="67" t="s">
        <v>68</v>
      </c>
      <c r="B74" s="47" t="s">
        <v>69</v>
      </c>
      <c r="C74" s="48">
        <v>17240</v>
      </c>
      <c r="D74" s="349">
        <f>17240+850+1520+177</f>
        <v>19787</v>
      </c>
      <c r="E74" s="48">
        <v>8887</v>
      </c>
    </row>
    <row r="75" spans="1:5" ht="12.75">
      <c r="A75" s="68" t="s">
        <v>70</v>
      </c>
      <c r="B75" s="47" t="s">
        <v>71</v>
      </c>
      <c r="C75" s="48">
        <v>3720</v>
      </c>
      <c r="D75" s="48">
        <v>3720</v>
      </c>
      <c r="E75" s="48">
        <v>1098</v>
      </c>
    </row>
    <row r="76" spans="1:5" ht="13.5" thickBot="1">
      <c r="A76" s="69" t="s">
        <v>72</v>
      </c>
      <c r="B76" s="70" t="s">
        <v>73</v>
      </c>
      <c r="C76" s="71">
        <v>2753</v>
      </c>
      <c r="D76" s="71">
        <v>2753</v>
      </c>
      <c r="E76" s="71">
        <v>2231</v>
      </c>
    </row>
    <row r="77" spans="1:5" ht="13.5" thickBot="1">
      <c r="A77" s="462" t="s">
        <v>74</v>
      </c>
      <c r="B77" s="463"/>
      <c r="C77" s="63">
        <f>SUM(C78)</f>
        <v>140</v>
      </c>
      <c r="D77" s="63">
        <f>SUM(D78)</f>
        <v>160</v>
      </c>
      <c r="E77" s="63">
        <f>SUM(E78)</f>
        <v>80</v>
      </c>
    </row>
    <row r="78" spans="1:5" ht="13.5" thickBot="1">
      <c r="A78" s="72" t="s">
        <v>75</v>
      </c>
      <c r="B78" s="59" t="s">
        <v>76</v>
      </c>
      <c r="C78" s="73">
        <v>140</v>
      </c>
      <c r="D78" s="356">
        <v>160</v>
      </c>
      <c r="E78" s="73">
        <v>80</v>
      </c>
    </row>
    <row r="79" spans="1:5" ht="13.5" thickBot="1">
      <c r="A79" s="462" t="s">
        <v>77</v>
      </c>
      <c r="B79" s="463"/>
      <c r="C79" s="63">
        <f>SUM(C80)</f>
        <v>5000</v>
      </c>
      <c r="D79" s="63">
        <f>SUM(D80)</f>
        <v>5000</v>
      </c>
      <c r="E79" s="63">
        <f>SUM(E80)</f>
        <v>1675</v>
      </c>
    </row>
    <row r="80" spans="1:5" ht="13.5" thickBot="1">
      <c r="A80" s="74" t="s">
        <v>78</v>
      </c>
      <c r="B80" s="75" t="s">
        <v>79</v>
      </c>
      <c r="C80" s="76">
        <v>5000</v>
      </c>
      <c r="D80" s="76">
        <v>5000</v>
      </c>
      <c r="E80" s="76">
        <v>1675</v>
      </c>
    </row>
    <row r="81" spans="1:5" ht="13.5" thickBot="1">
      <c r="A81" s="61" t="s">
        <v>80</v>
      </c>
      <c r="B81" s="77"/>
      <c r="C81" s="63">
        <f>SUM(C82:C85)</f>
        <v>137364</v>
      </c>
      <c r="D81" s="63">
        <f>SUM(D82:D85)</f>
        <v>137364</v>
      </c>
      <c r="E81" s="63">
        <f>SUM(E82:E85)</f>
        <v>51277</v>
      </c>
    </row>
    <row r="82" spans="1:5" ht="12.75">
      <c r="A82" s="78" t="s">
        <v>81</v>
      </c>
      <c r="B82" s="27" t="s">
        <v>82</v>
      </c>
      <c r="C82" s="28">
        <v>2000</v>
      </c>
      <c r="D82" s="28">
        <v>2000</v>
      </c>
      <c r="E82" s="28">
        <v>30</v>
      </c>
    </row>
    <row r="83" spans="1:6" ht="12.75">
      <c r="A83" s="68" t="s">
        <v>83</v>
      </c>
      <c r="B83" s="47" t="s">
        <v>84</v>
      </c>
      <c r="C83" s="48">
        <v>5500</v>
      </c>
      <c r="D83" s="48">
        <v>5500</v>
      </c>
      <c r="E83" s="48">
        <v>2633</v>
      </c>
      <c r="F83" s="361">
        <v>2</v>
      </c>
    </row>
    <row r="84" spans="1:5" ht="12.75">
      <c r="A84" s="68" t="s">
        <v>85</v>
      </c>
      <c r="B84" s="47" t="s">
        <v>86</v>
      </c>
      <c r="C84" s="79">
        <f>15000+7000</f>
        <v>22000</v>
      </c>
      <c r="D84" s="79">
        <f>15000+7000</f>
        <v>22000</v>
      </c>
      <c r="E84" s="79">
        <v>4652</v>
      </c>
    </row>
    <row r="85" spans="1:5" ht="13.5" thickBot="1">
      <c r="A85" s="80" t="s">
        <v>87</v>
      </c>
      <c r="B85" s="50" t="s">
        <v>88</v>
      </c>
      <c r="C85" s="81">
        <f>110000-2782+646</f>
        <v>107864</v>
      </c>
      <c r="D85" s="81">
        <f>110000-2782+646</f>
        <v>107864</v>
      </c>
      <c r="E85" s="81">
        <v>43962</v>
      </c>
    </row>
    <row r="86" spans="1:5" ht="13.5" thickBot="1">
      <c r="A86" s="61" t="s">
        <v>89</v>
      </c>
      <c r="B86" s="62"/>
      <c r="C86" s="63">
        <f>SUM(C87:C89)</f>
        <v>25000</v>
      </c>
      <c r="D86" s="63">
        <f>SUM(D87:D89)</f>
        <v>28600</v>
      </c>
      <c r="E86" s="63">
        <f>SUM(E87:E89)</f>
        <v>8920</v>
      </c>
    </row>
    <row r="87" spans="1:5" ht="12.75">
      <c r="A87" s="82" t="s">
        <v>90</v>
      </c>
      <c r="B87" s="83" t="s">
        <v>91</v>
      </c>
      <c r="C87" s="84">
        <v>20000</v>
      </c>
      <c r="D87" s="84">
        <v>20000</v>
      </c>
      <c r="E87" s="84">
        <v>6783</v>
      </c>
    </row>
    <row r="88" spans="1:5" ht="12.75">
      <c r="A88" s="72" t="s">
        <v>168</v>
      </c>
      <c r="B88" s="357" t="s">
        <v>249</v>
      </c>
      <c r="C88" s="71">
        <v>0</v>
      </c>
      <c r="D88" s="358">
        <v>600</v>
      </c>
      <c r="E88" s="71">
        <v>0</v>
      </c>
    </row>
    <row r="89" spans="1:5" ht="13.5" thickBot="1">
      <c r="A89" s="85" t="s">
        <v>92</v>
      </c>
      <c r="B89" s="86" t="s">
        <v>93</v>
      </c>
      <c r="C89" s="87">
        <v>5000</v>
      </c>
      <c r="D89" s="359">
        <f>5000+3000</f>
        <v>8000</v>
      </c>
      <c r="E89" s="87">
        <v>2137</v>
      </c>
    </row>
    <row r="90" spans="1:5" ht="13.5" thickBot="1">
      <c r="A90" s="61" t="s">
        <v>94</v>
      </c>
      <c r="B90" s="77"/>
      <c r="C90" s="63">
        <f>SUM(C91)</f>
        <v>15000</v>
      </c>
      <c r="D90" s="63">
        <f>SUM(D91)</f>
        <v>15000</v>
      </c>
      <c r="E90" s="63">
        <f>SUM(E91)</f>
        <v>7373</v>
      </c>
    </row>
    <row r="91" spans="1:5" ht="13.5" thickBot="1">
      <c r="A91" s="88" t="s">
        <v>95</v>
      </c>
      <c r="B91" s="50" t="s">
        <v>96</v>
      </c>
      <c r="C91" s="51">
        <v>15000</v>
      </c>
      <c r="D91" s="51">
        <v>15000</v>
      </c>
      <c r="E91" s="51">
        <v>7373</v>
      </c>
    </row>
    <row r="92" spans="1:5" ht="13.5" thickBot="1">
      <c r="A92" s="89" t="s">
        <v>97</v>
      </c>
      <c r="B92" s="62"/>
      <c r="C92" s="63">
        <f>SUM(C93:C108)</f>
        <v>77100</v>
      </c>
      <c r="D92" s="63">
        <f>SUM(D93:D108)</f>
        <v>81663</v>
      </c>
      <c r="E92" s="63">
        <f>SUM(E93:E108)</f>
        <v>46123</v>
      </c>
    </row>
    <row r="93" spans="1:6" ht="13.5" thickBot="1">
      <c r="A93" s="85" t="s">
        <v>98</v>
      </c>
      <c r="B93" s="86" t="s">
        <v>100</v>
      </c>
      <c r="C93" s="87">
        <v>5000</v>
      </c>
      <c r="D93" s="87">
        <v>5000</v>
      </c>
      <c r="E93" s="87">
        <v>1102</v>
      </c>
      <c r="F93" s="361">
        <v>1</v>
      </c>
    </row>
    <row r="94" spans="1:6" ht="12.75">
      <c r="A94" s="90" t="s">
        <v>98</v>
      </c>
      <c r="B94" s="65" t="s">
        <v>99</v>
      </c>
      <c r="C94" s="66">
        <v>8000</v>
      </c>
      <c r="D94" s="66">
        <v>8000</v>
      </c>
      <c r="E94" s="66">
        <v>4000</v>
      </c>
      <c r="F94" s="164">
        <f>SUM(E93:E94)</f>
        <v>5102</v>
      </c>
    </row>
    <row r="95" spans="1:5" ht="12.75">
      <c r="A95" s="90" t="s">
        <v>101</v>
      </c>
      <c r="B95" s="91" t="s">
        <v>211</v>
      </c>
      <c r="C95" s="92">
        <v>18000</v>
      </c>
      <c r="D95" s="92">
        <v>18000</v>
      </c>
      <c r="E95" s="92">
        <v>6924</v>
      </c>
    </row>
    <row r="96" spans="1:5" ht="12.75">
      <c r="A96" s="68" t="s">
        <v>103</v>
      </c>
      <c r="B96" s="93" t="s">
        <v>210</v>
      </c>
      <c r="C96" s="48">
        <v>1000</v>
      </c>
      <c r="D96" s="48">
        <v>1000</v>
      </c>
      <c r="E96" s="48">
        <v>409</v>
      </c>
    </row>
    <row r="97" spans="1:5" ht="13.5" thickBot="1">
      <c r="A97" s="85" t="s">
        <v>105</v>
      </c>
      <c r="B97" s="86" t="s">
        <v>106</v>
      </c>
      <c r="C97" s="87">
        <v>2000</v>
      </c>
      <c r="D97" s="87">
        <v>2000</v>
      </c>
      <c r="E97" s="87">
        <v>898</v>
      </c>
    </row>
    <row r="98" spans="1:5" ht="12.75">
      <c r="A98" s="68" t="s">
        <v>107</v>
      </c>
      <c r="B98" s="47" t="s">
        <v>215</v>
      </c>
      <c r="C98" s="48">
        <v>2000</v>
      </c>
      <c r="D98" s="349">
        <f>2000-470</f>
        <v>1530</v>
      </c>
      <c r="E98" s="48">
        <v>1522</v>
      </c>
    </row>
    <row r="99" spans="1:5" ht="12.75">
      <c r="A99" s="68" t="s">
        <v>107</v>
      </c>
      <c r="B99" s="47" t="s">
        <v>216</v>
      </c>
      <c r="C99" s="48">
        <v>3000</v>
      </c>
      <c r="D99" s="349">
        <f>3000-1200</f>
        <v>1800</v>
      </c>
      <c r="E99" s="48">
        <v>1711</v>
      </c>
    </row>
    <row r="100" spans="1:5" ht="12.75">
      <c r="A100" s="68" t="s">
        <v>107</v>
      </c>
      <c r="B100" s="47" t="s">
        <v>110</v>
      </c>
      <c r="C100" s="48">
        <v>9000</v>
      </c>
      <c r="D100" s="349">
        <v>11200</v>
      </c>
      <c r="E100" s="48">
        <v>11181</v>
      </c>
    </row>
    <row r="101" spans="1:5" ht="12.75">
      <c r="A101" s="68" t="s">
        <v>107</v>
      </c>
      <c r="B101" s="47" t="s">
        <v>111</v>
      </c>
      <c r="C101" s="48">
        <v>1000</v>
      </c>
      <c r="D101" s="349">
        <v>470</v>
      </c>
      <c r="E101" s="48">
        <v>0</v>
      </c>
    </row>
    <row r="102" spans="1:5" ht="12.75">
      <c r="A102" s="68" t="s">
        <v>107</v>
      </c>
      <c r="B102" s="47" t="s">
        <v>214</v>
      </c>
      <c r="C102" s="48">
        <v>200</v>
      </c>
      <c r="D102" s="48">
        <v>200</v>
      </c>
      <c r="E102" s="48">
        <v>0</v>
      </c>
    </row>
    <row r="103" spans="1:5" ht="12.75">
      <c r="A103" s="68" t="s">
        <v>107</v>
      </c>
      <c r="B103" s="47" t="s">
        <v>212</v>
      </c>
      <c r="C103" s="48">
        <v>1000</v>
      </c>
      <c r="D103" s="48">
        <v>1000</v>
      </c>
      <c r="E103" s="48">
        <v>0</v>
      </c>
    </row>
    <row r="104" spans="1:5" ht="12.75">
      <c r="A104" s="68" t="s">
        <v>107</v>
      </c>
      <c r="B104" s="47" t="s">
        <v>213</v>
      </c>
      <c r="C104" s="48">
        <v>300</v>
      </c>
      <c r="D104" s="48">
        <v>300</v>
      </c>
      <c r="E104" s="48">
        <v>0</v>
      </c>
    </row>
    <row r="105" spans="1:5" ht="13.5" thickBot="1">
      <c r="A105" s="85" t="s">
        <v>107</v>
      </c>
      <c r="B105" s="86" t="s">
        <v>112</v>
      </c>
      <c r="C105" s="87">
        <v>9000</v>
      </c>
      <c r="D105" s="359">
        <v>13563</v>
      </c>
      <c r="E105" s="87">
        <v>13563</v>
      </c>
    </row>
    <row r="106" spans="1:5" ht="12.75">
      <c r="A106" s="82" t="s">
        <v>113</v>
      </c>
      <c r="B106" s="83" t="s">
        <v>209</v>
      </c>
      <c r="C106" s="84">
        <v>1600</v>
      </c>
      <c r="D106" s="84">
        <v>1600</v>
      </c>
      <c r="E106" s="84">
        <v>1199</v>
      </c>
    </row>
    <row r="107" spans="1:5" ht="12.75">
      <c r="A107" s="90" t="s">
        <v>115</v>
      </c>
      <c r="B107" s="65" t="s">
        <v>116</v>
      </c>
      <c r="C107" s="66">
        <v>12000</v>
      </c>
      <c r="D107" s="66">
        <v>12000</v>
      </c>
      <c r="E107" s="66">
        <v>2831</v>
      </c>
    </row>
    <row r="108" spans="1:5" ht="13.5" thickBot="1">
      <c r="A108" s="85" t="s">
        <v>117</v>
      </c>
      <c r="B108" s="86" t="s">
        <v>217</v>
      </c>
      <c r="C108" s="87">
        <v>4000</v>
      </c>
      <c r="D108" s="87">
        <v>4000</v>
      </c>
      <c r="E108" s="87">
        <v>783</v>
      </c>
    </row>
    <row r="109" spans="1:5" ht="13.5" thickBot="1">
      <c r="A109" s="462" t="s">
        <v>119</v>
      </c>
      <c r="B109" s="463"/>
      <c r="C109" s="63">
        <f>SUM(C110:C114)</f>
        <v>279970</v>
      </c>
      <c r="D109" s="63">
        <f>SUM(D110:D114)</f>
        <v>279972</v>
      </c>
      <c r="E109" s="63">
        <f>SUM(E110:E114)</f>
        <v>118407</v>
      </c>
    </row>
    <row r="110" spans="1:5" ht="12.75">
      <c r="A110" s="94" t="s">
        <v>120</v>
      </c>
      <c r="B110" s="95" t="s">
        <v>121</v>
      </c>
      <c r="C110" s="96">
        <f>100000</f>
        <v>100000</v>
      </c>
      <c r="D110" s="96">
        <f>100000</f>
        <v>100000</v>
      </c>
      <c r="E110" s="96">
        <v>37501</v>
      </c>
    </row>
    <row r="111" spans="1:5" ht="12.75">
      <c r="A111" s="97" t="s">
        <v>122</v>
      </c>
      <c r="B111" s="31" t="s">
        <v>123</v>
      </c>
      <c r="C111" s="32">
        <v>5040</v>
      </c>
      <c r="D111" s="362">
        <v>5042</v>
      </c>
      <c r="E111" s="32">
        <v>410</v>
      </c>
    </row>
    <row r="112" spans="1:5" ht="12.75">
      <c r="A112" s="97" t="s">
        <v>124</v>
      </c>
      <c r="B112" s="31" t="s">
        <v>125</v>
      </c>
      <c r="C112" s="32">
        <v>103000</v>
      </c>
      <c r="D112" s="32">
        <v>103000</v>
      </c>
      <c r="E112" s="32">
        <v>49107</v>
      </c>
    </row>
    <row r="113" spans="1:6" ht="12.75">
      <c r="A113" s="97" t="s">
        <v>126</v>
      </c>
      <c r="B113" s="31" t="s">
        <v>127</v>
      </c>
      <c r="C113" s="32">
        <v>55000</v>
      </c>
      <c r="D113" s="32">
        <v>55000</v>
      </c>
      <c r="E113" s="32">
        <v>21627</v>
      </c>
      <c r="F113" s="363">
        <v>6</v>
      </c>
    </row>
    <row r="114" spans="1:5" ht="13.5" thickBot="1">
      <c r="A114" s="80" t="s">
        <v>128</v>
      </c>
      <c r="B114" s="50" t="s">
        <v>129</v>
      </c>
      <c r="C114" s="98">
        <v>16930</v>
      </c>
      <c r="D114" s="98">
        <v>16930</v>
      </c>
      <c r="E114" s="98">
        <v>9762</v>
      </c>
    </row>
    <row r="115" spans="1:5" ht="13.5" thickBot="1">
      <c r="A115" s="61" t="s">
        <v>130</v>
      </c>
      <c r="B115" s="62"/>
      <c r="C115" s="63">
        <f>SUM(C116:C124)</f>
        <v>115050</v>
      </c>
      <c r="D115" s="63">
        <f>SUM(D116:D124)</f>
        <v>115050</v>
      </c>
      <c r="E115" s="63">
        <f>SUM(E116:E124)</f>
        <v>55326</v>
      </c>
    </row>
    <row r="116" spans="1:5" ht="12.75">
      <c r="A116" s="90" t="s">
        <v>131</v>
      </c>
      <c r="B116" s="65" t="s">
        <v>132</v>
      </c>
      <c r="C116" s="66">
        <v>70000</v>
      </c>
      <c r="D116" s="66">
        <v>70000</v>
      </c>
      <c r="E116" s="66">
        <v>30460</v>
      </c>
    </row>
    <row r="117" spans="1:6" ht="12.75">
      <c r="A117" s="68" t="s">
        <v>133</v>
      </c>
      <c r="B117" s="47" t="s">
        <v>134</v>
      </c>
      <c r="C117" s="48">
        <v>11000</v>
      </c>
      <c r="D117" s="48">
        <v>11000</v>
      </c>
      <c r="E117" s="48">
        <v>5496</v>
      </c>
      <c r="F117" s="361">
        <v>5</v>
      </c>
    </row>
    <row r="118" spans="1:5" ht="13.5" thickBot="1">
      <c r="A118" s="85" t="s">
        <v>133</v>
      </c>
      <c r="B118" s="86" t="s">
        <v>135</v>
      </c>
      <c r="C118" s="87">
        <v>2000</v>
      </c>
      <c r="D118" s="87">
        <v>2000</v>
      </c>
      <c r="E118" s="87">
        <v>0</v>
      </c>
    </row>
    <row r="119" spans="1:5" ht="12.75">
      <c r="A119" s="90" t="s">
        <v>136</v>
      </c>
      <c r="B119" s="65" t="s">
        <v>137</v>
      </c>
      <c r="C119" s="66">
        <v>500</v>
      </c>
      <c r="D119" s="66">
        <v>500</v>
      </c>
      <c r="E119" s="66">
        <v>0</v>
      </c>
    </row>
    <row r="120" spans="1:6" ht="12.75">
      <c r="A120" s="68" t="s">
        <v>138</v>
      </c>
      <c r="B120" s="47" t="s">
        <v>139</v>
      </c>
      <c r="C120" s="48">
        <v>2500</v>
      </c>
      <c r="D120" s="48">
        <v>2500</v>
      </c>
      <c r="E120" s="48">
        <v>1163</v>
      </c>
      <c r="F120" s="361">
        <v>2</v>
      </c>
    </row>
    <row r="121" spans="1:6" ht="12.75">
      <c r="A121" s="68" t="s">
        <v>138</v>
      </c>
      <c r="B121" s="47" t="s">
        <v>141</v>
      </c>
      <c r="C121" s="48">
        <v>16000</v>
      </c>
      <c r="D121" s="48">
        <v>16000</v>
      </c>
      <c r="E121" s="48">
        <v>14694</v>
      </c>
      <c r="F121" s="164">
        <f>E120+E121</f>
        <v>15857</v>
      </c>
    </row>
    <row r="122" spans="1:5" ht="12.75">
      <c r="A122" s="68" t="s">
        <v>140</v>
      </c>
      <c r="B122" s="47" t="s">
        <v>142</v>
      </c>
      <c r="C122" s="48">
        <v>12350</v>
      </c>
      <c r="D122" s="48">
        <v>12350</v>
      </c>
      <c r="E122" s="48">
        <v>3513</v>
      </c>
    </row>
    <row r="123" spans="1:5" ht="12.75">
      <c r="A123" s="68" t="s">
        <v>143</v>
      </c>
      <c r="B123" s="47" t="s">
        <v>144</v>
      </c>
      <c r="C123" s="48">
        <v>400</v>
      </c>
      <c r="D123" s="48">
        <v>400</v>
      </c>
      <c r="E123" s="48">
        <v>0</v>
      </c>
    </row>
    <row r="124" spans="1:5" ht="13.5" thickBot="1">
      <c r="A124" s="85" t="s">
        <v>145</v>
      </c>
      <c r="B124" s="86" t="s">
        <v>146</v>
      </c>
      <c r="C124" s="87">
        <v>300</v>
      </c>
      <c r="D124" s="87">
        <v>300</v>
      </c>
      <c r="E124" s="87">
        <v>0</v>
      </c>
    </row>
    <row r="125" spans="1:5" ht="16.5" thickBot="1">
      <c r="A125" s="99" t="s">
        <v>147</v>
      </c>
      <c r="B125" s="100"/>
      <c r="C125" s="101">
        <f>SUM(C72+C77+C79+C81+C86+C90+C92+C109+C115)</f>
        <v>813837</v>
      </c>
      <c r="D125" s="101">
        <f>SUM(D72+D77+D79+D81+D86+D90+D92+D109+D115)</f>
        <v>824569</v>
      </c>
      <c r="E125" s="101">
        <f>SUM(E72+E77+E79+E81+E86+E90+E92+E109+E115)</f>
        <v>360576</v>
      </c>
    </row>
    <row r="126" spans="1:5" ht="12.75">
      <c r="A126" s="102" t="s">
        <v>122</v>
      </c>
      <c r="B126" s="103" t="s">
        <v>148</v>
      </c>
      <c r="C126" s="104">
        <f>C54+C66-40</f>
        <v>302026</v>
      </c>
      <c r="D126" s="104">
        <f>D54+D66-42</f>
        <v>305564</v>
      </c>
      <c r="E126" s="104">
        <f>E54+E66-42</f>
        <v>152746</v>
      </c>
    </row>
    <row r="127" spans="1:5" ht="12.75">
      <c r="A127" s="105" t="s">
        <v>149</v>
      </c>
      <c r="B127" s="43" t="s">
        <v>150</v>
      </c>
      <c r="C127" s="106">
        <v>17000</v>
      </c>
      <c r="D127" s="106">
        <v>17000</v>
      </c>
      <c r="E127" s="106">
        <f>1400*6</f>
        <v>8400</v>
      </c>
    </row>
    <row r="128" spans="1:5" ht="13.5" thickBot="1">
      <c r="A128" s="464" t="s">
        <v>151</v>
      </c>
      <c r="B128" s="465"/>
      <c r="C128" s="107">
        <f>SUM(C126:C127)</f>
        <v>319026</v>
      </c>
      <c r="D128" s="107">
        <f>SUM(D126:D127)</f>
        <v>322564</v>
      </c>
      <c r="E128" s="107">
        <f>SUM(E126:E127)</f>
        <v>161146</v>
      </c>
    </row>
    <row r="129" spans="1:5" ht="16.5" thickBot="1">
      <c r="A129" s="108" t="s">
        <v>152</v>
      </c>
      <c r="B129" s="77"/>
      <c r="C129" s="109">
        <f>C125+C128</f>
        <v>1132863</v>
      </c>
      <c r="D129" s="109">
        <f>D125+D128</f>
        <v>1147133</v>
      </c>
      <c r="E129" s="109">
        <f>E125+E128</f>
        <v>521722</v>
      </c>
    </row>
    <row r="131" spans="1:5" ht="13.5" thickBot="1">
      <c r="A131" s="110"/>
      <c r="B131" s="111"/>
      <c r="C131" s="111"/>
      <c r="D131" s="111"/>
      <c r="E131" s="111"/>
    </row>
    <row r="132" spans="1:6" ht="20.25" customHeight="1" thickBot="1">
      <c r="A132" s="466" t="s">
        <v>153</v>
      </c>
      <c r="B132" s="467"/>
      <c r="C132" s="467"/>
      <c r="D132" s="467"/>
      <c r="E132" s="468"/>
      <c r="F132" s="112"/>
    </row>
    <row r="133" spans="1:6" ht="12.75">
      <c r="A133" s="450" t="s">
        <v>2</v>
      </c>
      <c r="B133" s="451"/>
      <c r="C133" s="441" t="s">
        <v>3</v>
      </c>
      <c r="D133" s="441" t="s">
        <v>245</v>
      </c>
      <c r="E133" s="441" t="s">
        <v>247</v>
      </c>
      <c r="F133" s="113"/>
    </row>
    <row r="134" spans="1:5" ht="13.5" thickBot="1">
      <c r="A134" s="459"/>
      <c r="B134" s="460"/>
      <c r="C134" s="461"/>
      <c r="D134" s="442"/>
      <c r="E134" s="442"/>
    </row>
    <row r="135" spans="1:5" ht="16.5" thickBot="1">
      <c r="A135" s="454" t="s">
        <v>154</v>
      </c>
      <c r="B135" s="455"/>
      <c r="C135" s="121">
        <f>SUM(C136:C141)</f>
        <v>3347518</v>
      </c>
      <c r="D135" s="121">
        <f>SUM(D136:D141)</f>
        <v>3357298</v>
      </c>
      <c r="E135" s="121">
        <f>SUM(E136:E141)</f>
        <v>506742.8</v>
      </c>
    </row>
    <row r="136" spans="1:5" ht="12.75">
      <c r="A136" s="114">
        <v>230</v>
      </c>
      <c r="B136" s="115" t="s">
        <v>155</v>
      </c>
      <c r="C136" s="116">
        <v>4000</v>
      </c>
      <c r="D136" s="351">
        <v>4201</v>
      </c>
      <c r="E136" s="116">
        <v>4201</v>
      </c>
    </row>
    <row r="137" spans="1:5" ht="12.75">
      <c r="A137" s="40">
        <v>322</v>
      </c>
      <c r="B137" s="47" t="s">
        <v>157</v>
      </c>
      <c r="C137" s="48">
        <v>446805</v>
      </c>
      <c r="D137" s="48">
        <v>446805</v>
      </c>
      <c r="E137" s="48">
        <v>0</v>
      </c>
    </row>
    <row r="138" spans="1:5" ht="12.75">
      <c r="A138" s="40">
        <v>322</v>
      </c>
      <c r="B138" s="47" t="s">
        <v>158</v>
      </c>
      <c r="C138" s="48">
        <v>566158</v>
      </c>
      <c r="D138" s="48">
        <v>566158</v>
      </c>
      <c r="E138" s="48">
        <v>492962</v>
      </c>
    </row>
    <row r="139" spans="1:5" ht="12.75">
      <c r="A139" s="40">
        <v>322</v>
      </c>
      <c r="B139" s="47" t="s">
        <v>159</v>
      </c>
      <c r="C139" s="48">
        <v>933113</v>
      </c>
      <c r="D139" s="48">
        <v>933113</v>
      </c>
      <c r="E139" s="48">
        <v>0</v>
      </c>
    </row>
    <row r="140" spans="1:5" ht="12.75">
      <c r="A140" s="40">
        <v>322</v>
      </c>
      <c r="B140" s="47" t="s">
        <v>160</v>
      </c>
      <c r="C140" s="48">
        <v>0</v>
      </c>
      <c r="D140" s="48">
        <v>0</v>
      </c>
      <c r="E140" s="48">
        <v>0</v>
      </c>
    </row>
    <row r="141" spans="1:5" ht="13.5" thickBot="1">
      <c r="A141" s="118">
        <v>322</v>
      </c>
      <c r="B141" s="86" t="s">
        <v>161</v>
      </c>
      <c r="C141" s="87">
        <v>1397442</v>
      </c>
      <c r="D141" s="359">
        <f>1397442+9579</f>
        <v>1407021</v>
      </c>
      <c r="E141" s="87">
        <v>9579.8</v>
      </c>
    </row>
    <row r="142" spans="1:7" ht="16.5" thickBot="1">
      <c r="A142" s="454" t="s">
        <v>162</v>
      </c>
      <c r="B142" s="455"/>
      <c r="C142" s="121">
        <f>SUM(C143:C155)</f>
        <v>3679665</v>
      </c>
      <c r="D142" s="121">
        <f>SUM(D143:D155)</f>
        <v>3704866</v>
      </c>
      <c r="E142" s="121">
        <f>SUM(E143:E155)</f>
        <v>543418</v>
      </c>
      <c r="F142" s="164">
        <f>D135-D142</f>
        <v>-347568</v>
      </c>
      <c r="G142" s="164">
        <f>C135-C142</f>
        <v>-332147</v>
      </c>
    </row>
    <row r="143" spans="1:5" ht="12.75">
      <c r="A143" s="68" t="s">
        <v>83</v>
      </c>
      <c r="B143" s="9" t="s">
        <v>163</v>
      </c>
      <c r="C143" s="10">
        <v>4000</v>
      </c>
      <c r="D143" s="348">
        <v>4201</v>
      </c>
      <c r="E143" s="10">
        <v>0</v>
      </c>
    </row>
    <row r="144" spans="1:5" ht="12.75">
      <c r="A144" s="122" t="s">
        <v>83</v>
      </c>
      <c r="B144" s="9" t="s">
        <v>164</v>
      </c>
      <c r="C144" s="123">
        <v>15000</v>
      </c>
      <c r="D144" s="123">
        <v>15000</v>
      </c>
      <c r="E144" s="123">
        <v>0</v>
      </c>
    </row>
    <row r="145" spans="1:5" ht="13.5" thickBot="1">
      <c r="A145" s="124" t="s">
        <v>83</v>
      </c>
      <c r="B145" s="125" t="s">
        <v>205</v>
      </c>
      <c r="C145" s="126">
        <f>30988+32752+18700</f>
        <v>82440</v>
      </c>
      <c r="D145" s="360">
        <f>30988+32752+18700+1000</f>
        <v>83440</v>
      </c>
      <c r="E145" s="126">
        <f>10084</f>
        <v>10084</v>
      </c>
    </row>
    <row r="146" spans="1:5" ht="12.75">
      <c r="A146" s="127" t="s">
        <v>87</v>
      </c>
      <c r="B146" s="128" t="s">
        <v>166</v>
      </c>
      <c r="C146" s="129">
        <v>2000</v>
      </c>
      <c r="D146" s="129">
        <v>2000</v>
      </c>
      <c r="E146" s="129">
        <v>0</v>
      </c>
    </row>
    <row r="147" spans="1:5" ht="12.75">
      <c r="A147" s="64" t="s">
        <v>90</v>
      </c>
      <c r="B147" s="6" t="s">
        <v>167</v>
      </c>
      <c r="C147" s="7">
        <f>470321+20000</f>
        <v>490321</v>
      </c>
      <c r="D147" s="7">
        <f>470321+20000</f>
        <v>490321</v>
      </c>
      <c r="E147" s="7">
        <v>0</v>
      </c>
    </row>
    <row r="148" spans="1:5" ht="12.75">
      <c r="A148" s="97" t="s">
        <v>168</v>
      </c>
      <c r="B148" s="130" t="s">
        <v>169</v>
      </c>
      <c r="C148" s="10">
        <v>40000</v>
      </c>
      <c r="D148" s="10">
        <v>40000</v>
      </c>
      <c r="E148" s="10">
        <v>0</v>
      </c>
    </row>
    <row r="149" spans="1:5" ht="12.75">
      <c r="A149" s="68" t="s">
        <v>168</v>
      </c>
      <c r="B149" s="9" t="s">
        <v>170</v>
      </c>
      <c r="C149" s="10">
        <f>1470992-60663-500</f>
        <v>1409829</v>
      </c>
      <c r="D149" s="10">
        <f>1470992-60663-500</f>
        <v>1409829</v>
      </c>
      <c r="E149" s="10">
        <v>0</v>
      </c>
    </row>
    <row r="150" spans="1:5" ht="12.75">
      <c r="A150" s="97" t="s">
        <v>171</v>
      </c>
      <c r="B150" s="9" t="s">
        <v>172</v>
      </c>
      <c r="C150" s="10">
        <v>25000</v>
      </c>
      <c r="D150" s="10">
        <v>25000</v>
      </c>
      <c r="E150" s="10">
        <v>0</v>
      </c>
    </row>
    <row r="151" spans="1:5" ht="12.75">
      <c r="A151" s="131" t="s">
        <v>171</v>
      </c>
      <c r="B151" s="6" t="s">
        <v>173</v>
      </c>
      <c r="C151" s="7">
        <v>984949</v>
      </c>
      <c r="D151" s="7">
        <v>984949</v>
      </c>
      <c r="E151" s="7">
        <v>0</v>
      </c>
    </row>
    <row r="152" spans="1:5" ht="12.75">
      <c r="A152" s="64" t="s">
        <v>103</v>
      </c>
      <c r="B152" s="6" t="s">
        <v>250</v>
      </c>
      <c r="C152" s="7">
        <v>0</v>
      </c>
      <c r="D152" s="354">
        <v>24000</v>
      </c>
      <c r="E152" s="7">
        <v>0</v>
      </c>
    </row>
    <row r="153" spans="1:5" ht="12.75">
      <c r="A153" s="67" t="s">
        <v>122</v>
      </c>
      <c r="B153" s="9" t="s">
        <v>175</v>
      </c>
      <c r="C153" s="10">
        <v>0</v>
      </c>
      <c r="D153" s="10">
        <v>0</v>
      </c>
      <c r="E153" s="10">
        <v>0</v>
      </c>
    </row>
    <row r="154" spans="1:5" ht="12.75">
      <c r="A154" s="67" t="s">
        <v>122</v>
      </c>
      <c r="B154" s="9" t="s">
        <v>176</v>
      </c>
      <c r="C154" s="10">
        <v>624126</v>
      </c>
      <c r="D154" s="10">
        <v>624126</v>
      </c>
      <c r="E154" s="10">
        <v>533334</v>
      </c>
    </row>
    <row r="155" spans="1:5" ht="13.5" thickBot="1">
      <c r="A155" s="132" t="s">
        <v>126</v>
      </c>
      <c r="B155" s="20" t="s">
        <v>177</v>
      </c>
      <c r="C155" s="21">
        <v>2000</v>
      </c>
      <c r="D155" s="21">
        <v>2000</v>
      </c>
      <c r="E155" s="21">
        <v>0</v>
      </c>
    </row>
    <row r="161" spans="1:5" ht="12.75">
      <c r="A161" s="133"/>
      <c r="B161" s="134"/>
      <c r="C161" s="134"/>
      <c r="D161" s="134"/>
      <c r="E161" s="134"/>
    </row>
    <row r="162" spans="1:5" ht="13.5" thickBot="1">
      <c r="A162" s="134"/>
      <c r="B162" s="111"/>
      <c r="C162" s="111"/>
      <c r="D162" s="111"/>
      <c r="E162" s="111"/>
    </row>
    <row r="163" spans="1:5" ht="24" customHeight="1" thickBot="1">
      <c r="A163" s="456" t="s">
        <v>178</v>
      </c>
      <c r="B163" s="457"/>
      <c r="C163" s="457"/>
      <c r="D163" s="457"/>
      <c r="E163" s="458"/>
    </row>
    <row r="164" spans="1:5" ht="12.75">
      <c r="A164" s="450" t="s">
        <v>2</v>
      </c>
      <c r="B164" s="451"/>
      <c r="C164" s="441" t="s">
        <v>3</v>
      </c>
      <c r="D164" s="441" t="s">
        <v>245</v>
      </c>
      <c r="E164" s="441" t="s">
        <v>243</v>
      </c>
    </row>
    <row r="165" spans="1:5" ht="13.5" thickBot="1">
      <c r="A165" s="459"/>
      <c r="B165" s="460"/>
      <c r="C165" s="461"/>
      <c r="D165" s="442"/>
      <c r="E165" s="442"/>
    </row>
    <row r="166" spans="1:5" ht="17.25" customHeight="1" thickBot="1">
      <c r="A166" s="446" t="s">
        <v>179</v>
      </c>
      <c r="B166" s="436"/>
      <c r="C166" s="135">
        <f>SUM(C167:C169)</f>
        <v>332574</v>
      </c>
      <c r="D166" s="135">
        <f>SUM(D167:D169)</f>
        <v>320397</v>
      </c>
      <c r="E166" s="135">
        <f>SUM(E167:E169)</f>
        <v>40208</v>
      </c>
    </row>
    <row r="167" spans="1:6" ht="12.75" customHeight="1">
      <c r="A167" s="136">
        <v>411</v>
      </c>
      <c r="B167" s="137" t="s">
        <v>180</v>
      </c>
      <c r="C167" s="138">
        <v>427</v>
      </c>
      <c r="D167" s="138">
        <v>427</v>
      </c>
      <c r="E167" s="138">
        <v>0</v>
      </c>
      <c r="F167" s="140"/>
    </row>
    <row r="168" spans="1:5" ht="12.75">
      <c r="A168" s="139">
        <v>454</v>
      </c>
      <c r="B168" s="41" t="s">
        <v>181</v>
      </c>
      <c r="C168" s="42">
        <f>8123+33723</f>
        <v>41846</v>
      </c>
      <c r="D168" s="355">
        <v>27735</v>
      </c>
      <c r="E168" s="42">
        <v>0</v>
      </c>
    </row>
    <row r="169" spans="1:7" ht="13.5" thickBot="1">
      <c r="A169" s="141">
        <v>513</v>
      </c>
      <c r="B169" s="142" t="s">
        <v>182</v>
      </c>
      <c r="C169" s="143">
        <v>290301</v>
      </c>
      <c r="D169" s="364">
        <f>290301+14111-12177</f>
        <v>292235</v>
      </c>
      <c r="E169" s="143">
        <v>40208</v>
      </c>
      <c r="F169" s="164">
        <f>D166-D167</f>
        <v>319970</v>
      </c>
      <c r="G169" s="164">
        <f>C166-C167</f>
        <v>332147</v>
      </c>
    </row>
    <row r="170" spans="1:5" ht="16.5" thickBot="1">
      <c r="A170" s="446" t="s">
        <v>183</v>
      </c>
      <c r="B170" s="436"/>
      <c r="C170" s="135">
        <f>SUM(C171:C172)</f>
        <v>16040</v>
      </c>
      <c r="D170" s="135">
        <f>SUM(D171:D172)</f>
        <v>16040</v>
      </c>
      <c r="E170" s="135">
        <f>SUM(E171:E172)</f>
        <v>5277</v>
      </c>
    </row>
    <row r="171" spans="1:6" ht="12.75">
      <c r="A171" s="144">
        <v>821</v>
      </c>
      <c r="B171" s="137" t="s">
        <v>184</v>
      </c>
      <c r="C171" s="145">
        <f>870*12+5000</f>
        <v>15440</v>
      </c>
      <c r="D171" s="145">
        <f>870*12+5000</f>
        <v>15440</v>
      </c>
      <c r="E171" s="145">
        <v>4947</v>
      </c>
      <c r="F171">
        <v>6</v>
      </c>
    </row>
    <row r="172" spans="1:5" ht="13.5" thickBot="1">
      <c r="A172" s="25">
        <v>821</v>
      </c>
      <c r="B172" s="146" t="s">
        <v>185</v>
      </c>
      <c r="C172" s="147">
        <v>600</v>
      </c>
      <c r="D172" s="147">
        <v>600</v>
      </c>
      <c r="E172" s="147">
        <v>330</v>
      </c>
    </row>
    <row r="173" spans="1:5" ht="15.75">
      <c r="A173" s="58"/>
      <c r="B173" s="110"/>
      <c r="C173" s="110"/>
      <c r="D173" s="110"/>
      <c r="E173" s="110"/>
    </row>
    <row r="174" spans="1:5" ht="15.75">
      <c r="A174" s="58"/>
      <c r="B174" s="110"/>
      <c r="C174" s="110"/>
      <c r="D174" s="110"/>
      <c r="E174" s="110"/>
    </row>
    <row r="175" spans="1:5" ht="15.75">
      <c r="A175" s="58"/>
      <c r="B175" s="110"/>
      <c r="C175" s="110"/>
      <c r="D175" s="110"/>
      <c r="E175" s="110"/>
    </row>
    <row r="176" spans="2:5" ht="13.5" thickBot="1">
      <c r="B176" s="111"/>
      <c r="C176" s="111"/>
      <c r="D176" s="111"/>
      <c r="E176" s="111"/>
    </row>
    <row r="177" spans="1:5" ht="24.75" customHeight="1" thickBot="1">
      <c r="A177" s="447" t="s">
        <v>186</v>
      </c>
      <c r="B177" s="448"/>
      <c r="C177" s="448"/>
      <c r="D177" s="448"/>
      <c r="E177" s="449"/>
    </row>
    <row r="178" spans="1:5" ht="12.75">
      <c r="A178" s="450" t="s">
        <v>2</v>
      </c>
      <c r="B178" s="451"/>
      <c r="C178" s="439" t="s">
        <v>3</v>
      </c>
      <c r="D178" s="441" t="s">
        <v>245</v>
      </c>
      <c r="E178" s="441" t="s">
        <v>243</v>
      </c>
    </row>
    <row r="179" spans="1:5" ht="13.5" thickBot="1">
      <c r="A179" s="452"/>
      <c r="B179" s="453"/>
      <c r="C179" s="440"/>
      <c r="D179" s="442"/>
      <c r="E179" s="442"/>
    </row>
    <row r="180" spans="1:5" ht="15">
      <c r="A180" s="148" t="s">
        <v>187</v>
      </c>
      <c r="B180" s="16"/>
      <c r="C180" s="84">
        <f>C67</f>
        <v>1148476</v>
      </c>
      <c r="D180" s="84">
        <f>D67</f>
        <v>1190344</v>
      </c>
      <c r="E180" s="84">
        <f>E67</f>
        <v>607723</v>
      </c>
    </row>
    <row r="181" spans="1:5" ht="15">
      <c r="A181" s="149" t="s">
        <v>188</v>
      </c>
      <c r="B181" s="9"/>
      <c r="C181" s="48">
        <f>C129</f>
        <v>1132863</v>
      </c>
      <c r="D181" s="48">
        <f>D129</f>
        <v>1147133</v>
      </c>
      <c r="E181" s="48">
        <f>E129</f>
        <v>521722</v>
      </c>
    </row>
    <row r="182" spans="1:5" ht="15.75">
      <c r="A182" s="150"/>
      <c r="B182" s="151" t="s">
        <v>189</v>
      </c>
      <c r="C182" s="152">
        <f>C180-C181</f>
        <v>15613</v>
      </c>
      <c r="D182" s="152">
        <f>D180-D181</f>
        <v>43211</v>
      </c>
      <c r="E182" s="152">
        <f>E180-E181</f>
        <v>86001</v>
      </c>
    </row>
    <row r="183" spans="1:5" ht="15">
      <c r="A183" s="149" t="s">
        <v>190</v>
      </c>
      <c r="B183" s="9"/>
      <c r="C183" s="48">
        <f>C135</f>
        <v>3347518</v>
      </c>
      <c r="D183" s="48">
        <f>D135</f>
        <v>3357298</v>
      </c>
      <c r="E183" s="48">
        <f>E135</f>
        <v>506742.8</v>
      </c>
    </row>
    <row r="184" spans="1:5" ht="15">
      <c r="A184" s="149" t="s">
        <v>191</v>
      </c>
      <c r="B184" s="9"/>
      <c r="C184" s="10">
        <f>C142</f>
        <v>3679665</v>
      </c>
      <c r="D184" s="10">
        <f>D142</f>
        <v>3704866</v>
      </c>
      <c r="E184" s="10">
        <f>E142</f>
        <v>543418</v>
      </c>
    </row>
    <row r="185" spans="1:5" ht="15.75">
      <c r="A185" s="150"/>
      <c r="B185" s="153" t="s">
        <v>192</v>
      </c>
      <c r="C185" s="152">
        <f>C183-C184</f>
        <v>-332147</v>
      </c>
      <c r="D185" s="152">
        <f>D183-D184</f>
        <v>-347568</v>
      </c>
      <c r="E185" s="152">
        <f>E183-E184</f>
        <v>-36675.20000000001</v>
      </c>
    </row>
    <row r="186" spans="1:5" ht="15">
      <c r="A186" s="437" t="s">
        <v>193</v>
      </c>
      <c r="B186" s="438"/>
      <c r="C186" s="79">
        <f>C166</f>
        <v>332574</v>
      </c>
      <c r="D186" s="79">
        <f>D166</f>
        <v>320397</v>
      </c>
      <c r="E186" s="79">
        <f>E166</f>
        <v>40208</v>
      </c>
    </row>
    <row r="187" spans="1:5" ht="15">
      <c r="A187" s="437" t="s">
        <v>194</v>
      </c>
      <c r="B187" s="438"/>
      <c r="C187" s="79">
        <f>C170</f>
        <v>16040</v>
      </c>
      <c r="D187" s="79">
        <f>D170</f>
        <v>16040</v>
      </c>
      <c r="E187" s="79">
        <f>E170</f>
        <v>5277</v>
      </c>
    </row>
    <row r="188" spans="1:5" ht="16.5" thickBot="1">
      <c r="A188" s="154"/>
      <c r="B188" s="155" t="s">
        <v>195</v>
      </c>
      <c r="C188" s="156">
        <f>C186-C187</f>
        <v>316534</v>
      </c>
      <c r="D188" s="156">
        <f>D186-D187</f>
        <v>304357</v>
      </c>
      <c r="E188" s="156">
        <f>E186-E187</f>
        <v>34931</v>
      </c>
    </row>
    <row r="189" spans="1:5" ht="16.5" thickBot="1">
      <c r="A189" s="443" t="s">
        <v>196</v>
      </c>
      <c r="B189" s="444"/>
      <c r="C189" s="157">
        <f>C182+C185+C188</f>
        <v>0</v>
      </c>
      <c r="D189" s="157">
        <f>D182+D185+D188</f>
        <v>0</v>
      </c>
      <c r="E189" s="157">
        <f>E182+E185+E188</f>
        <v>84256.79999999999</v>
      </c>
    </row>
    <row r="191" spans="2:5" ht="12.75">
      <c r="B191" s="158" t="s">
        <v>197</v>
      </c>
      <c r="C191" s="164">
        <f aca="true" t="shared" si="0" ref="C191:E192">C180+C183+C186</f>
        <v>4828568</v>
      </c>
      <c r="D191" s="164">
        <f t="shared" si="0"/>
        <v>4868039</v>
      </c>
      <c r="E191" s="164">
        <f t="shared" si="0"/>
        <v>1154673.8</v>
      </c>
    </row>
    <row r="192" spans="2:5" ht="12.75">
      <c r="B192" s="158" t="s">
        <v>198</v>
      </c>
      <c r="C192" s="164">
        <f t="shared" si="0"/>
        <v>4828568</v>
      </c>
      <c r="D192" s="164">
        <f t="shared" si="0"/>
        <v>4868039</v>
      </c>
      <c r="E192" s="164">
        <f t="shared" si="0"/>
        <v>1070417</v>
      </c>
    </row>
    <row r="193" spans="2:5" ht="12.75">
      <c r="B193" s="158"/>
      <c r="C193" s="164"/>
      <c r="D193" s="164"/>
      <c r="E193" s="164"/>
    </row>
    <row r="194" spans="2:5" ht="12.75">
      <c r="B194" s="158" t="s">
        <v>199</v>
      </c>
      <c r="C194" s="164">
        <f>C191-C66</f>
        <v>4827028</v>
      </c>
      <c r="D194" s="164">
        <f>D191-D66</f>
        <v>4866497</v>
      </c>
      <c r="E194" s="164">
        <f>E191-E66</f>
        <v>1154519.8</v>
      </c>
    </row>
    <row r="195" spans="2:5" ht="12.75">
      <c r="B195" s="158" t="s">
        <v>200</v>
      </c>
      <c r="C195" s="164">
        <f>C192-C128</f>
        <v>4509542</v>
      </c>
      <c r="D195" s="164">
        <f>D192-D128</f>
        <v>4545475</v>
      </c>
      <c r="E195" s="164">
        <f>E192-E128</f>
        <v>909271</v>
      </c>
    </row>
  </sheetData>
  <sheetProtection/>
  <mergeCells count="43">
    <mergeCell ref="A186:B186"/>
    <mergeCell ref="A187:B187"/>
    <mergeCell ref="A189:B189"/>
    <mergeCell ref="A166:B166"/>
    <mergeCell ref="A170:B170"/>
    <mergeCell ref="A177:E177"/>
    <mergeCell ref="A178:B179"/>
    <mergeCell ref="E178:E179"/>
    <mergeCell ref="C178:C179"/>
    <mergeCell ref="D178:D179"/>
    <mergeCell ref="A164:B165"/>
    <mergeCell ref="E164:E165"/>
    <mergeCell ref="C164:C165"/>
    <mergeCell ref="D164:D165"/>
    <mergeCell ref="A109:B109"/>
    <mergeCell ref="A128:B128"/>
    <mergeCell ref="A132:E132"/>
    <mergeCell ref="A163:E163"/>
    <mergeCell ref="A135:B135"/>
    <mergeCell ref="C133:C134"/>
    <mergeCell ref="D133:D134"/>
    <mergeCell ref="A142:B142"/>
    <mergeCell ref="A133:B134"/>
    <mergeCell ref="C6:C7"/>
    <mergeCell ref="D6:D7"/>
    <mergeCell ref="E133:E134"/>
    <mergeCell ref="A69:E69"/>
    <mergeCell ref="A70:B71"/>
    <mergeCell ref="E70:E71"/>
    <mergeCell ref="C70:C71"/>
    <mergeCell ref="D70:D71"/>
    <mergeCell ref="A77:B77"/>
    <mergeCell ref="A79:B79"/>
    <mergeCell ref="A36:B36"/>
    <mergeCell ref="A38:B38"/>
    <mergeCell ref="A1:E1"/>
    <mergeCell ref="A2:E2"/>
    <mergeCell ref="A3:E3"/>
    <mergeCell ref="A5:E5"/>
    <mergeCell ref="A6:B7"/>
    <mergeCell ref="E6:E7"/>
    <mergeCell ref="A8:B8"/>
    <mergeCell ref="A17:B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75390625" style="0" customWidth="1"/>
    <col min="2" max="2" width="43.75390625" style="0" customWidth="1"/>
    <col min="3" max="3" width="11.375" style="0" customWidth="1"/>
    <col min="4" max="4" width="11.875" style="0" customWidth="1"/>
  </cols>
  <sheetData>
    <row r="1" spans="1:4" ht="20.25">
      <c r="A1" s="476" t="s">
        <v>0</v>
      </c>
      <c r="B1" s="476"/>
      <c r="C1" s="476"/>
      <c r="D1" s="476"/>
    </row>
    <row r="2" spans="1:4" ht="12.75">
      <c r="A2" s="477"/>
      <c r="B2" s="477"/>
      <c r="C2" s="477"/>
      <c r="D2" s="477"/>
    </row>
    <row r="3" spans="1:4" ht="12.75">
      <c r="A3" s="445" t="s">
        <v>242</v>
      </c>
      <c r="B3" s="445"/>
      <c r="C3" s="445"/>
      <c r="D3" s="445"/>
    </row>
    <row r="4" ht="13.5" thickBot="1"/>
    <row r="5" spans="1:4" ht="18.75" thickBot="1">
      <c r="A5" s="478" t="s">
        <v>1</v>
      </c>
      <c r="B5" s="479"/>
      <c r="C5" s="479"/>
      <c r="D5" s="480"/>
    </row>
    <row r="6" spans="1:4" ht="12.75">
      <c r="A6" s="450" t="s">
        <v>2</v>
      </c>
      <c r="B6" s="451"/>
      <c r="C6" s="441" t="s">
        <v>3</v>
      </c>
      <c r="D6" s="441" t="s">
        <v>243</v>
      </c>
    </row>
    <row r="7" spans="1:4" ht="13.5" thickBot="1">
      <c r="A7" s="474"/>
      <c r="B7" s="475"/>
      <c r="C7" s="442"/>
      <c r="D7" s="442"/>
    </row>
    <row r="8" spans="1:4" ht="13.5" thickBot="1">
      <c r="A8" s="469" t="s">
        <v>4</v>
      </c>
      <c r="B8" s="470"/>
      <c r="C8" s="1">
        <f>SUM(C9:C16)</f>
        <v>667312</v>
      </c>
      <c r="D8" s="1">
        <f>SUM(D9:D16)</f>
        <v>204714</v>
      </c>
    </row>
    <row r="9" spans="1:4" ht="13.5" thickBot="1">
      <c r="A9" s="2">
        <v>111</v>
      </c>
      <c r="B9" s="3" t="s">
        <v>5</v>
      </c>
      <c r="C9" s="4">
        <v>625000</v>
      </c>
      <c r="D9" s="4">
        <v>186198</v>
      </c>
    </row>
    <row r="10" spans="1:4" ht="12.75">
      <c r="A10" s="5">
        <v>121</v>
      </c>
      <c r="B10" s="6" t="s">
        <v>6</v>
      </c>
      <c r="C10" s="7">
        <v>12200</v>
      </c>
      <c r="D10" s="7">
        <v>3078</v>
      </c>
    </row>
    <row r="11" spans="1:4" ht="12.75">
      <c r="A11" s="8">
        <v>121</v>
      </c>
      <c r="B11" s="9" t="s">
        <v>7</v>
      </c>
      <c r="C11" s="10">
        <v>13200</v>
      </c>
      <c r="D11" s="10">
        <v>6770</v>
      </c>
    </row>
    <row r="12" spans="1:5" ht="13.5" thickBot="1">
      <c r="A12" s="11">
        <v>121</v>
      </c>
      <c r="B12" s="12" t="s">
        <v>8</v>
      </c>
      <c r="C12" s="13">
        <v>70</v>
      </c>
      <c r="D12" s="13">
        <v>47</v>
      </c>
      <c r="E12" s="14">
        <f>SUM(D10:D12)</f>
        <v>9895</v>
      </c>
    </row>
    <row r="13" spans="1:4" ht="12.75">
      <c r="A13" s="5">
        <v>133</v>
      </c>
      <c r="B13" s="6" t="s">
        <v>9</v>
      </c>
      <c r="C13" s="7">
        <v>510</v>
      </c>
      <c r="D13" s="7">
        <v>447</v>
      </c>
    </row>
    <row r="14" spans="1:4" ht="12.75">
      <c r="A14" s="8">
        <v>133</v>
      </c>
      <c r="B14" s="9" t="s">
        <v>10</v>
      </c>
      <c r="C14" s="10">
        <v>332</v>
      </c>
      <c r="D14" s="10">
        <v>332</v>
      </c>
    </row>
    <row r="15" spans="1:4" ht="12.75">
      <c r="A15" s="8">
        <v>133</v>
      </c>
      <c r="B15" s="9" t="s">
        <v>11</v>
      </c>
      <c r="C15" s="10">
        <v>2200</v>
      </c>
      <c r="D15" s="10">
        <v>409</v>
      </c>
    </row>
    <row r="16" spans="1:5" ht="13.5" thickBot="1">
      <c r="A16" s="11">
        <v>133</v>
      </c>
      <c r="B16" s="12" t="s">
        <v>12</v>
      </c>
      <c r="C16" s="13">
        <v>13800</v>
      </c>
      <c r="D16" s="13">
        <v>7433</v>
      </c>
      <c r="E16" s="14">
        <f>SUM(D13:D16)</f>
        <v>8621</v>
      </c>
    </row>
    <row r="17" spans="1:4" ht="13.5" thickBot="1">
      <c r="A17" s="469" t="s">
        <v>13</v>
      </c>
      <c r="B17" s="470"/>
      <c r="C17" s="1">
        <f>SUM(C18:C35)</f>
        <v>88314</v>
      </c>
      <c r="D17" s="1">
        <f>SUM(D18:D35)</f>
        <v>21789</v>
      </c>
    </row>
    <row r="18" spans="1:4" ht="12.75">
      <c r="A18" s="15">
        <v>212</v>
      </c>
      <c r="B18" s="16" t="s">
        <v>14</v>
      </c>
      <c r="C18" s="17">
        <f>477+165</f>
        <v>642</v>
      </c>
      <c r="D18" s="17">
        <v>221</v>
      </c>
    </row>
    <row r="19" spans="1:4" ht="12.75">
      <c r="A19" s="5">
        <v>212</v>
      </c>
      <c r="B19" s="6" t="s">
        <v>15</v>
      </c>
      <c r="C19" s="7">
        <v>1000</v>
      </c>
      <c r="D19" s="7">
        <v>50</v>
      </c>
    </row>
    <row r="20" spans="1:4" ht="12.75">
      <c r="A20" s="8">
        <v>212</v>
      </c>
      <c r="B20" s="9" t="s">
        <v>16</v>
      </c>
      <c r="C20" s="10">
        <v>3682</v>
      </c>
      <c r="D20" s="10">
        <v>975</v>
      </c>
    </row>
    <row r="21" spans="1:5" ht="12.75">
      <c r="A21" s="8">
        <v>212</v>
      </c>
      <c r="B21" s="9" t="s">
        <v>17</v>
      </c>
      <c r="C21" s="10">
        <v>12000</v>
      </c>
      <c r="D21" s="10">
        <v>2398</v>
      </c>
      <c r="E21" s="18"/>
    </row>
    <row r="22" spans="1:5" ht="13.5" thickBot="1">
      <c r="A22" s="19">
        <v>212</v>
      </c>
      <c r="B22" s="20" t="s">
        <v>18</v>
      </c>
      <c r="C22" s="21">
        <v>20</v>
      </c>
      <c r="D22" s="21">
        <v>0</v>
      </c>
      <c r="E22" s="14">
        <f>SUM(D18:D22)</f>
        <v>3644</v>
      </c>
    </row>
    <row r="23" spans="1:4" ht="13.5" thickBot="1">
      <c r="A23" s="22">
        <v>221</v>
      </c>
      <c r="B23" s="23" t="s">
        <v>19</v>
      </c>
      <c r="C23" s="24">
        <v>9900</v>
      </c>
      <c r="D23" s="24">
        <v>8221</v>
      </c>
    </row>
    <row r="24" spans="1:4" ht="13.5" thickBot="1">
      <c r="A24" s="22">
        <v>222</v>
      </c>
      <c r="B24" s="23" t="s">
        <v>20</v>
      </c>
      <c r="C24" s="24">
        <v>100</v>
      </c>
      <c r="D24" s="24">
        <v>50</v>
      </c>
    </row>
    <row r="25" spans="1:4" ht="12.75">
      <c r="A25" s="5">
        <v>223</v>
      </c>
      <c r="B25" s="6" t="s">
        <v>21</v>
      </c>
      <c r="C25" s="7">
        <v>800</v>
      </c>
      <c r="D25" s="7">
        <v>164</v>
      </c>
    </row>
    <row r="26" spans="1:4" ht="12.75">
      <c r="A26" s="8">
        <v>223</v>
      </c>
      <c r="B26" s="9" t="s">
        <v>22</v>
      </c>
      <c r="C26" s="10">
        <v>420</v>
      </c>
      <c r="D26" s="10">
        <v>240</v>
      </c>
    </row>
    <row r="27" spans="1:4" ht="12.75">
      <c r="A27" s="8">
        <v>223</v>
      </c>
      <c r="B27" s="9" t="s">
        <v>23</v>
      </c>
      <c r="C27" s="10">
        <v>8000</v>
      </c>
      <c r="D27" s="10">
        <v>1930</v>
      </c>
    </row>
    <row r="28" spans="1:4" ht="12.75">
      <c r="A28" s="8">
        <v>223</v>
      </c>
      <c r="B28" s="9" t="s">
        <v>24</v>
      </c>
      <c r="C28" s="10">
        <v>12000</v>
      </c>
      <c r="D28" s="10">
        <v>12</v>
      </c>
    </row>
    <row r="29" spans="1:4" ht="12.75">
      <c r="A29" s="8">
        <v>223</v>
      </c>
      <c r="B29" s="9" t="s">
        <v>25</v>
      </c>
      <c r="C29" s="10">
        <v>2000</v>
      </c>
      <c r="D29" s="10">
        <v>108</v>
      </c>
    </row>
    <row r="30" spans="1:4" ht="12.75">
      <c r="A30" s="8">
        <v>223</v>
      </c>
      <c r="B30" s="9" t="s">
        <v>26</v>
      </c>
      <c r="C30" s="10">
        <v>650</v>
      </c>
      <c r="D30" s="10">
        <v>185</v>
      </c>
    </row>
    <row r="31" spans="1:4" ht="12.75">
      <c r="A31" s="8">
        <v>223</v>
      </c>
      <c r="B31" s="9" t="s">
        <v>27</v>
      </c>
      <c r="C31" s="10">
        <v>18000</v>
      </c>
      <c r="D31" s="10">
        <v>3957</v>
      </c>
    </row>
    <row r="32" spans="1:4" ht="12.75">
      <c r="A32" s="8">
        <v>223</v>
      </c>
      <c r="B32" s="9" t="s">
        <v>28</v>
      </c>
      <c r="C32" s="10">
        <v>6000</v>
      </c>
      <c r="D32" s="10">
        <v>1982</v>
      </c>
    </row>
    <row r="33" spans="1:4" ht="12.75">
      <c r="A33" s="8">
        <v>223</v>
      </c>
      <c r="B33" s="9" t="s">
        <v>29</v>
      </c>
      <c r="C33" s="10">
        <v>1000</v>
      </c>
      <c r="D33" s="10">
        <v>329</v>
      </c>
    </row>
    <row r="34" spans="1:4" ht="12.75">
      <c r="A34" s="8">
        <v>223</v>
      </c>
      <c r="B34" s="9" t="s">
        <v>206</v>
      </c>
      <c r="C34" s="10">
        <v>12000</v>
      </c>
      <c r="D34" s="10">
        <v>967</v>
      </c>
    </row>
    <row r="35" spans="1:5" ht="13.5" thickBot="1">
      <c r="A35" s="11">
        <v>223</v>
      </c>
      <c r="B35" s="12" t="s">
        <v>31</v>
      </c>
      <c r="C35" s="13">
        <v>100</v>
      </c>
      <c r="D35" s="13">
        <v>0</v>
      </c>
      <c r="E35" s="14">
        <f>SUM(D25:D35)</f>
        <v>9874</v>
      </c>
    </row>
    <row r="36" spans="1:4" ht="13.5" thickBot="1">
      <c r="A36" s="469" t="s">
        <v>32</v>
      </c>
      <c r="B36" s="470"/>
      <c r="C36" s="1">
        <f>SUM(C37)</f>
        <v>200</v>
      </c>
      <c r="D36" s="1">
        <f>SUM(D37)</f>
        <v>54</v>
      </c>
    </row>
    <row r="37" spans="1:4" ht="13.5" thickBot="1">
      <c r="A37" s="25">
        <v>240</v>
      </c>
      <c r="B37" s="20" t="s">
        <v>33</v>
      </c>
      <c r="C37" s="21">
        <v>200</v>
      </c>
      <c r="D37" s="21">
        <v>54</v>
      </c>
    </row>
    <row r="38" spans="1:4" ht="13.5" thickBot="1">
      <c r="A38" s="469" t="s">
        <v>34</v>
      </c>
      <c r="B38" s="470"/>
      <c r="C38" s="1">
        <f>SUM(C39:C49)</f>
        <v>24182</v>
      </c>
      <c r="D38" s="1">
        <f>SUM(D39:D49)</f>
        <v>10559</v>
      </c>
    </row>
    <row r="39" spans="1:5" ht="12.75">
      <c r="A39" s="26">
        <v>292</v>
      </c>
      <c r="B39" s="27" t="s">
        <v>35</v>
      </c>
      <c r="C39" s="28">
        <v>0</v>
      </c>
      <c r="D39" s="28">
        <v>0</v>
      </c>
      <c r="E39" s="29"/>
    </row>
    <row r="40" spans="1:4" ht="12.75">
      <c r="A40" s="26">
        <v>292</v>
      </c>
      <c r="B40" s="27" t="s">
        <v>36</v>
      </c>
      <c r="C40" s="28">
        <v>200</v>
      </c>
      <c r="D40" s="28">
        <v>152</v>
      </c>
    </row>
    <row r="41" spans="1:4" ht="12.75">
      <c r="A41" s="30">
        <v>292</v>
      </c>
      <c r="B41" s="31" t="s">
        <v>37</v>
      </c>
      <c r="C41" s="32">
        <v>5570</v>
      </c>
      <c r="D41" s="32">
        <v>5570</v>
      </c>
    </row>
    <row r="42" spans="1:4" ht="12.75">
      <c r="A42" s="30">
        <v>292</v>
      </c>
      <c r="B42" s="9" t="s">
        <v>38</v>
      </c>
      <c r="C42" s="33">
        <v>140</v>
      </c>
      <c r="D42" s="33">
        <v>0</v>
      </c>
    </row>
    <row r="43" spans="1:4" ht="12.75">
      <c r="A43" s="30">
        <v>292</v>
      </c>
      <c r="B43" s="31" t="s">
        <v>39</v>
      </c>
      <c r="C43" s="32">
        <v>7000</v>
      </c>
      <c r="D43" s="32">
        <f>615+228</f>
        <v>843</v>
      </c>
    </row>
    <row r="44" spans="1:4" ht="12.75">
      <c r="A44" s="30">
        <v>292</v>
      </c>
      <c r="B44" s="31" t="s">
        <v>40</v>
      </c>
      <c r="C44" s="32">
        <v>200</v>
      </c>
      <c r="D44" s="32">
        <v>99</v>
      </c>
    </row>
    <row r="45" spans="1:4" ht="12.75">
      <c r="A45" s="30">
        <v>292</v>
      </c>
      <c r="B45" s="31" t="s">
        <v>41</v>
      </c>
      <c r="C45" s="32">
        <v>1872</v>
      </c>
      <c r="D45" s="32">
        <v>1872</v>
      </c>
    </row>
    <row r="46" spans="1:4" ht="12.75">
      <c r="A46" s="30">
        <v>292</v>
      </c>
      <c r="B46" s="9" t="s">
        <v>42</v>
      </c>
      <c r="C46" s="33">
        <v>8000</v>
      </c>
      <c r="D46" s="33">
        <v>1928</v>
      </c>
    </row>
    <row r="47" spans="1:4" ht="12.75">
      <c r="A47" s="30">
        <v>292</v>
      </c>
      <c r="B47" s="9" t="s">
        <v>43</v>
      </c>
      <c r="C47" s="33">
        <v>1000</v>
      </c>
      <c r="D47" s="33">
        <v>65</v>
      </c>
    </row>
    <row r="48" spans="1:4" ht="12.75">
      <c r="A48" s="30">
        <v>292</v>
      </c>
      <c r="B48" s="9" t="s">
        <v>44</v>
      </c>
      <c r="C48" s="33">
        <v>100</v>
      </c>
      <c r="D48" s="33">
        <v>30</v>
      </c>
    </row>
    <row r="49" spans="1:4" ht="13.5" thickBot="1">
      <c r="A49" s="34">
        <v>292</v>
      </c>
      <c r="B49" s="20" t="s">
        <v>45</v>
      </c>
      <c r="C49" s="35">
        <v>100</v>
      </c>
      <c r="D49" s="35">
        <v>0</v>
      </c>
    </row>
    <row r="50" spans="1:4" ht="13.5" thickBot="1">
      <c r="A50" s="36" t="s">
        <v>46</v>
      </c>
      <c r="B50" s="37"/>
      <c r="C50" s="38">
        <f>SUM(C51:C64)</f>
        <v>366928</v>
      </c>
      <c r="D50" s="38">
        <f>SUM(D51:D64)</f>
        <v>88341</v>
      </c>
    </row>
    <row r="51" spans="1:4" ht="12.75">
      <c r="A51" s="39">
        <v>311</v>
      </c>
      <c r="B51" s="6" t="s">
        <v>47</v>
      </c>
      <c r="C51" s="7">
        <v>50</v>
      </c>
      <c r="D51" s="7">
        <v>50</v>
      </c>
    </row>
    <row r="52" spans="1:4" ht="12.75">
      <c r="A52" s="40">
        <v>312</v>
      </c>
      <c r="B52" s="9" t="s">
        <v>48</v>
      </c>
      <c r="C52" s="10">
        <v>3720</v>
      </c>
      <c r="D52" s="10">
        <v>1164</v>
      </c>
    </row>
    <row r="53" spans="1:4" ht="12.75">
      <c r="A53" s="40">
        <v>312</v>
      </c>
      <c r="B53" s="41" t="s">
        <v>49</v>
      </c>
      <c r="C53" s="42">
        <v>3110</v>
      </c>
      <c r="D53" s="42">
        <v>659</v>
      </c>
    </row>
    <row r="54" spans="1:4" ht="12.75">
      <c r="A54" s="40">
        <v>312</v>
      </c>
      <c r="B54" s="43" t="s">
        <v>50</v>
      </c>
      <c r="C54" s="44">
        <f>289106+6020+5400</f>
        <v>300526</v>
      </c>
      <c r="D54" s="44">
        <f>76079-647</f>
        <v>75432</v>
      </c>
    </row>
    <row r="55" spans="1:4" ht="12.75">
      <c r="A55" s="40">
        <v>312</v>
      </c>
      <c r="B55" s="45" t="s">
        <v>51</v>
      </c>
      <c r="C55" s="46">
        <v>2589</v>
      </c>
      <c r="D55" s="46">
        <v>647</v>
      </c>
    </row>
    <row r="56" spans="1:4" ht="12.75">
      <c r="A56" s="40">
        <v>312</v>
      </c>
      <c r="B56" s="41" t="s">
        <v>52</v>
      </c>
      <c r="C56" s="46">
        <v>2753</v>
      </c>
      <c r="D56" s="46">
        <v>0</v>
      </c>
    </row>
    <row r="57" spans="1:4" ht="12.75">
      <c r="A57" s="40">
        <v>312</v>
      </c>
      <c r="B57" s="45" t="s">
        <v>53</v>
      </c>
      <c r="C57" s="46">
        <v>100</v>
      </c>
      <c r="D57" s="46">
        <v>0</v>
      </c>
    </row>
    <row r="58" spans="1:4" ht="12.75">
      <c r="A58" s="40">
        <v>312</v>
      </c>
      <c r="B58" s="9" t="s">
        <v>54</v>
      </c>
      <c r="C58" s="10">
        <v>12350</v>
      </c>
      <c r="D58" s="10">
        <v>2933</v>
      </c>
    </row>
    <row r="59" spans="1:4" ht="12.75">
      <c r="A59" s="40">
        <v>312</v>
      </c>
      <c r="B59" s="9" t="s">
        <v>55</v>
      </c>
      <c r="C59" s="10">
        <v>0</v>
      </c>
      <c r="D59" s="10">
        <v>0</v>
      </c>
    </row>
    <row r="60" spans="1:4" ht="12.75">
      <c r="A60" s="40">
        <v>312</v>
      </c>
      <c r="B60" s="9" t="s">
        <v>56</v>
      </c>
      <c r="C60" s="10">
        <v>14000</v>
      </c>
      <c r="D60" s="10">
        <v>694</v>
      </c>
    </row>
    <row r="61" spans="1:4" ht="12.75">
      <c r="A61" s="40">
        <v>312</v>
      </c>
      <c r="B61" s="47" t="s">
        <v>57</v>
      </c>
      <c r="C61" s="48">
        <v>1800</v>
      </c>
      <c r="D61" s="48">
        <v>244</v>
      </c>
    </row>
    <row r="62" spans="1:4" ht="12.75">
      <c r="A62" s="40">
        <v>312</v>
      </c>
      <c r="B62" s="47" t="s">
        <v>58</v>
      </c>
      <c r="C62" s="48">
        <v>9000</v>
      </c>
      <c r="D62" s="48">
        <v>2318</v>
      </c>
    </row>
    <row r="63" spans="1:4" ht="12.75">
      <c r="A63" s="40">
        <v>312</v>
      </c>
      <c r="B63" s="47" t="s">
        <v>59</v>
      </c>
      <c r="C63" s="48">
        <v>16930</v>
      </c>
      <c r="D63" s="48">
        <v>4200</v>
      </c>
    </row>
    <row r="64" spans="1:4" ht="13.5" thickBot="1">
      <c r="A64" s="49">
        <v>312</v>
      </c>
      <c r="B64" s="50" t="s">
        <v>60</v>
      </c>
      <c r="C64" s="51">
        <v>0</v>
      </c>
      <c r="D64" s="51">
        <v>0</v>
      </c>
    </row>
    <row r="65" spans="1:4" ht="16.5" thickBot="1">
      <c r="A65" s="52" t="s">
        <v>61</v>
      </c>
      <c r="B65" s="53"/>
      <c r="C65" s="54">
        <f>SUM(C8+C17+C36+C38+C50)</f>
        <v>1146936</v>
      </c>
      <c r="D65" s="54">
        <f>SUM(D8+D17+D36+D38+D50)</f>
        <v>325457</v>
      </c>
    </row>
    <row r="66" spans="1:4" ht="16.5" thickBot="1">
      <c r="A66" s="55"/>
      <c r="B66" s="56" t="s">
        <v>62</v>
      </c>
      <c r="C66" s="57">
        <v>1540</v>
      </c>
      <c r="D66" s="57">
        <v>0</v>
      </c>
    </row>
    <row r="67" spans="1:4" ht="16.5" thickBot="1">
      <c r="A67" s="52" t="s">
        <v>63</v>
      </c>
      <c r="B67" s="37"/>
      <c r="C67" s="54">
        <f>SUM(C65:C66)</f>
        <v>1148476</v>
      </c>
      <c r="D67" s="54">
        <f>SUM(D65:D66)</f>
        <v>325457</v>
      </c>
    </row>
    <row r="68" spans="1:4" ht="16.5" thickBot="1">
      <c r="A68" s="58"/>
      <c r="B68" s="59"/>
      <c r="C68" s="59"/>
      <c r="D68" s="59"/>
    </row>
    <row r="69" spans="1:5" ht="18.75" thickBot="1">
      <c r="A69" s="471" t="s">
        <v>64</v>
      </c>
      <c r="B69" s="472"/>
      <c r="C69" s="472"/>
      <c r="D69" s="473"/>
      <c r="E69" s="60"/>
    </row>
    <row r="70" spans="1:4" ht="12.75" customHeight="1">
      <c r="A70" s="450" t="s">
        <v>2</v>
      </c>
      <c r="B70" s="451"/>
      <c r="C70" s="441" t="s">
        <v>3</v>
      </c>
      <c r="D70" s="441" t="s">
        <v>243</v>
      </c>
    </row>
    <row r="71" spans="1:4" ht="13.5" thickBot="1">
      <c r="A71" s="474"/>
      <c r="B71" s="475"/>
      <c r="C71" s="442"/>
      <c r="D71" s="442"/>
    </row>
    <row r="72" spans="1:4" ht="13.5" thickBot="1">
      <c r="A72" s="61" t="s">
        <v>65</v>
      </c>
      <c r="B72" s="62"/>
      <c r="C72" s="63">
        <f>SUM(C73:C76)</f>
        <v>159213</v>
      </c>
      <c r="D72" s="63">
        <f>SUM(D73:D76)</f>
        <v>32707</v>
      </c>
    </row>
    <row r="73" spans="1:4" ht="12.75">
      <c r="A73" s="64" t="s">
        <v>66</v>
      </c>
      <c r="B73" s="65" t="s">
        <v>67</v>
      </c>
      <c r="C73" s="66">
        <v>135500</v>
      </c>
      <c r="D73" s="66">
        <v>28763</v>
      </c>
    </row>
    <row r="74" spans="1:4" ht="12.75">
      <c r="A74" s="67" t="s">
        <v>68</v>
      </c>
      <c r="B74" s="47" t="s">
        <v>69</v>
      </c>
      <c r="C74" s="48">
        <v>17240</v>
      </c>
      <c r="D74" s="48">
        <v>2907</v>
      </c>
    </row>
    <row r="75" spans="1:4" ht="12.75">
      <c r="A75" s="68" t="s">
        <v>70</v>
      </c>
      <c r="B75" s="47" t="s">
        <v>71</v>
      </c>
      <c r="C75" s="48">
        <v>3720</v>
      </c>
      <c r="D75" s="48">
        <v>1028</v>
      </c>
    </row>
    <row r="76" spans="1:4" ht="13.5" thickBot="1">
      <c r="A76" s="69" t="s">
        <v>72</v>
      </c>
      <c r="B76" s="70" t="s">
        <v>73</v>
      </c>
      <c r="C76" s="71">
        <v>2753</v>
      </c>
      <c r="D76" s="71">
        <v>9</v>
      </c>
    </row>
    <row r="77" spans="1:4" ht="13.5" thickBot="1">
      <c r="A77" s="462" t="s">
        <v>74</v>
      </c>
      <c r="B77" s="463"/>
      <c r="C77" s="63">
        <f>SUM(C78)</f>
        <v>140</v>
      </c>
      <c r="D77" s="63">
        <f>SUM(D78)</f>
        <v>0</v>
      </c>
    </row>
    <row r="78" spans="1:4" ht="13.5" thickBot="1">
      <c r="A78" s="72" t="s">
        <v>75</v>
      </c>
      <c r="B78" s="59" t="s">
        <v>76</v>
      </c>
      <c r="C78" s="73">
        <v>140</v>
      </c>
      <c r="D78" s="73">
        <v>0</v>
      </c>
    </row>
    <row r="79" spans="1:4" ht="13.5" thickBot="1">
      <c r="A79" s="462" t="s">
        <v>77</v>
      </c>
      <c r="B79" s="463"/>
      <c r="C79" s="63">
        <f>SUM(C80)</f>
        <v>5000</v>
      </c>
      <c r="D79" s="63">
        <f>SUM(D80)</f>
        <v>620</v>
      </c>
    </row>
    <row r="80" spans="1:4" ht="13.5" thickBot="1">
      <c r="A80" s="74" t="s">
        <v>78</v>
      </c>
      <c r="B80" s="75" t="s">
        <v>79</v>
      </c>
      <c r="C80" s="76">
        <v>5000</v>
      </c>
      <c r="D80" s="76">
        <v>620</v>
      </c>
    </row>
    <row r="81" spans="1:4" ht="13.5" thickBot="1">
      <c r="A81" s="61" t="s">
        <v>80</v>
      </c>
      <c r="B81" s="77"/>
      <c r="C81" s="63">
        <f>SUM(C82:C85)</f>
        <v>137364</v>
      </c>
      <c r="D81" s="63">
        <f>SUM(D82:D85)</f>
        <v>27016</v>
      </c>
    </row>
    <row r="82" spans="1:4" ht="12.75">
      <c r="A82" s="78" t="s">
        <v>81</v>
      </c>
      <c r="B82" s="27" t="s">
        <v>82</v>
      </c>
      <c r="C82" s="28">
        <v>2000</v>
      </c>
      <c r="D82" s="28">
        <v>30</v>
      </c>
    </row>
    <row r="83" spans="1:4" ht="12.75">
      <c r="A83" s="68" t="s">
        <v>83</v>
      </c>
      <c r="B83" s="47" t="s">
        <v>84</v>
      </c>
      <c r="C83" s="48">
        <v>5500</v>
      </c>
      <c r="D83" s="48">
        <v>151</v>
      </c>
    </row>
    <row r="84" spans="1:4" ht="12.75">
      <c r="A84" s="68" t="s">
        <v>85</v>
      </c>
      <c r="B84" s="47" t="s">
        <v>86</v>
      </c>
      <c r="C84" s="79">
        <f>15000+7000</f>
        <v>22000</v>
      </c>
      <c r="D84" s="79">
        <v>2036</v>
      </c>
    </row>
    <row r="85" spans="1:4" ht="13.5" thickBot="1">
      <c r="A85" s="80" t="s">
        <v>87</v>
      </c>
      <c r="B85" s="50" t="s">
        <v>88</v>
      </c>
      <c r="C85" s="81">
        <f>110000-2782+646</f>
        <v>107864</v>
      </c>
      <c r="D85" s="81">
        <v>24799</v>
      </c>
    </row>
    <row r="86" spans="1:4" ht="13.5" thickBot="1">
      <c r="A86" s="61" t="s">
        <v>89</v>
      </c>
      <c r="B86" s="62"/>
      <c r="C86" s="63">
        <f>SUM(C87:C88)</f>
        <v>25000</v>
      </c>
      <c r="D86" s="63">
        <f>SUM(D87:D88)</f>
        <v>2899</v>
      </c>
    </row>
    <row r="87" spans="1:4" ht="12.75">
      <c r="A87" s="82" t="s">
        <v>90</v>
      </c>
      <c r="B87" s="83" t="s">
        <v>91</v>
      </c>
      <c r="C87" s="84">
        <v>20000</v>
      </c>
      <c r="D87" s="84">
        <v>2794</v>
      </c>
    </row>
    <row r="88" spans="1:4" ht="13.5" thickBot="1">
      <c r="A88" s="85" t="s">
        <v>92</v>
      </c>
      <c r="B88" s="86" t="s">
        <v>93</v>
      </c>
      <c r="C88" s="87">
        <v>5000</v>
      </c>
      <c r="D88" s="87">
        <v>105</v>
      </c>
    </row>
    <row r="89" spans="1:4" ht="13.5" thickBot="1">
      <c r="A89" s="61" t="s">
        <v>94</v>
      </c>
      <c r="B89" s="77"/>
      <c r="C89" s="63">
        <f>SUM(C90)</f>
        <v>15000</v>
      </c>
      <c r="D89" s="63">
        <f>SUM(D90)</f>
        <v>3741</v>
      </c>
    </row>
    <row r="90" spans="1:4" ht="13.5" thickBot="1">
      <c r="A90" s="88" t="s">
        <v>95</v>
      </c>
      <c r="B90" s="50" t="s">
        <v>96</v>
      </c>
      <c r="C90" s="51">
        <v>15000</v>
      </c>
      <c r="D90" s="51">
        <v>3741</v>
      </c>
    </row>
    <row r="91" spans="1:4" ht="13.5" thickBot="1">
      <c r="A91" s="89" t="s">
        <v>97</v>
      </c>
      <c r="B91" s="62"/>
      <c r="C91" s="63">
        <f>SUM(C92:C107)</f>
        <v>77100</v>
      </c>
      <c r="D91" s="63">
        <f>SUM(D92:D107)</f>
        <v>10899</v>
      </c>
    </row>
    <row r="92" spans="1:4" ht="13.5" thickBot="1">
      <c r="A92" s="85" t="s">
        <v>98</v>
      </c>
      <c r="B92" s="86" t="s">
        <v>100</v>
      </c>
      <c r="C92" s="87">
        <v>5000</v>
      </c>
      <c r="D92" s="87">
        <v>747</v>
      </c>
    </row>
    <row r="93" spans="1:5" ht="12.75">
      <c r="A93" s="90" t="s">
        <v>98</v>
      </c>
      <c r="B93" s="65" t="s">
        <v>99</v>
      </c>
      <c r="C93" s="66">
        <v>8000</v>
      </c>
      <c r="D93" s="66">
        <v>1200</v>
      </c>
      <c r="E93" s="164">
        <f>SUM(D92:D93)</f>
        <v>1947</v>
      </c>
    </row>
    <row r="94" spans="1:4" ht="12.75">
      <c r="A94" s="90" t="s">
        <v>101</v>
      </c>
      <c r="B94" s="91" t="s">
        <v>211</v>
      </c>
      <c r="C94" s="92">
        <v>18000</v>
      </c>
      <c r="D94" s="92">
        <v>3426</v>
      </c>
    </row>
    <row r="95" spans="1:4" ht="12.75">
      <c r="A95" s="68" t="s">
        <v>103</v>
      </c>
      <c r="B95" s="93" t="s">
        <v>210</v>
      </c>
      <c r="C95" s="48">
        <v>1000</v>
      </c>
      <c r="D95" s="48">
        <v>220</v>
      </c>
    </row>
    <row r="96" spans="1:4" ht="13.5" thickBot="1">
      <c r="A96" s="85" t="s">
        <v>105</v>
      </c>
      <c r="B96" s="86" t="s">
        <v>106</v>
      </c>
      <c r="C96" s="87">
        <v>2000</v>
      </c>
      <c r="D96" s="87">
        <v>366</v>
      </c>
    </row>
    <row r="97" spans="1:4" ht="12.75">
      <c r="A97" s="68" t="s">
        <v>107</v>
      </c>
      <c r="B97" s="47" t="s">
        <v>215</v>
      </c>
      <c r="C97" s="48">
        <v>2000</v>
      </c>
      <c r="D97" s="48">
        <v>1522</v>
      </c>
    </row>
    <row r="98" spans="1:4" ht="12.75">
      <c r="A98" s="68" t="s">
        <v>107</v>
      </c>
      <c r="B98" s="47" t="s">
        <v>216</v>
      </c>
      <c r="C98" s="48">
        <v>3000</v>
      </c>
      <c r="D98" s="48">
        <v>0</v>
      </c>
    </row>
    <row r="99" spans="1:4" ht="12.75">
      <c r="A99" s="68" t="s">
        <v>107</v>
      </c>
      <c r="B99" s="47" t="s">
        <v>110</v>
      </c>
      <c r="C99" s="48">
        <v>9000</v>
      </c>
      <c r="D99" s="48">
        <v>0</v>
      </c>
    </row>
    <row r="100" spans="1:4" ht="12.75">
      <c r="A100" s="68" t="s">
        <v>107</v>
      </c>
      <c r="B100" s="47" t="s">
        <v>111</v>
      </c>
      <c r="C100" s="48">
        <v>1000</v>
      </c>
      <c r="D100" s="48">
        <v>0</v>
      </c>
    </row>
    <row r="101" spans="1:4" ht="12.75">
      <c r="A101" s="68" t="s">
        <v>107</v>
      </c>
      <c r="B101" s="47" t="s">
        <v>214</v>
      </c>
      <c r="C101" s="48">
        <v>200</v>
      </c>
      <c r="D101" s="48">
        <v>0</v>
      </c>
    </row>
    <row r="102" spans="1:4" ht="12.75">
      <c r="A102" s="68" t="s">
        <v>107</v>
      </c>
      <c r="B102" s="47" t="s">
        <v>212</v>
      </c>
      <c r="C102" s="48">
        <v>1000</v>
      </c>
      <c r="D102" s="48">
        <v>0</v>
      </c>
    </row>
    <row r="103" spans="1:4" ht="12.75">
      <c r="A103" s="68" t="s">
        <v>107</v>
      </c>
      <c r="B103" s="47" t="s">
        <v>213</v>
      </c>
      <c r="C103" s="48">
        <v>300</v>
      </c>
      <c r="D103" s="48">
        <v>0</v>
      </c>
    </row>
    <row r="104" spans="1:4" ht="13.5" thickBot="1">
      <c r="A104" s="85" t="s">
        <v>107</v>
      </c>
      <c r="B104" s="86" t="s">
        <v>112</v>
      </c>
      <c r="C104" s="87">
        <v>9000</v>
      </c>
      <c r="D104" s="87">
        <v>0</v>
      </c>
    </row>
    <row r="105" spans="1:4" ht="12.75">
      <c r="A105" s="82" t="s">
        <v>113</v>
      </c>
      <c r="B105" s="83" t="s">
        <v>209</v>
      </c>
      <c r="C105" s="84">
        <v>1600</v>
      </c>
      <c r="D105" s="84">
        <v>972</v>
      </c>
    </row>
    <row r="106" spans="1:4" ht="12.75">
      <c r="A106" s="90" t="s">
        <v>115</v>
      </c>
      <c r="B106" s="65" t="s">
        <v>116</v>
      </c>
      <c r="C106" s="66">
        <v>12000</v>
      </c>
      <c r="D106" s="66">
        <v>2246</v>
      </c>
    </row>
    <row r="107" spans="1:4" ht="13.5" thickBot="1">
      <c r="A107" s="85" t="s">
        <v>117</v>
      </c>
      <c r="B107" s="86" t="s">
        <v>217</v>
      </c>
      <c r="C107" s="87">
        <v>4000</v>
      </c>
      <c r="D107" s="87">
        <v>200</v>
      </c>
    </row>
    <row r="108" spans="1:4" ht="13.5" thickBot="1">
      <c r="A108" s="462" t="s">
        <v>119</v>
      </c>
      <c r="B108" s="463"/>
      <c r="C108" s="63">
        <f>SUM(C109:C113)</f>
        <v>279970</v>
      </c>
      <c r="D108" s="63">
        <f>SUM(D109:D113)</f>
        <v>60769</v>
      </c>
    </row>
    <row r="109" spans="1:4" ht="12.75">
      <c r="A109" s="94" t="s">
        <v>120</v>
      </c>
      <c r="B109" s="95" t="s">
        <v>121</v>
      </c>
      <c r="C109" s="96">
        <f>100000</f>
        <v>100000</v>
      </c>
      <c r="D109" s="96">
        <v>19964</v>
      </c>
    </row>
    <row r="110" spans="1:4" ht="12.75">
      <c r="A110" s="97" t="s">
        <v>122</v>
      </c>
      <c r="B110" s="31" t="s">
        <v>123</v>
      </c>
      <c r="C110" s="32">
        <v>5040</v>
      </c>
      <c r="D110" s="32">
        <v>228</v>
      </c>
    </row>
    <row r="111" spans="1:4" ht="12.75">
      <c r="A111" s="97" t="s">
        <v>124</v>
      </c>
      <c r="B111" s="31" t="s">
        <v>125</v>
      </c>
      <c r="C111" s="32">
        <v>103000</v>
      </c>
      <c r="D111" s="32">
        <v>23533</v>
      </c>
    </row>
    <row r="112" spans="1:4" ht="12.75">
      <c r="A112" s="97" t="s">
        <v>126</v>
      </c>
      <c r="B112" s="31" t="s">
        <v>127</v>
      </c>
      <c r="C112" s="32">
        <v>55000</v>
      </c>
      <c r="D112" s="32">
        <v>12134</v>
      </c>
    </row>
    <row r="113" spans="1:4" ht="13.5" thickBot="1">
      <c r="A113" s="80" t="s">
        <v>128</v>
      </c>
      <c r="B113" s="50" t="s">
        <v>129</v>
      </c>
      <c r="C113" s="98">
        <v>16930</v>
      </c>
      <c r="D113" s="98">
        <v>4910</v>
      </c>
    </row>
    <row r="114" spans="1:4" ht="13.5" thickBot="1">
      <c r="A114" s="61" t="s">
        <v>130</v>
      </c>
      <c r="B114" s="62"/>
      <c r="C114" s="63">
        <f>SUM(C115:C123)</f>
        <v>115050</v>
      </c>
      <c r="D114" s="63">
        <f>SUM(D115:D123)</f>
        <v>22862</v>
      </c>
    </row>
    <row r="115" spans="1:4" ht="12.75">
      <c r="A115" s="90" t="s">
        <v>131</v>
      </c>
      <c r="B115" s="65" t="s">
        <v>132</v>
      </c>
      <c r="C115" s="66">
        <v>70000</v>
      </c>
      <c r="D115" s="66">
        <v>15028</v>
      </c>
    </row>
    <row r="116" spans="1:4" ht="12.75">
      <c r="A116" s="68" t="s">
        <v>133</v>
      </c>
      <c r="B116" s="47" t="s">
        <v>134</v>
      </c>
      <c r="C116" s="48">
        <v>11000</v>
      </c>
      <c r="D116" s="48">
        <v>2498</v>
      </c>
    </row>
    <row r="117" spans="1:4" ht="13.5" thickBot="1">
      <c r="A117" s="85" t="s">
        <v>133</v>
      </c>
      <c r="B117" s="86" t="s">
        <v>135</v>
      </c>
      <c r="C117" s="87">
        <v>2000</v>
      </c>
      <c r="D117" s="87">
        <v>0</v>
      </c>
    </row>
    <row r="118" spans="1:4" ht="12.75">
      <c r="A118" s="90" t="s">
        <v>136</v>
      </c>
      <c r="B118" s="65" t="s">
        <v>137</v>
      </c>
      <c r="C118" s="66">
        <v>500</v>
      </c>
      <c r="D118" s="66">
        <v>0</v>
      </c>
    </row>
    <row r="119" spans="1:4" ht="12.75">
      <c r="A119" s="68" t="s">
        <v>138</v>
      </c>
      <c r="B119" s="47" t="s">
        <v>139</v>
      </c>
      <c r="C119" s="48">
        <v>2500</v>
      </c>
      <c r="D119" s="48">
        <f>506+170</f>
        <v>676</v>
      </c>
    </row>
    <row r="120" spans="1:5" ht="12.75">
      <c r="A120" s="68" t="s">
        <v>138</v>
      </c>
      <c r="B120" s="47" t="s">
        <v>141</v>
      </c>
      <c r="C120" s="48">
        <v>16000</v>
      </c>
      <c r="D120" s="48">
        <f>3806-D119</f>
        <v>3130</v>
      </c>
      <c r="E120" s="164">
        <f>D119+D120</f>
        <v>3806</v>
      </c>
    </row>
    <row r="121" spans="1:4" ht="12.75">
      <c r="A121" s="68" t="s">
        <v>140</v>
      </c>
      <c r="B121" s="47" t="s">
        <v>142</v>
      </c>
      <c r="C121" s="48">
        <v>12350</v>
      </c>
      <c r="D121" s="48">
        <v>1530</v>
      </c>
    </row>
    <row r="122" spans="1:4" ht="12.75">
      <c r="A122" s="68" t="s">
        <v>143</v>
      </c>
      <c r="B122" s="47" t="s">
        <v>144</v>
      </c>
      <c r="C122" s="48">
        <v>400</v>
      </c>
      <c r="D122" s="48">
        <v>0</v>
      </c>
    </row>
    <row r="123" spans="1:4" ht="13.5" thickBot="1">
      <c r="A123" s="85" t="s">
        <v>145</v>
      </c>
      <c r="B123" s="86" t="s">
        <v>146</v>
      </c>
      <c r="C123" s="87">
        <v>300</v>
      </c>
      <c r="D123" s="87">
        <v>0</v>
      </c>
    </row>
    <row r="124" spans="1:4" ht="16.5" thickBot="1">
      <c r="A124" s="99" t="s">
        <v>147</v>
      </c>
      <c r="B124" s="100"/>
      <c r="C124" s="101">
        <f>SUM(C72+C77+C79+C81+C86+C89+C91+C108+C114)</f>
        <v>813837</v>
      </c>
      <c r="D124" s="101">
        <f>SUM(D72+D77+D79+D81+D86+D89+D91+D108+D114)</f>
        <v>161513</v>
      </c>
    </row>
    <row r="125" spans="1:4" ht="12.75">
      <c r="A125" s="102" t="s">
        <v>122</v>
      </c>
      <c r="B125" s="103" t="s">
        <v>148</v>
      </c>
      <c r="C125" s="104">
        <f>C54+C66-40</f>
        <v>302026</v>
      </c>
      <c r="D125" s="104">
        <f>D54+D66-40</f>
        <v>75392</v>
      </c>
    </row>
    <row r="126" spans="1:4" ht="12.75">
      <c r="A126" s="105" t="s">
        <v>149</v>
      </c>
      <c r="B126" s="43" t="s">
        <v>150</v>
      </c>
      <c r="C126" s="106">
        <v>17000</v>
      </c>
      <c r="D126" s="106">
        <v>4200</v>
      </c>
    </row>
    <row r="127" spans="1:4" ht="13.5" thickBot="1">
      <c r="A127" s="464" t="s">
        <v>151</v>
      </c>
      <c r="B127" s="465"/>
      <c r="C127" s="107">
        <f>SUM(C125:C126)</f>
        <v>319026</v>
      </c>
      <c r="D127" s="107">
        <f>SUM(D125:D126)</f>
        <v>79592</v>
      </c>
    </row>
    <row r="128" spans="1:4" ht="16.5" thickBot="1">
      <c r="A128" s="108" t="s">
        <v>152</v>
      </c>
      <c r="B128" s="77"/>
      <c r="C128" s="109">
        <f>C124+C127</f>
        <v>1132863</v>
      </c>
      <c r="D128" s="109">
        <f>D124+D127</f>
        <v>241105</v>
      </c>
    </row>
    <row r="130" spans="1:4" ht="13.5" thickBot="1">
      <c r="A130" s="110"/>
      <c r="B130" s="111"/>
      <c r="C130" s="111"/>
      <c r="D130" s="111"/>
    </row>
    <row r="131" spans="1:5" ht="18.75" thickBot="1">
      <c r="A131" s="466" t="s">
        <v>153</v>
      </c>
      <c r="B131" s="467"/>
      <c r="C131" s="467"/>
      <c r="D131" s="468"/>
      <c r="E131" s="112"/>
    </row>
    <row r="132" spans="1:5" ht="12.75" customHeight="1">
      <c r="A132" s="450" t="s">
        <v>2</v>
      </c>
      <c r="B132" s="451"/>
      <c r="C132" s="441" t="s">
        <v>3</v>
      </c>
      <c r="D132" s="441" t="s">
        <v>243</v>
      </c>
      <c r="E132" s="113"/>
    </row>
    <row r="133" spans="1:4" ht="13.5" thickBot="1">
      <c r="A133" s="459"/>
      <c r="B133" s="460"/>
      <c r="C133" s="461"/>
      <c r="D133" s="442"/>
    </row>
    <row r="134" spans="1:4" ht="16.5" thickBot="1">
      <c r="A134" s="454" t="s">
        <v>154</v>
      </c>
      <c r="B134" s="455"/>
      <c r="C134" s="121">
        <f>SUM(C135:C140)</f>
        <v>3347518</v>
      </c>
      <c r="D134" s="121">
        <f>SUM(D135:D140)</f>
        <v>492962</v>
      </c>
    </row>
    <row r="135" spans="1:4" ht="12.75">
      <c r="A135" s="114">
        <v>230</v>
      </c>
      <c r="B135" s="115" t="s">
        <v>155</v>
      </c>
      <c r="C135" s="116">
        <v>4000</v>
      </c>
      <c r="D135" s="116">
        <v>0</v>
      </c>
    </row>
    <row r="136" spans="1:4" ht="12.75">
      <c r="A136" s="40">
        <v>322</v>
      </c>
      <c r="B136" s="47" t="s">
        <v>157</v>
      </c>
      <c r="C136" s="48">
        <v>446805</v>
      </c>
      <c r="D136" s="48">
        <v>0</v>
      </c>
    </row>
    <row r="137" spans="1:4" ht="12.75">
      <c r="A137" s="40">
        <v>322</v>
      </c>
      <c r="B137" s="47" t="s">
        <v>158</v>
      </c>
      <c r="C137" s="48">
        <v>566158</v>
      </c>
      <c r="D137" s="48">
        <v>492962</v>
      </c>
    </row>
    <row r="138" spans="1:4" ht="12.75">
      <c r="A138" s="40">
        <v>322</v>
      </c>
      <c r="B138" s="47" t="s">
        <v>159</v>
      </c>
      <c r="C138" s="48">
        <v>933113</v>
      </c>
      <c r="D138" s="48">
        <v>0</v>
      </c>
    </row>
    <row r="139" spans="1:4" ht="12.75">
      <c r="A139" s="40">
        <v>322</v>
      </c>
      <c r="B139" s="47" t="s">
        <v>160</v>
      </c>
      <c r="C139" s="48">
        <v>0</v>
      </c>
      <c r="D139" s="48">
        <v>0</v>
      </c>
    </row>
    <row r="140" spans="1:4" ht="13.5" thickBot="1">
      <c r="A140" s="118">
        <v>322</v>
      </c>
      <c r="B140" s="86" t="s">
        <v>161</v>
      </c>
      <c r="C140" s="87">
        <v>1397442</v>
      </c>
      <c r="D140" s="87">
        <v>0</v>
      </c>
    </row>
    <row r="141" spans="1:4" ht="16.5" thickBot="1">
      <c r="A141" s="454" t="s">
        <v>162</v>
      </c>
      <c r="B141" s="455"/>
      <c r="C141" s="121">
        <f>SUM(C142:C154)</f>
        <v>3679665</v>
      </c>
      <c r="D141" s="121">
        <f>SUM(D142:D154)</f>
        <v>519072</v>
      </c>
    </row>
    <row r="142" spans="1:4" ht="12.75">
      <c r="A142" s="68" t="s">
        <v>83</v>
      </c>
      <c r="B142" s="9" t="s">
        <v>163</v>
      </c>
      <c r="C142" s="10">
        <v>4000</v>
      </c>
      <c r="D142" s="10">
        <v>0</v>
      </c>
    </row>
    <row r="143" spans="1:4" ht="12.75">
      <c r="A143" s="122" t="s">
        <v>83</v>
      </c>
      <c r="B143" s="9" t="s">
        <v>164</v>
      </c>
      <c r="C143" s="123">
        <v>15000</v>
      </c>
      <c r="D143" s="123">
        <v>0</v>
      </c>
    </row>
    <row r="144" spans="1:4" ht="13.5" thickBot="1">
      <c r="A144" s="124" t="s">
        <v>83</v>
      </c>
      <c r="B144" s="125" t="s">
        <v>205</v>
      </c>
      <c r="C144" s="126">
        <f>30988+32752+18700</f>
        <v>82440</v>
      </c>
      <c r="D144" s="126">
        <v>0</v>
      </c>
    </row>
    <row r="145" spans="1:4" ht="12.75">
      <c r="A145" s="127" t="s">
        <v>87</v>
      </c>
      <c r="B145" s="128" t="s">
        <v>166</v>
      </c>
      <c r="C145" s="129">
        <v>2000</v>
      </c>
      <c r="D145" s="129">
        <v>0</v>
      </c>
    </row>
    <row r="146" spans="1:4" ht="12.75">
      <c r="A146" s="64" t="s">
        <v>90</v>
      </c>
      <c r="B146" s="6" t="s">
        <v>167</v>
      </c>
      <c r="C146" s="7">
        <f>470321+20000</f>
        <v>490321</v>
      </c>
      <c r="D146" s="7">
        <v>0</v>
      </c>
    </row>
    <row r="147" spans="1:4" ht="12.75">
      <c r="A147" s="97" t="s">
        <v>168</v>
      </c>
      <c r="B147" s="130" t="s">
        <v>169</v>
      </c>
      <c r="C147" s="10">
        <v>40000</v>
      </c>
      <c r="D147" s="10">
        <v>0</v>
      </c>
    </row>
    <row r="148" spans="1:4" ht="12.75">
      <c r="A148" s="68" t="s">
        <v>168</v>
      </c>
      <c r="B148" s="9" t="s">
        <v>170</v>
      </c>
      <c r="C148" s="10">
        <f>1470992-60663-500</f>
        <v>1409829</v>
      </c>
      <c r="D148" s="10">
        <v>0</v>
      </c>
    </row>
    <row r="149" spans="1:4" ht="12.75">
      <c r="A149" s="97" t="s">
        <v>171</v>
      </c>
      <c r="B149" s="9" t="s">
        <v>172</v>
      </c>
      <c r="C149" s="10">
        <v>25000</v>
      </c>
      <c r="D149" s="10">
        <v>0</v>
      </c>
    </row>
    <row r="150" spans="1:4" ht="12.75">
      <c r="A150" s="131" t="s">
        <v>171</v>
      </c>
      <c r="B150" s="6" t="s">
        <v>173</v>
      </c>
      <c r="C150" s="7">
        <v>984949</v>
      </c>
      <c r="D150" s="7">
        <v>0</v>
      </c>
    </row>
    <row r="151" spans="1:4" ht="12.75">
      <c r="A151" s="64" t="s">
        <v>103</v>
      </c>
      <c r="B151" s="6" t="s">
        <v>174</v>
      </c>
      <c r="C151" s="7">
        <v>0</v>
      </c>
      <c r="D151" s="7">
        <v>0</v>
      </c>
    </row>
    <row r="152" spans="1:4" ht="12.75">
      <c r="A152" s="67" t="s">
        <v>122</v>
      </c>
      <c r="B152" s="9" t="s">
        <v>175</v>
      </c>
      <c r="C152" s="10">
        <v>0</v>
      </c>
      <c r="D152" s="10">
        <v>0</v>
      </c>
    </row>
    <row r="153" spans="1:4" ht="12.75">
      <c r="A153" s="67" t="s">
        <v>122</v>
      </c>
      <c r="B153" s="9" t="s">
        <v>176</v>
      </c>
      <c r="C153" s="10">
        <v>624126</v>
      </c>
      <c r="D153" s="10">
        <v>519072</v>
      </c>
    </row>
    <row r="154" spans="1:4" ht="13.5" thickBot="1">
      <c r="A154" s="132" t="s">
        <v>126</v>
      </c>
      <c r="B154" s="20" t="s">
        <v>177</v>
      </c>
      <c r="C154" s="21">
        <v>2000</v>
      </c>
      <c r="D154" s="21">
        <v>0</v>
      </c>
    </row>
    <row r="160" spans="1:4" ht="12.75">
      <c r="A160" s="133"/>
      <c r="B160" s="134"/>
      <c r="C160" s="134"/>
      <c r="D160" s="134"/>
    </row>
    <row r="161" spans="1:4" ht="13.5" thickBot="1">
      <c r="A161" s="134"/>
      <c r="B161" s="111"/>
      <c r="C161" s="111"/>
      <c r="D161" s="111"/>
    </row>
    <row r="162" spans="1:4" ht="18.75" thickBot="1">
      <c r="A162" s="456" t="s">
        <v>178</v>
      </c>
      <c r="B162" s="457"/>
      <c r="C162" s="457"/>
      <c r="D162" s="458"/>
    </row>
    <row r="163" spans="1:4" ht="12.75" customHeight="1">
      <c r="A163" s="450" t="s">
        <v>2</v>
      </c>
      <c r="B163" s="451"/>
      <c r="C163" s="441" t="s">
        <v>3</v>
      </c>
      <c r="D163" s="441" t="s">
        <v>243</v>
      </c>
    </row>
    <row r="164" spans="1:4" ht="13.5" thickBot="1">
      <c r="A164" s="459"/>
      <c r="B164" s="460"/>
      <c r="C164" s="461"/>
      <c r="D164" s="442"/>
    </row>
    <row r="165" spans="1:4" ht="16.5" thickBot="1">
      <c r="A165" s="446" t="s">
        <v>179</v>
      </c>
      <c r="B165" s="436"/>
      <c r="C165" s="135">
        <f>SUM(C166:C168)</f>
        <v>332574</v>
      </c>
      <c r="D165" s="135">
        <f>SUM(D166:D168)</f>
        <v>25945</v>
      </c>
    </row>
    <row r="166" spans="1:5" ht="13.5" customHeight="1">
      <c r="A166" s="136">
        <v>411</v>
      </c>
      <c r="B166" s="137" t="s">
        <v>180</v>
      </c>
      <c r="C166" s="138">
        <v>427</v>
      </c>
      <c r="D166" s="138">
        <v>0</v>
      </c>
      <c r="E166" s="140"/>
    </row>
    <row r="167" spans="1:4" ht="12.75">
      <c r="A167" s="139">
        <v>454</v>
      </c>
      <c r="B167" s="41" t="s">
        <v>181</v>
      </c>
      <c r="C167" s="42">
        <f>8123+33723</f>
        <v>41846</v>
      </c>
      <c r="D167" s="42">
        <v>0</v>
      </c>
    </row>
    <row r="168" spans="1:5" ht="13.5" thickBot="1">
      <c r="A168" s="141">
        <v>513</v>
      </c>
      <c r="B168" s="142" t="s">
        <v>182</v>
      </c>
      <c r="C168" s="143">
        <v>290301</v>
      </c>
      <c r="D168" s="143">
        <v>25945</v>
      </c>
      <c r="E168" s="164">
        <f>SUM(D167:D168)</f>
        <v>25945</v>
      </c>
    </row>
    <row r="169" spans="1:4" ht="16.5" thickBot="1">
      <c r="A169" s="446" t="s">
        <v>183</v>
      </c>
      <c r="B169" s="436"/>
      <c r="C169" s="135">
        <f>SUM(C170:C171)</f>
        <v>16040</v>
      </c>
      <c r="D169" s="135">
        <f>SUM(D170:D171)</f>
        <v>2738</v>
      </c>
    </row>
    <row r="170" spans="1:4" ht="12.75">
      <c r="A170" s="144">
        <v>821</v>
      </c>
      <c r="B170" s="137" t="s">
        <v>184</v>
      </c>
      <c r="C170" s="145">
        <f>870*12+5000</f>
        <v>15440</v>
      </c>
      <c r="D170" s="145">
        <v>2573</v>
      </c>
    </row>
    <row r="171" spans="1:4" ht="13.5" thickBot="1">
      <c r="A171" s="25">
        <v>821</v>
      </c>
      <c r="B171" s="146" t="s">
        <v>185</v>
      </c>
      <c r="C171" s="147">
        <v>600</v>
      </c>
      <c r="D171" s="147">
        <v>165</v>
      </c>
    </row>
    <row r="172" spans="1:4" ht="15.75">
      <c r="A172" s="58"/>
      <c r="B172" s="110"/>
      <c r="C172" s="110"/>
      <c r="D172" s="110"/>
    </row>
    <row r="173" spans="1:4" ht="15.75">
      <c r="A173" s="58"/>
      <c r="B173" s="110"/>
      <c r="C173" s="110"/>
      <c r="D173" s="110"/>
    </row>
    <row r="174" spans="1:4" ht="15.75">
      <c r="A174" s="58"/>
      <c r="B174" s="110"/>
      <c r="C174" s="110"/>
      <c r="D174" s="110"/>
    </row>
    <row r="175" spans="2:4" ht="13.5" thickBot="1">
      <c r="B175" s="111"/>
      <c r="C175" s="111"/>
      <c r="D175" s="111"/>
    </row>
    <row r="176" spans="1:4" ht="18.75" thickBot="1">
      <c r="A176" s="447" t="s">
        <v>186</v>
      </c>
      <c r="B176" s="448"/>
      <c r="C176" s="448"/>
      <c r="D176" s="449"/>
    </row>
    <row r="177" spans="1:4" ht="12.75" customHeight="1">
      <c r="A177" s="450" t="s">
        <v>2</v>
      </c>
      <c r="B177" s="451"/>
      <c r="C177" s="439" t="s">
        <v>3</v>
      </c>
      <c r="D177" s="441" t="s">
        <v>243</v>
      </c>
    </row>
    <row r="178" spans="1:4" ht="13.5" thickBot="1">
      <c r="A178" s="452"/>
      <c r="B178" s="453"/>
      <c r="C178" s="440"/>
      <c r="D178" s="442"/>
    </row>
    <row r="179" spans="1:4" ht="15">
      <c r="A179" s="148" t="s">
        <v>187</v>
      </c>
      <c r="B179" s="16"/>
      <c r="C179" s="84">
        <f>C67</f>
        <v>1148476</v>
      </c>
      <c r="D179" s="84">
        <f>D67</f>
        <v>325457</v>
      </c>
    </row>
    <row r="180" spans="1:4" ht="15">
      <c r="A180" s="149" t="s">
        <v>188</v>
      </c>
      <c r="B180" s="9"/>
      <c r="C180" s="48">
        <f>C128</f>
        <v>1132863</v>
      </c>
      <c r="D180" s="48">
        <f>D128</f>
        <v>241105</v>
      </c>
    </row>
    <row r="181" spans="1:4" ht="15.75">
      <c r="A181" s="150"/>
      <c r="B181" s="151" t="s">
        <v>189</v>
      </c>
      <c r="C181" s="152">
        <f>C179-C180</f>
        <v>15613</v>
      </c>
      <c r="D181" s="152">
        <f>D179-D180</f>
        <v>84352</v>
      </c>
    </row>
    <row r="182" spans="1:4" ht="15">
      <c r="A182" s="149" t="s">
        <v>190</v>
      </c>
      <c r="B182" s="9"/>
      <c r="C182" s="48">
        <f>C134</f>
        <v>3347518</v>
      </c>
      <c r="D182" s="48">
        <f>D134</f>
        <v>492962</v>
      </c>
    </row>
    <row r="183" spans="1:4" ht="15">
      <c r="A183" s="149" t="s">
        <v>191</v>
      </c>
      <c r="B183" s="9"/>
      <c r="C183" s="10">
        <f>C141</f>
        <v>3679665</v>
      </c>
      <c r="D183" s="10">
        <f>D141</f>
        <v>519072</v>
      </c>
    </row>
    <row r="184" spans="1:4" ht="15.75">
      <c r="A184" s="150"/>
      <c r="B184" s="153" t="s">
        <v>192</v>
      </c>
      <c r="C184" s="152">
        <f>C182-C183</f>
        <v>-332147</v>
      </c>
      <c r="D184" s="152">
        <f>D182-D183</f>
        <v>-26110</v>
      </c>
    </row>
    <row r="185" spans="1:4" ht="15">
      <c r="A185" s="437" t="s">
        <v>193</v>
      </c>
      <c r="B185" s="438"/>
      <c r="C185" s="79">
        <f>C165</f>
        <v>332574</v>
      </c>
      <c r="D185" s="79">
        <f>D165</f>
        <v>25945</v>
      </c>
    </row>
    <row r="186" spans="1:4" ht="15">
      <c r="A186" s="437" t="s">
        <v>194</v>
      </c>
      <c r="B186" s="438"/>
      <c r="C186" s="79">
        <f>C169</f>
        <v>16040</v>
      </c>
      <c r="D186" s="79">
        <f>D169</f>
        <v>2738</v>
      </c>
    </row>
    <row r="187" spans="1:4" ht="16.5" thickBot="1">
      <c r="A187" s="154"/>
      <c r="B187" s="155" t="s">
        <v>195</v>
      </c>
      <c r="C187" s="156">
        <f>C185-C186</f>
        <v>316534</v>
      </c>
      <c r="D187" s="156">
        <f>D185-D186</f>
        <v>23207</v>
      </c>
    </row>
    <row r="188" spans="1:4" ht="16.5" thickBot="1">
      <c r="A188" s="443" t="s">
        <v>196</v>
      </c>
      <c r="B188" s="444"/>
      <c r="C188" s="157">
        <f>C181+C184+C187</f>
        <v>0</v>
      </c>
      <c r="D188" s="157">
        <f>D181+D184+D187</f>
        <v>81449</v>
      </c>
    </row>
    <row r="190" spans="2:4" ht="12.75">
      <c r="B190" s="158" t="s">
        <v>197</v>
      </c>
      <c r="C190" s="159">
        <f>C179+C182+C185</f>
        <v>4828568</v>
      </c>
      <c r="D190" s="159">
        <f>D179+D182+D185</f>
        <v>844364</v>
      </c>
    </row>
    <row r="191" spans="2:4" ht="12.75">
      <c r="B191" s="158" t="s">
        <v>198</v>
      </c>
      <c r="C191" s="159">
        <f>C180+C183+C186</f>
        <v>4828568</v>
      </c>
      <c r="D191" s="159">
        <f>D180+D183+D186</f>
        <v>762915</v>
      </c>
    </row>
    <row r="192" spans="2:4" ht="12.75">
      <c r="B192" s="158"/>
      <c r="C192" s="159"/>
      <c r="D192" s="159"/>
    </row>
    <row r="193" spans="2:4" ht="12.75">
      <c r="B193" s="158" t="s">
        <v>199</v>
      </c>
      <c r="C193" s="159">
        <f>C190-C66</f>
        <v>4827028</v>
      </c>
      <c r="D193" s="159">
        <f>D190-D66</f>
        <v>844364</v>
      </c>
    </row>
    <row r="194" spans="2:4" ht="12.75">
      <c r="B194" s="158" t="s">
        <v>200</v>
      </c>
      <c r="C194" s="159">
        <f>C191-C127</f>
        <v>4509542</v>
      </c>
      <c r="D194" s="159">
        <f>D191-D127</f>
        <v>683323</v>
      </c>
    </row>
  </sheetData>
  <sheetProtection/>
  <mergeCells count="38">
    <mergeCell ref="A6:B7"/>
    <mergeCell ref="D6:D7"/>
    <mergeCell ref="A8:B8"/>
    <mergeCell ref="A17:B17"/>
    <mergeCell ref="C6:C7"/>
    <mergeCell ref="A1:D1"/>
    <mergeCell ref="A2:D2"/>
    <mergeCell ref="A3:D3"/>
    <mergeCell ref="A5:D5"/>
    <mergeCell ref="A77:B77"/>
    <mergeCell ref="A79:B79"/>
    <mergeCell ref="A108:B108"/>
    <mergeCell ref="A127:B127"/>
    <mergeCell ref="A36:B36"/>
    <mergeCell ref="A38:B38"/>
    <mergeCell ref="A69:D69"/>
    <mergeCell ref="A70:B71"/>
    <mergeCell ref="D70:D71"/>
    <mergeCell ref="C70:C71"/>
    <mergeCell ref="A141:B141"/>
    <mergeCell ref="A162:D162"/>
    <mergeCell ref="A163:B164"/>
    <mergeCell ref="D163:D164"/>
    <mergeCell ref="C163:C164"/>
    <mergeCell ref="A131:D131"/>
    <mergeCell ref="A132:B133"/>
    <mergeCell ref="D132:D133"/>
    <mergeCell ref="A134:B134"/>
    <mergeCell ref="C132:C133"/>
    <mergeCell ref="A185:B185"/>
    <mergeCell ref="A186:B186"/>
    <mergeCell ref="A188:B188"/>
    <mergeCell ref="A165:B165"/>
    <mergeCell ref="A169:B169"/>
    <mergeCell ref="A176:D176"/>
    <mergeCell ref="A177:B178"/>
    <mergeCell ref="D177:D178"/>
    <mergeCell ref="C177:C17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0" customWidth="1"/>
    <col min="2" max="2" width="43.75390625" style="0" customWidth="1"/>
    <col min="3" max="3" width="11.375" style="0" customWidth="1"/>
  </cols>
  <sheetData>
    <row r="1" spans="1:3" ht="20.25">
      <c r="A1" s="476" t="s">
        <v>0</v>
      </c>
      <c r="B1" s="476"/>
      <c r="C1" s="476"/>
    </row>
    <row r="2" spans="1:3" ht="12.75">
      <c r="A2" s="477"/>
      <c r="B2" s="477"/>
      <c r="C2" s="477"/>
    </row>
    <row r="3" spans="1:3" ht="12.75">
      <c r="A3" s="445" t="s">
        <v>242</v>
      </c>
      <c r="B3" s="445"/>
      <c r="C3" s="445"/>
    </row>
    <row r="4" ht="13.5" thickBot="1"/>
    <row r="5" spans="1:3" ht="18.75" thickBot="1">
      <c r="A5" s="478" t="s">
        <v>1</v>
      </c>
      <c r="B5" s="479"/>
      <c r="C5" s="480"/>
    </row>
    <row r="6" spans="1:3" ht="12.75">
      <c r="A6" s="450" t="s">
        <v>2</v>
      </c>
      <c r="B6" s="451"/>
      <c r="C6" s="441" t="s">
        <v>3</v>
      </c>
    </row>
    <row r="7" spans="1:3" ht="13.5" thickBot="1">
      <c r="A7" s="474"/>
      <c r="B7" s="475"/>
      <c r="C7" s="442"/>
    </row>
    <row r="8" spans="1:3" ht="13.5" thickBot="1">
      <c r="A8" s="469" t="s">
        <v>4</v>
      </c>
      <c r="B8" s="470"/>
      <c r="C8" s="1">
        <f>SUM(C9:C16)</f>
        <v>667312</v>
      </c>
    </row>
    <row r="9" spans="1:3" ht="13.5" thickBot="1">
      <c r="A9" s="2">
        <v>111</v>
      </c>
      <c r="B9" s="3" t="s">
        <v>5</v>
      </c>
      <c r="C9" s="4">
        <v>625000</v>
      </c>
    </row>
    <row r="10" spans="1:3" ht="12.75">
      <c r="A10" s="5">
        <v>121</v>
      </c>
      <c r="B10" s="6" t="s">
        <v>6</v>
      </c>
      <c r="C10" s="7">
        <v>12200</v>
      </c>
    </row>
    <row r="11" spans="1:3" ht="12.75">
      <c r="A11" s="8">
        <v>121</v>
      </c>
      <c r="B11" s="9" t="s">
        <v>7</v>
      </c>
      <c r="C11" s="10">
        <v>13200</v>
      </c>
    </row>
    <row r="12" spans="1:4" ht="13.5" thickBot="1">
      <c r="A12" s="11">
        <v>121</v>
      </c>
      <c r="B12" s="12" t="s">
        <v>8</v>
      </c>
      <c r="C12" s="13">
        <v>70</v>
      </c>
      <c r="D12" s="14">
        <f>SUM(C10:C12)</f>
        <v>25470</v>
      </c>
    </row>
    <row r="13" spans="1:3" ht="12.75">
      <c r="A13" s="5">
        <v>133</v>
      </c>
      <c r="B13" s="6" t="s">
        <v>9</v>
      </c>
      <c r="C13" s="7">
        <v>510</v>
      </c>
    </row>
    <row r="14" spans="1:3" ht="12.75">
      <c r="A14" s="8">
        <v>133</v>
      </c>
      <c r="B14" s="9" t="s">
        <v>10</v>
      </c>
      <c r="C14" s="10">
        <v>332</v>
      </c>
    </row>
    <row r="15" spans="1:3" ht="12.75">
      <c r="A15" s="8">
        <v>133</v>
      </c>
      <c r="B15" s="9" t="s">
        <v>11</v>
      </c>
      <c r="C15" s="10">
        <v>2200</v>
      </c>
    </row>
    <row r="16" spans="1:4" ht="13.5" thickBot="1">
      <c r="A16" s="11">
        <v>133</v>
      </c>
      <c r="B16" s="12" t="s">
        <v>12</v>
      </c>
      <c r="C16" s="13">
        <v>13800</v>
      </c>
      <c r="D16" s="14">
        <f>SUM(C13:C16)</f>
        <v>16842</v>
      </c>
    </row>
    <row r="17" spans="1:3" ht="13.5" thickBot="1">
      <c r="A17" s="469" t="s">
        <v>13</v>
      </c>
      <c r="B17" s="470"/>
      <c r="C17" s="1">
        <f>SUM(C18:C35)</f>
        <v>88314</v>
      </c>
    </row>
    <row r="18" spans="1:3" ht="12.75">
      <c r="A18" s="15">
        <v>212</v>
      </c>
      <c r="B18" s="16" t="s">
        <v>14</v>
      </c>
      <c r="C18" s="17">
        <f>477+165</f>
        <v>642</v>
      </c>
    </row>
    <row r="19" spans="1:3" ht="12.75">
      <c r="A19" s="5">
        <v>212</v>
      </c>
      <c r="B19" s="6" t="s">
        <v>15</v>
      </c>
      <c r="C19" s="7">
        <v>1000</v>
      </c>
    </row>
    <row r="20" spans="1:3" ht="12.75">
      <c r="A20" s="8">
        <v>212</v>
      </c>
      <c r="B20" s="9" t="s">
        <v>16</v>
      </c>
      <c r="C20" s="10">
        <v>3682</v>
      </c>
    </row>
    <row r="21" spans="1:4" ht="12.75">
      <c r="A21" s="8">
        <v>212</v>
      </c>
      <c r="B21" s="9" t="s">
        <v>17</v>
      </c>
      <c r="C21" s="10">
        <v>12000</v>
      </c>
      <c r="D21" s="18"/>
    </row>
    <row r="22" spans="1:4" ht="13.5" thickBot="1">
      <c r="A22" s="19">
        <v>212</v>
      </c>
      <c r="B22" s="20" t="s">
        <v>18</v>
      </c>
      <c r="C22" s="21">
        <v>20</v>
      </c>
      <c r="D22" s="14">
        <f>SUM(C18:C22)</f>
        <v>17344</v>
      </c>
    </row>
    <row r="23" spans="1:3" ht="13.5" thickBot="1">
      <c r="A23" s="22">
        <v>221</v>
      </c>
      <c r="B23" s="23" t="s">
        <v>19</v>
      </c>
      <c r="C23" s="24">
        <v>9900</v>
      </c>
    </row>
    <row r="24" spans="1:3" ht="13.5" thickBot="1">
      <c r="A24" s="22">
        <v>222</v>
      </c>
      <c r="B24" s="23" t="s">
        <v>20</v>
      </c>
      <c r="C24" s="24">
        <v>100</v>
      </c>
    </row>
    <row r="25" spans="1:3" ht="12.75">
      <c r="A25" s="5">
        <v>223</v>
      </c>
      <c r="B25" s="6" t="s">
        <v>21</v>
      </c>
      <c r="C25" s="7">
        <v>800</v>
      </c>
    </row>
    <row r="26" spans="1:3" ht="12.75">
      <c r="A26" s="8">
        <v>223</v>
      </c>
      <c r="B26" s="9" t="s">
        <v>22</v>
      </c>
      <c r="C26" s="10">
        <v>420</v>
      </c>
    </row>
    <row r="27" spans="1:3" ht="12.75">
      <c r="A27" s="8">
        <v>223</v>
      </c>
      <c r="B27" s="9" t="s">
        <v>23</v>
      </c>
      <c r="C27" s="10">
        <v>8000</v>
      </c>
    </row>
    <row r="28" spans="1:3" ht="12.75">
      <c r="A28" s="8">
        <v>223</v>
      </c>
      <c r="B28" s="9" t="s">
        <v>24</v>
      </c>
      <c r="C28" s="10">
        <v>12000</v>
      </c>
    </row>
    <row r="29" spans="1:3" ht="12.75">
      <c r="A29" s="8">
        <v>223</v>
      </c>
      <c r="B29" s="9" t="s">
        <v>25</v>
      </c>
      <c r="C29" s="10">
        <v>2000</v>
      </c>
    </row>
    <row r="30" spans="1:3" ht="12.75">
      <c r="A30" s="8">
        <v>223</v>
      </c>
      <c r="B30" s="9" t="s">
        <v>26</v>
      </c>
      <c r="C30" s="10">
        <v>650</v>
      </c>
    </row>
    <row r="31" spans="1:3" ht="12.75">
      <c r="A31" s="8">
        <v>223</v>
      </c>
      <c r="B31" s="9" t="s">
        <v>27</v>
      </c>
      <c r="C31" s="10">
        <v>18000</v>
      </c>
    </row>
    <row r="32" spans="1:3" ht="12.75">
      <c r="A32" s="8">
        <v>223</v>
      </c>
      <c r="B32" s="9" t="s">
        <v>28</v>
      </c>
      <c r="C32" s="10">
        <v>6000</v>
      </c>
    </row>
    <row r="33" spans="1:3" ht="12.75">
      <c r="A33" s="8">
        <v>223</v>
      </c>
      <c r="B33" s="9" t="s">
        <v>29</v>
      </c>
      <c r="C33" s="10">
        <v>1000</v>
      </c>
    </row>
    <row r="34" spans="1:3" ht="12.75">
      <c r="A34" s="8">
        <v>223</v>
      </c>
      <c r="B34" s="9" t="s">
        <v>206</v>
      </c>
      <c r="C34" s="10">
        <v>12000</v>
      </c>
    </row>
    <row r="35" spans="1:4" ht="13.5" thickBot="1">
      <c r="A35" s="11">
        <v>223</v>
      </c>
      <c r="B35" s="12" t="s">
        <v>31</v>
      </c>
      <c r="C35" s="13">
        <v>100</v>
      </c>
      <c r="D35" s="14">
        <f>SUM(C25:C35)</f>
        <v>60970</v>
      </c>
    </row>
    <row r="36" spans="1:3" ht="13.5" thickBot="1">
      <c r="A36" s="469" t="s">
        <v>32</v>
      </c>
      <c r="B36" s="470"/>
      <c r="C36" s="1">
        <f>SUM(C37)</f>
        <v>200</v>
      </c>
    </row>
    <row r="37" spans="1:3" ht="13.5" thickBot="1">
      <c r="A37" s="25">
        <v>240</v>
      </c>
      <c r="B37" s="20" t="s">
        <v>33</v>
      </c>
      <c r="C37" s="21">
        <v>200</v>
      </c>
    </row>
    <row r="38" spans="1:3" ht="13.5" thickBot="1">
      <c r="A38" s="469" t="s">
        <v>34</v>
      </c>
      <c r="B38" s="470"/>
      <c r="C38" s="1">
        <f>SUM(C39:C49)</f>
        <v>24182</v>
      </c>
    </row>
    <row r="39" spans="1:4" ht="12.75">
      <c r="A39" s="26">
        <v>292</v>
      </c>
      <c r="B39" s="27" t="s">
        <v>35</v>
      </c>
      <c r="C39" s="28">
        <v>0</v>
      </c>
      <c r="D39" s="29"/>
    </row>
    <row r="40" spans="1:3" ht="12.75">
      <c r="A40" s="26">
        <v>292</v>
      </c>
      <c r="B40" s="27" t="s">
        <v>36</v>
      </c>
      <c r="C40" s="28">
        <v>200</v>
      </c>
    </row>
    <row r="41" spans="1:3" ht="12.75">
      <c r="A41" s="30">
        <v>292</v>
      </c>
      <c r="B41" s="31" t="s">
        <v>37</v>
      </c>
      <c r="C41" s="32">
        <v>5570</v>
      </c>
    </row>
    <row r="42" spans="1:3" ht="12.75">
      <c r="A42" s="30">
        <v>292</v>
      </c>
      <c r="B42" s="9" t="s">
        <v>38</v>
      </c>
      <c r="C42" s="33">
        <v>140</v>
      </c>
    </row>
    <row r="43" spans="1:3" ht="12.75">
      <c r="A43" s="30">
        <v>292</v>
      </c>
      <c r="B43" s="31" t="s">
        <v>39</v>
      </c>
      <c r="C43" s="32">
        <v>7000</v>
      </c>
    </row>
    <row r="44" spans="1:3" ht="12.75">
      <c r="A44" s="30">
        <v>292</v>
      </c>
      <c r="B44" s="31" t="s">
        <v>40</v>
      </c>
      <c r="C44" s="32">
        <v>200</v>
      </c>
    </row>
    <row r="45" spans="1:3" ht="12.75">
      <c r="A45" s="30">
        <v>292</v>
      </c>
      <c r="B45" s="31" t="s">
        <v>41</v>
      </c>
      <c r="C45" s="32">
        <v>1872</v>
      </c>
    </row>
    <row r="46" spans="1:3" ht="12.75">
      <c r="A46" s="30">
        <v>292</v>
      </c>
      <c r="B46" s="9" t="s">
        <v>42</v>
      </c>
      <c r="C46" s="33">
        <v>8000</v>
      </c>
    </row>
    <row r="47" spans="1:3" ht="12.75">
      <c r="A47" s="30">
        <v>292</v>
      </c>
      <c r="B47" s="9" t="s">
        <v>43</v>
      </c>
      <c r="C47" s="33">
        <v>1000</v>
      </c>
    </row>
    <row r="48" spans="1:3" ht="12.75">
      <c r="A48" s="30">
        <v>292</v>
      </c>
      <c r="B48" s="9" t="s">
        <v>44</v>
      </c>
      <c r="C48" s="33">
        <v>100</v>
      </c>
    </row>
    <row r="49" spans="1:3" ht="13.5" thickBot="1">
      <c r="A49" s="34">
        <v>292</v>
      </c>
      <c r="B49" s="20" t="s">
        <v>45</v>
      </c>
      <c r="C49" s="35">
        <v>100</v>
      </c>
    </row>
    <row r="50" spans="1:3" ht="13.5" thickBot="1">
      <c r="A50" s="36" t="s">
        <v>46</v>
      </c>
      <c r="B50" s="37"/>
      <c r="C50" s="38">
        <f>SUM(C51:C64)</f>
        <v>366928</v>
      </c>
    </row>
    <row r="51" spans="1:3" ht="12.75">
      <c r="A51" s="39">
        <v>311</v>
      </c>
      <c r="B51" s="6" t="s">
        <v>47</v>
      </c>
      <c r="C51" s="7">
        <v>50</v>
      </c>
    </row>
    <row r="52" spans="1:3" ht="12.75">
      <c r="A52" s="40">
        <v>312</v>
      </c>
      <c r="B52" s="9" t="s">
        <v>48</v>
      </c>
      <c r="C52" s="10">
        <v>3720</v>
      </c>
    </row>
    <row r="53" spans="1:3" ht="12.75">
      <c r="A53" s="40">
        <v>312</v>
      </c>
      <c r="B53" s="41" t="s">
        <v>49</v>
      </c>
      <c r="C53" s="42">
        <v>3110</v>
      </c>
    </row>
    <row r="54" spans="1:3" ht="12.75">
      <c r="A54" s="40">
        <v>312</v>
      </c>
      <c r="B54" s="43" t="s">
        <v>50</v>
      </c>
      <c r="C54" s="44">
        <f>289106+6020+5400</f>
        <v>300526</v>
      </c>
    </row>
    <row r="55" spans="1:3" ht="12.75">
      <c r="A55" s="40">
        <v>312</v>
      </c>
      <c r="B55" s="45" t="s">
        <v>51</v>
      </c>
      <c r="C55" s="46">
        <v>2589</v>
      </c>
    </row>
    <row r="56" spans="1:3" ht="12.75">
      <c r="A56" s="40">
        <v>312</v>
      </c>
      <c r="B56" s="41" t="s">
        <v>52</v>
      </c>
      <c r="C56" s="46">
        <v>2753</v>
      </c>
    </row>
    <row r="57" spans="1:3" ht="12.75">
      <c r="A57" s="40">
        <v>312</v>
      </c>
      <c r="B57" s="45" t="s">
        <v>53</v>
      </c>
      <c r="C57" s="46">
        <v>100</v>
      </c>
    </row>
    <row r="58" spans="1:3" ht="12.75">
      <c r="A58" s="40">
        <v>312</v>
      </c>
      <c r="B58" s="9" t="s">
        <v>54</v>
      </c>
      <c r="C58" s="10">
        <v>12350</v>
      </c>
    </row>
    <row r="59" spans="1:3" ht="12.75">
      <c r="A59" s="40">
        <v>312</v>
      </c>
      <c r="B59" s="9" t="s">
        <v>55</v>
      </c>
      <c r="C59" s="10">
        <v>0</v>
      </c>
    </row>
    <row r="60" spans="1:3" ht="12.75">
      <c r="A60" s="40">
        <v>312</v>
      </c>
      <c r="B60" s="9" t="s">
        <v>56</v>
      </c>
      <c r="C60" s="10">
        <v>14000</v>
      </c>
    </row>
    <row r="61" spans="1:3" ht="12.75">
      <c r="A61" s="40">
        <v>312</v>
      </c>
      <c r="B61" s="47" t="s">
        <v>57</v>
      </c>
      <c r="C61" s="48">
        <v>1800</v>
      </c>
    </row>
    <row r="62" spans="1:3" ht="12.75">
      <c r="A62" s="40">
        <v>312</v>
      </c>
      <c r="B62" s="47" t="s">
        <v>58</v>
      </c>
      <c r="C62" s="48">
        <v>9000</v>
      </c>
    </row>
    <row r="63" spans="1:3" ht="12.75">
      <c r="A63" s="40">
        <v>312</v>
      </c>
      <c r="B63" s="47" t="s">
        <v>59</v>
      </c>
      <c r="C63" s="48">
        <v>16930</v>
      </c>
    </row>
    <row r="64" spans="1:3" ht="13.5" thickBot="1">
      <c r="A64" s="49">
        <v>312</v>
      </c>
      <c r="B64" s="50" t="s">
        <v>60</v>
      </c>
      <c r="C64" s="51">
        <v>0</v>
      </c>
    </row>
    <row r="65" spans="1:3" ht="16.5" thickBot="1">
      <c r="A65" s="52" t="s">
        <v>61</v>
      </c>
      <c r="B65" s="53"/>
      <c r="C65" s="54">
        <f>SUM(C8+C17+C36+C38+C50)</f>
        <v>1146936</v>
      </c>
    </row>
    <row r="66" spans="1:3" ht="16.5" thickBot="1">
      <c r="A66" s="55"/>
      <c r="B66" s="56" t="s">
        <v>62</v>
      </c>
      <c r="C66" s="57">
        <v>1540</v>
      </c>
    </row>
    <row r="67" spans="1:3" ht="16.5" thickBot="1">
      <c r="A67" s="52" t="s">
        <v>63</v>
      </c>
      <c r="B67" s="37"/>
      <c r="C67" s="54">
        <f>SUM(C65:C66)</f>
        <v>1148476</v>
      </c>
    </row>
    <row r="68" spans="1:3" ht="16.5" thickBot="1">
      <c r="A68" s="58"/>
      <c r="B68" s="59"/>
      <c r="C68" s="59"/>
    </row>
    <row r="69" spans="1:4" ht="18.75" thickBot="1">
      <c r="A69" s="471" t="s">
        <v>64</v>
      </c>
      <c r="B69" s="472"/>
      <c r="C69" s="473"/>
      <c r="D69" s="60"/>
    </row>
    <row r="70" spans="1:3" ht="12.75">
      <c r="A70" s="450" t="s">
        <v>2</v>
      </c>
      <c r="B70" s="451"/>
      <c r="C70" s="441" t="s">
        <v>3</v>
      </c>
    </row>
    <row r="71" spans="1:3" ht="13.5" thickBot="1">
      <c r="A71" s="474"/>
      <c r="B71" s="475"/>
      <c r="C71" s="442"/>
    </row>
    <row r="72" spans="1:3" ht="13.5" thickBot="1">
      <c r="A72" s="61" t="s">
        <v>65</v>
      </c>
      <c r="B72" s="62"/>
      <c r="C72" s="63">
        <f>SUM(C73:C76)</f>
        <v>159213</v>
      </c>
    </row>
    <row r="73" spans="1:3" ht="12.75">
      <c r="A73" s="64" t="s">
        <v>66</v>
      </c>
      <c r="B73" s="65" t="s">
        <v>67</v>
      </c>
      <c r="C73" s="66">
        <v>135500</v>
      </c>
    </row>
    <row r="74" spans="1:3" ht="12.75">
      <c r="A74" s="67" t="s">
        <v>68</v>
      </c>
      <c r="B74" s="47" t="s">
        <v>69</v>
      </c>
      <c r="C74" s="48">
        <v>17240</v>
      </c>
    </row>
    <row r="75" spans="1:3" ht="12.75">
      <c r="A75" s="68" t="s">
        <v>70</v>
      </c>
      <c r="B75" s="47" t="s">
        <v>71</v>
      </c>
      <c r="C75" s="48">
        <v>3720</v>
      </c>
    </row>
    <row r="76" spans="1:3" ht="13.5" thickBot="1">
      <c r="A76" s="69" t="s">
        <v>72</v>
      </c>
      <c r="B76" s="70" t="s">
        <v>73</v>
      </c>
      <c r="C76" s="71">
        <v>2753</v>
      </c>
    </row>
    <row r="77" spans="1:3" ht="13.5" thickBot="1">
      <c r="A77" s="462" t="s">
        <v>74</v>
      </c>
      <c r="B77" s="463"/>
      <c r="C77" s="63">
        <f>SUM(C78)</f>
        <v>140</v>
      </c>
    </row>
    <row r="78" spans="1:3" ht="13.5" thickBot="1">
      <c r="A78" s="72" t="s">
        <v>75</v>
      </c>
      <c r="B78" s="59" t="s">
        <v>76</v>
      </c>
      <c r="C78" s="73">
        <v>140</v>
      </c>
    </row>
    <row r="79" spans="1:3" ht="13.5" thickBot="1">
      <c r="A79" s="462" t="s">
        <v>77</v>
      </c>
      <c r="B79" s="463"/>
      <c r="C79" s="63">
        <f>SUM(C80)</f>
        <v>5000</v>
      </c>
    </row>
    <row r="80" spans="1:3" ht="13.5" thickBot="1">
      <c r="A80" s="74" t="s">
        <v>78</v>
      </c>
      <c r="B80" s="75" t="s">
        <v>79</v>
      </c>
      <c r="C80" s="76">
        <v>5000</v>
      </c>
    </row>
    <row r="81" spans="1:3" ht="13.5" thickBot="1">
      <c r="A81" s="61" t="s">
        <v>80</v>
      </c>
      <c r="B81" s="77"/>
      <c r="C81" s="63">
        <f>SUM(C82:C85)</f>
        <v>137364</v>
      </c>
    </row>
    <row r="82" spans="1:3" ht="12.75">
      <c r="A82" s="78" t="s">
        <v>81</v>
      </c>
      <c r="B82" s="27" t="s">
        <v>82</v>
      </c>
      <c r="C82" s="28">
        <v>2000</v>
      </c>
    </row>
    <row r="83" spans="1:3" ht="12.75">
      <c r="A83" s="68" t="s">
        <v>83</v>
      </c>
      <c r="B83" s="47" t="s">
        <v>84</v>
      </c>
      <c r="C83" s="48">
        <v>5500</v>
      </c>
    </row>
    <row r="84" spans="1:3" ht="12.75">
      <c r="A84" s="68" t="s">
        <v>85</v>
      </c>
      <c r="B84" s="47" t="s">
        <v>86</v>
      </c>
      <c r="C84" s="79">
        <f>15000+7000</f>
        <v>22000</v>
      </c>
    </row>
    <row r="85" spans="1:3" ht="13.5" thickBot="1">
      <c r="A85" s="80" t="s">
        <v>87</v>
      </c>
      <c r="B85" s="50" t="s">
        <v>88</v>
      </c>
      <c r="C85" s="81">
        <f>110000-2782+646</f>
        <v>107864</v>
      </c>
    </row>
    <row r="86" spans="1:3" ht="13.5" thickBot="1">
      <c r="A86" s="61" t="s">
        <v>89</v>
      </c>
      <c r="B86" s="62"/>
      <c r="C86" s="63">
        <f>SUM(C87:C88)</f>
        <v>25000</v>
      </c>
    </row>
    <row r="87" spans="1:3" ht="12.75">
      <c r="A87" s="82" t="s">
        <v>90</v>
      </c>
      <c r="B87" s="83" t="s">
        <v>91</v>
      </c>
      <c r="C87" s="84">
        <v>20000</v>
      </c>
    </row>
    <row r="88" spans="1:3" ht="13.5" thickBot="1">
      <c r="A88" s="85" t="s">
        <v>92</v>
      </c>
      <c r="B88" s="86" t="s">
        <v>93</v>
      </c>
      <c r="C88" s="87">
        <v>5000</v>
      </c>
    </row>
    <row r="89" spans="1:3" ht="13.5" thickBot="1">
      <c r="A89" s="61" t="s">
        <v>94</v>
      </c>
      <c r="B89" s="77"/>
      <c r="C89" s="63">
        <f>SUM(C90)</f>
        <v>15000</v>
      </c>
    </row>
    <row r="90" spans="1:3" ht="13.5" thickBot="1">
      <c r="A90" s="88" t="s">
        <v>95</v>
      </c>
      <c r="B90" s="50" t="s">
        <v>96</v>
      </c>
      <c r="C90" s="51">
        <v>15000</v>
      </c>
    </row>
    <row r="91" spans="1:3" ht="13.5" thickBot="1">
      <c r="A91" s="89" t="s">
        <v>97</v>
      </c>
      <c r="B91" s="62"/>
      <c r="C91" s="63">
        <f>SUM(C92:C107)</f>
        <v>77100</v>
      </c>
    </row>
    <row r="92" spans="1:3" ht="12.75">
      <c r="A92" s="90" t="s">
        <v>98</v>
      </c>
      <c r="B92" s="65" t="s">
        <v>99</v>
      </c>
      <c r="C92" s="66">
        <v>8000</v>
      </c>
    </row>
    <row r="93" spans="1:3" ht="13.5" thickBot="1">
      <c r="A93" s="85" t="s">
        <v>98</v>
      </c>
      <c r="B93" s="86" t="s">
        <v>100</v>
      </c>
      <c r="C93" s="87">
        <v>5000</v>
      </c>
    </row>
    <row r="94" spans="1:3" ht="12.75">
      <c r="A94" s="90" t="s">
        <v>101</v>
      </c>
      <c r="B94" s="91" t="s">
        <v>211</v>
      </c>
      <c r="C94" s="92">
        <v>18000</v>
      </c>
    </row>
    <row r="95" spans="1:3" ht="12.75">
      <c r="A95" s="68" t="s">
        <v>103</v>
      </c>
      <c r="B95" s="93" t="s">
        <v>210</v>
      </c>
      <c r="C95" s="48">
        <v>1000</v>
      </c>
    </row>
    <row r="96" spans="1:3" ht="13.5" thickBot="1">
      <c r="A96" s="85" t="s">
        <v>105</v>
      </c>
      <c r="B96" s="86" t="s">
        <v>106</v>
      </c>
      <c r="C96" s="87">
        <v>2000</v>
      </c>
    </row>
    <row r="97" spans="1:3" ht="12.75">
      <c r="A97" s="68" t="s">
        <v>107</v>
      </c>
      <c r="B97" s="47" t="s">
        <v>215</v>
      </c>
      <c r="C97" s="48">
        <v>2000</v>
      </c>
    </row>
    <row r="98" spans="1:3" ht="12.75">
      <c r="A98" s="68" t="s">
        <v>107</v>
      </c>
      <c r="B98" s="47" t="s">
        <v>216</v>
      </c>
      <c r="C98" s="48">
        <v>3000</v>
      </c>
    </row>
    <row r="99" spans="1:3" ht="12.75">
      <c r="A99" s="68" t="s">
        <v>107</v>
      </c>
      <c r="B99" s="47" t="s">
        <v>110</v>
      </c>
      <c r="C99" s="48">
        <v>9000</v>
      </c>
    </row>
    <row r="100" spans="1:3" ht="12.75">
      <c r="A100" s="68" t="s">
        <v>107</v>
      </c>
      <c r="B100" s="47" t="s">
        <v>111</v>
      </c>
      <c r="C100" s="48">
        <v>1000</v>
      </c>
    </row>
    <row r="101" spans="1:3" ht="12.75">
      <c r="A101" s="68" t="s">
        <v>107</v>
      </c>
      <c r="B101" s="47" t="s">
        <v>214</v>
      </c>
      <c r="C101" s="48">
        <v>200</v>
      </c>
    </row>
    <row r="102" spans="1:3" ht="12.75">
      <c r="A102" s="68" t="s">
        <v>107</v>
      </c>
      <c r="B102" s="47" t="s">
        <v>212</v>
      </c>
      <c r="C102" s="48">
        <v>1000</v>
      </c>
    </row>
    <row r="103" spans="1:3" ht="12.75">
      <c r="A103" s="68" t="s">
        <v>107</v>
      </c>
      <c r="B103" s="47" t="s">
        <v>213</v>
      </c>
      <c r="C103" s="48">
        <v>300</v>
      </c>
    </row>
    <row r="104" spans="1:3" ht="13.5" thickBot="1">
      <c r="A104" s="85" t="s">
        <v>107</v>
      </c>
      <c r="B104" s="86" t="s">
        <v>112</v>
      </c>
      <c r="C104" s="87">
        <v>9000</v>
      </c>
    </row>
    <row r="105" spans="1:3" ht="12.75">
      <c r="A105" s="82" t="s">
        <v>113</v>
      </c>
      <c r="B105" s="83" t="s">
        <v>209</v>
      </c>
      <c r="C105" s="84">
        <v>1600</v>
      </c>
    </row>
    <row r="106" spans="1:3" ht="12.75">
      <c r="A106" s="90" t="s">
        <v>115</v>
      </c>
      <c r="B106" s="65" t="s">
        <v>116</v>
      </c>
      <c r="C106" s="66">
        <v>12000</v>
      </c>
    </row>
    <row r="107" spans="1:3" ht="13.5" thickBot="1">
      <c r="A107" s="85" t="s">
        <v>117</v>
      </c>
      <c r="B107" s="86" t="s">
        <v>217</v>
      </c>
      <c r="C107" s="87">
        <v>4000</v>
      </c>
    </row>
    <row r="108" spans="1:3" ht="13.5" thickBot="1">
      <c r="A108" s="462" t="s">
        <v>119</v>
      </c>
      <c r="B108" s="463"/>
      <c r="C108" s="63">
        <f>SUM(C109:C113)</f>
        <v>279970</v>
      </c>
    </row>
    <row r="109" spans="1:3" ht="12.75">
      <c r="A109" s="94" t="s">
        <v>120</v>
      </c>
      <c r="B109" s="95" t="s">
        <v>121</v>
      </c>
      <c r="C109" s="96">
        <f>100000</f>
        <v>100000</v>
      </c>
    </row>
    <row r="110" spans="1:3" ht="12.75">
      <c r="A110" s="97" t="s">
        <v>122</v>
      </c>
      <c r="B110" s="31" t="s">
        <v>123</v>
      </c>
      <c r="C110" s="32">
        <v>5040</v>
      </c>
    </row>
    <row r="111" spans="1:3" ht="12.75">
      <c r="A111" s="97" t="s">
        <v>124</v>
      </c>
      <c r="B111" s="31" t="s">
        <v>125</v>
      </c>
      <c r="C111" s="32">
        <v>103000</v>
      </c>
    </row>
    <row r="112" spans="1:3" ht="12.75">
      <c r="A112" s="97" t="s">
        <v>126</v>
      </c>
      <c r="B112" s="31" t="s">
        <v>127</v>
      </c>
      <c r="C112" s="32">
        <v>55000</v>
      </c>
    </row>
    <row r="113" spans="1:3" ht="13.5" thickBot="1">
      <c r="A113" s="80" t="s">
        <v>128</v>
      </c>
      <c r="B113" s="50" t="s">
        <v>129</v>
      </c>
      <c r="C113" s="98">
        <v>16930</v>
      </c>
    </row>
    <row r="114" spans="1:3" ht="13.5" thickBot="1">
      <c r="A114" s="61" t="s">
        <v>130</v>
      </c>
      <c r="B114" s="62"/>
      <c r="C114" s="63">
        <f>SUM(C115:C123)</f>
        <v>115050</v>
      </c>
    </row>
    <row r="115" spans="1:3" ht="12.75">
      <c r="A115" s="90" t="s">
        <v>131</v>
      </c>
      <c r="B115" s="65" t="s">
        <v>132</v>
      </c>
      <c r="C115" s="66">
        <v>70000</v>
      </c>
    </row>
    <row r="116" spans="1:3" ht="12.75">
      <c r="A116" s="68" t="s">
        <v>133</v>
      </c>
      <c r="B116" s="47" t="s">
        <v>134</v>
      </c>
      <c r="C116" s="48">
        <v>11000</v>
      </c>
    </row>
    <row r="117" spans="1:3" ht="13.5" thickBot="1">
      <c r="A117" s="85" t="s">
        <v>133</v>
      </c>
      <c r="B117" s="86" t="s">
        <v>135</v>
      </c>
      <c r="C117" s="87">
        <v>2000</v>
      </c>
    </row>
    <row r="118" spans="1:3" ht="12.75">
      <c r="A118" s="90" t="s">
        <v>136</v>
      </c>
      <c r="B118" s="65" t="s">
        <v>137</v>
      </c>
      <c r="C118" s="66">
        <v>500</v>
      </c>
    </row>
    <row r="119" spans="1:3" ht="12.75">
      <c r="A119" s="68" t="s">
        <v>138</v>
      </c>
      <c r="B119" s="47" t="s">
        <v>139</v>
      </c>
      <c r="C119" s="48">
        <v>2500</v>
      </c>
    </row>
    <row r="120" spans="1:3" ht="12.75">
      <c r="A120" s="68" t="s">
        <v>138</v>
      </c>
      <c r="B120" s="47" t="s">
        <v>141</v>
      </c>
      <c r="C120" s="48">
        <v>16000</v>
      </c>
    </row>
    <row r="121" spans="1:3" ht="12.75">
      <c r="A121" s="68" t="s">
        <v>140</v>
      </c>
      <c r="B121" s="47" t="s">
        <v>142</v>
      </c>
      <c r="C121" s="48">
        <v>12350</v>
      </c>
    </row>
    <row r="122" spans="1:3" ht="12.75">
      <c r="A122" s="68" t="s">
        <v>143</v>
      </c>
      <c r="B122" s="47" t="s">
        <v>144</v>
      </c>
      <c r="C122" s="48">
        <v>400</v>
      </c>
    </row>
    <row r="123" spans="1:3" ht="13.5" thickBot="1">
      <c r="A123" s="85" t="s">
        <v>145</v>
      </c>
      <c r="B123" s="86" t="s">
        <v>146</v>
      </c>
      <c r="C123" s="87">
        <v>300</v>
      </c>
    </row>
    <row r="124" spans="1:3" ht="16.5" thickBot="1">
      <c r="A124" s="99" t="s">
        <v>147</v>
      </c>
      <c r="B124" s="100"/>
      <c r="C124" s="101">
        <f>SUM(C72+C77+C79+C81+C86+C89+C91+C108+C114)</f>
        <v>813837</v>
      </c>
    </row>
    <row r="125" spans="1:3" ht="12.75">
      <c r="A125" s="102" t="s">
        <v>122</v>
      </c>
      <c r="B125" s="103" t="s">
        <v>148</v>
      </c>
      <c r="C125" s="104">
        <f>C54+C66-40</f>
        <v>302026</v>
      </c>
    </row>
    <row r="126" spans="1:3" ht="12.75">
      <c r="A126" s="105" t="s">
        <v>149</v>
      </c>
      <c r="B126" s="43" t="s">
        <v>150</v>
      </c>
      <c r="C126" s="106">
        <v>17000</v>
      </c>
    </row>
    <row r="127" spans="1:3" ht="13.5" thickBot="1">
      <c r="A127" s="464" t="s">
        <v>151</v>
      </c>
      <c r="B127" s="465"/>
      <c r="C127" s="107">
        <f>SUM(C125:C126)</f>
        <v>319026</v>
      </c>
    </row>
    <row r="128" spans="1:3" ht="16.5" thickBot="1">
      <c r="A128" s="108" t="s">
        <v>152</v>
      </c>
      <c r="B128" s="77"/>
      <c r="C128" s="109">
        <f>C124+C127</f>
        <v>1132863</v>
      </c>
    </row>
    <row r="130" spans="1:3" ht="13.5" thickBot="1">
      <c r="A130" s="110"/>
      <c r="B130" s="111"/>
      <c r="C130" s="111"/>
    </row>
    <row r="131" spans="1:4" ht="18.75" thickBot="1">
      <c r="A131" s="466" t="s">
        <v>153</v>
      </c>
      <c r="B131" s="467"/>
      <c r="C131" s="468"/>
      <c r="D131" s="112"/>
    </row>
    <row r="132" spans="1:4" ht="12.75">
      <c r="A132" s="450" t="s">
        <v>2</v>
      </c>
      <c r="B132" s="451"/>
      <c r="C132" s="441" t="s">
        <v>3</v>
      </c>
      <c r="D132" s="113"/>
    </row>
    <row r="133" spans="1:3" ht="13.5" thickBot="1">
      <c r="A133" s="459"/>
      <c r="B133" s="460"/>
      <c r="C133" s="461"/>
    </row>
    <row r="134" spans="1:3" ht="16.5" thickBot="1">
      <c r="A134" s="454" t="s">
        <v>154</v>
      </c>
      <c r="B134" s="455"/>
      <c r="C134" s="121">
        <f>SUM(C135:C141)</f>
        <v>3347518</v>
      </c>
    </row>
    <row r="135" spans="1:3" ht="13.5" thickBot="1">
      <c r="A135" s="114">
        <v>230</v>
      </c>
      <c r="B135" s="115" t="s">
        <v>155</v>
      </c>
      <c r="C135" s="116">
        <v>4000</v>
      </c>
    </row>
    <row r="136" spans="1:3" ht="12.75">
      <c r="A136" s="117">
        <v>321</v>
      </c>
      <c r="B136" s="83" t="s">
        <v>156</v>
      </c>
      <c r="C136" s="84">
        <v>0</v>
      </c>
    </row>
    <row r="137" spans="1:3" ht="12.75">
      <c r="A137" s="40">
        <v>322</v>
      </c>
      <c r="B137" s="47" t="s">
        <v>157</v>
      </c>
      <c r="C137" s="48">
        <v>446805</v>
      </c>
    </row>
    <row r="138" spans="1:3" ht="12.75">
      <c r="A138" s="40">
        <v>322</v>
      </c>
      <c r="B138" s="47" t="s">
        <v>158</v>
      </c>
      <c r="C138" s="48">
        <v>566158</v>
      </c>
    </row>
    <row r="139" spans="1:3" ht="12.75">
      <c r="A139" s="40">
        <v>322</v>
      </c>
      <c r="B139" s="47" t="s">
        <v>159</v>
      </c>
      <c r="C139" s="48">
        <v>933113</v>
      </c>
    </row>
    <row r="140" spans="1:3" ht="12.75">
      <c r="A140" s="40">
        <v>322</v>
      </c>
      <c r="B140" s="47" t="s">
        <v>160</v>
      </c>
      <c r="C140" s="48">
        <v>0</v>
      </c>
    </row>
    <row r="141" spans="1:3" ht="13.5" thickBot="1">
      <c r="A141" s="118">
        <v>322</v>
      </c>
      <c r="B141" s="86" t="s">
        <v>161</v>
      </c>
      <c r="C141" s="87">
        <v>1397442</v>
      </c>
    </row>
    <row r="142" spans="1:3" ht="18.75" thickBot="1">
      <c r="A142" s="119"/>
      <c r="B142" s="60"/>
      <c r="C142" s="120"/>
    </row>
    <row r="143" spans="1:3" ht="16.5" thickBot="1">
      <c r="A143" s="454" t="s">
        <v>162</v>
      </c>
      <c r="B143" s="455"/>
      <c r="C143" s="121">
        <f>SUM(C144:C156)</f>
        <v>3679665</v>
      </c>
    </row>
    <row r="144" spans="1:3" ht="12.75">
      <c r="A144" s="68" t="s">
        <v>83</v>
      </c>
      <c r="B144" s="9" t="s">
        <v>163</v>
      </c>
      <c r="C144" s="10">
        <v>4000</v>
      </c>
    </row>
    <row r="145" spans="1:3" ht="12.75">
      <c r="A145" s="122" t="s">
        <v>83</v>
      </c>
      <c r="B145" s="9" t="s">
        <v>164</v>
      </c>
      <c r="C145" s="123">
        <v>15000</v>
      </c>
    </row>
    <row r="146" spans="1:3" ht="13.5" thickBot="1">
      <c r="A146" s="124" t="s">
        <v>83</v>
      </c>
      <c r="B146" s="125" t="s">
        <v>205</v>
      </c>
      <c r="C146" s="126">
        <f>30988+32752+18700</f>
        <v>82440</v>
      </c>
    </row>
    <row r="147" spans="1:3" ht="12.75">
      <c r="A147" s="127" t="s">
        <v>87</v>
      </c>
      <c r="B147" s="128" t="s">
        <v>166</v>
      </c>
      <c r="C147" s="129">
        <v>2000</v>
      </c>
    </row>
    <row r="148" spans="1:3" ht="12.75">
      <c r="A148" s="64" t="s">
        <v>90</v>
      </c>
      <c r="B148" s="6" t="s">
        <v>167</v>
      </c>
      <c r="C148" s="7">
        <f>470321+20000</f>
        <v>490321</v>
      </c>
    </row>
    <row r="149" spans="1:3" ht="12.75">
      <c r="A149" s="97" t="s">
        <v>168</v>
      </c>
      <c r="B149" s="130" t="s">
        <v>169</v>
      </c>
      <c r="C149" s="10">
        <v>40000</v>
      </c>
    </row>
    <row r="150" spans="1:3" ht="12.75">
      <c r="A150" s="68" t="s">
        <v>168</v>
      </c>
      <c r="B150" s="9" t="s">
        <v>170</v>
      </c>
      <c r="C150" s="10">
        <f>1470992-60663-500</f>
        <v>1409829</v>
      </c>
    </row>
    <row r="151" spans="1:3" ht="12.75">
      <c r="A151" s="97" t="s">
        <v>171</v>
      </c>
      <c r="B151" s="9" t="s">
        <v>172</v>
      </c>
      <c r="C151" s="10">
        <v>25000</v>
      </c>
    </row>
    <row r="152" spans="1:3" ht="12.75">
      <c r="A152" s="131" t="s">
        <v>171</v>
      </c>
      <c r="B152" s="6" t="s">
        <v>173</v>
      </c>
      <c r="C152" s="7">
        <v>984949</v>
      </c>
    </row>
    <row r="153" spans="1:3" ht="12.75">
      <c r="A153" s="64" t="s">
        <v>103</v>
      </c>
      <c r="B153" s="6" t="s">
        <v>174</v>
      </c>
      <c r="C153" s="7">
        <v>0</v>
      </c>
    </row>
    <row r="154" spans="1:3" ht="12.75">
      <c r="A154" s="67" t="s">
        <v>122</v>
      </c>
      <c r="B154" s="9" t="s">
        <v>175</v>
      </c>
      <c r="C154" s="10">
        <v>0</v>
      </c>
    </row>
    <row r="155" spans="1:3" ht="12.75">
      <c r="A155" s="67" t="s">
        <v>122</v>
      </c>
      <c r="B155" s="9" t="s">
        <v>176</v>
      </c>
      <c r="C155" s="10">
        <v>624126</v>
      </c>
    </row>
    <row r="156" spans="1:3" ht="13.5" thickBot="1">
      <c r="A156" s="132" t="s">
        <v>126</v>
      </c>
      <c r="B156" s="20" t="s">
        <v>177</v>
      </c>
      <c r="C156" s="21">
        <v>2000</v>
      </c>
    </row>
    <row r="162" spans="1:3" ht="12.75">
      <c r="A162" s="133"/>
      <c r="B162" s="134"/>
      <c r="C162" s="134"/>
    </row>
    <row r="163" spans="1:3" ht="13.5" thickBot="1">
      <c r="A163" s="134"/>
      <c r="B163" s="111"/>
      <c r="C163" s="111"/>
    </row>
    <row r="164" spans="1:3" ht="18.75" thickBot="1">
      <c r="A164" s="456" t="s">
        <v>178</v>
      </c>
      <c r="B164" s="457"/>
      <c r="C164" s="458"/>
    </row>
    <row r="165" spans="1:3" ht="12.75">
      <c r="A165" s="450" t="s">
        <v>2</v>
      </c>
      <c r="B165" s="451"/>
      <c r="C165" s="441" t="s">
        <v>3</v>
      </c>
    </row>
    <row r="166" spans="1:3" ht="13.5" thickBot="1">
      <c r="A166" s="459"/>
      <c r="B166" s="460"/>
      <c r="C166" s="461"/>
    </row>
    <row r="167" spans="1:3" ht="16.5" thickBot="1">
      <c r="A167" s="446" t="s">
        <v>179</v>
      </c>
      <c r="B167" s="436"/>
      <c r="C167" s="135">
        <f>SUM(C168:C170)</f>
        <v>332574</v>
      </c>
    </row>
    <row r="168" spans="1:4" ht="13.5" customHeight="1">
      <c r="A168" s="136">
        <v>411</v>
      </c>
      <c r="B168" s="137" t="s">
        <v>180</v>
      </c>
      <c r="C168" s="138">
        <v>427</v>
      </c>
      <c r="D168" s="140"/>
    </row>
    <row r="169" spans="1:3" ht="12.75">
      <c r="A169" s="139">
        <v>454</v>
      </c>
      <c r="B169" s="41" t="s">
        <v>181</v>
      </c>
      <c r="C169" s="42">
        <f>8123+33723</f>
        <v>41846</v>
      </c>
    </row>
    <row r="170" spans="1:4" ht="13.5" thickBot="1">
      <c r="A170" s="141">
        <v>513</v>
      </c>
      <c r="B170" s="142" t="s">
        <v>182</v>
      </c>
      <c r="C170" s="143">
        <v>290301</v>
      </c>
      <c r="D170" s="164">
        <f>SUM(C169:C170)</f>
        <v>332147</v>
      </c>
    </row>
    <row r="171" spans="1:3" ht="16.5" thickBot="1">
      <c r="A171" s="446" t="s">
        <v>183</v>
      </c>
      <c r="B171" s="436"/>
      <c r="C171" s="135">
        <f>SUM(C172:C173)</f>
        <v>16040</v>
      </c>
    </row>
    <row r="172" spans="1:3" ht="12.75">
      <c r="A172" s="144">
        <v>821</v>
      </c>
      <c r="B172" s="137" t="s">
        <v>184</v>
      </c>
      <c r="C172" s="145">
        <f>870*12+5000</f>
        <v>15440</v>
      </c>
    </row>
    <row r="173" spans="1:3" ht="13.5" thickBot="1">
      <c r="A173" s="25">
        <v>821</v>
      </c>
      <c r="B173" s="146" t="s">
        <v>185</v>
      </c>
      <c r="C173" s="147">
        <v>600</v>
      </c>
    </row>
    <row r="174" spans="1:3" ht="15.75">
      <c r="A174" s="58"/>
      <c r="B174" s="110"/>
      <c r="C174" s="110"/>
    </row>
    <row r="175" spans="1:3" ht="15.75">
      <c r="A175" s="58"/>
      <c r="B175" s="110"/>
      <c r="C175" s="110"/>
    </row>
    <row r="176" spans="1:3" ht="15.75">
      <c r="A176" s="58"/>
      <c r="B176" s="110"/>
      <c r="C176" s="110"/>
    </row>
    <row r="177" spans="2:3" ht="13.5" thickBot="1">
      <c r="B177" s="111"/>
      <c r="C177" s="111"/>
    </row>
    <row r="178" spans="1:3" ht="18.75" thickBot="1">
      <c r="A178" s="447" t="s">
        <v>186</v>
      </c>
      <c r="B178" s="448"/>
      <c r="C178" s="449"/>
    </row>
    <row r="179" spans="1:3" ht="12.75">
      <c r="A179" s="450" t="s">
        <v>2</v>
      </c>
      <c r="B179" s="451"/>
      <c r="C179" s="439" t="s">
        <v>3</v>
      </c>
    </row>
    <row r="180" spans="1:3" ht="13.5" thickBot="1">
      <c r="A180" s="452"/>
      <c r="B180" s="453"/>
      <c r="C180" s="440"/>
    </row>
    <row r="181" spans="1:3" ht="15">
      <c r="A181" s="148" t="s">
        <v>187</v>
      </c>
      <c r="B181" s="16"/>
      <c r="C181" s="84">
        <f>C67</f>
        <v>1148476</v>
      </c>
    </row>
    <row r="182" spans="1:3" ht="15">
      <c r="A182" s="149" t="s">
        <v>188</v>
      </c>
      <c r="B182" s="9"/>
      <c r="C182" s="48">
        <f>C128</f>
        <v>1132863</v>
      </c>
    </row>
    <row r="183" spans="1:3" ht="15.75">
      <c r="A183" s="150"/>
      <c r="B183" s="151" t="s">
        <v>189</v>
      </c>
      <c r="C183" s="152">
        <f>C181-C182</f>
        <v>15613</v>
      </c>
    </row>
    <row r="184" spans="1:3" ht="15">
      <c r="A184" s="149" t="s">
        <v>190</v>
      </c>
      <c r="B184" s="9"/>
      <c r="C184" s="48">
        <f>C134</f>
        <v>3347518</v>
      </c>
    </row>
    <row r="185" spans="1:3" ht="15">
      <c r="A185" s="149" t="s">
        <v>191</v>
      </c>
      <c r="B185" s="9"/>
      <c r="C185" s="10">
        <f>C143</f>
        <v>3679665</v>
      </c>
    </row>
    <row r="186" spans="1:3" ht="15.75">
      <c r="A186" s="150"/>
      <c r="B186" s="153" t="s">
        <v>192</v>
      </c>
      <c r="C186" s="152">
        <f>C184-C185</f>
        <v>-332147</v>
      </c>
    </row>
    <row r="187" spans="1:3" ht="15">
      <c r="A187" s="437" t="s">
        <v>193</v>
      </c>
      <c r="B187" s="438"/>
      <c r="C187" s="79">
        <f>C167</f>
        <v>332574</v>
      </c>
    </row>
    <row r="188" spans="1:3" ht="15">
      <c r="A188" s="437" t="s">
        <v>194</v>
      </c>
      <c r="B188" s="438"/>
      <c r="C188" s="79">
        <f>C171</f>
        <v>16040</v>
      </c>
    </row>
    <row r="189" spans="1:3" ht="16.5" thickBot="1">
      <c r="A189" s="154"/>
      <c r="B189" s="155" t="s">
        <v>195</v>
      </c>
      <c r="C189" s="156">
        <f>C187-C188</f>
        <v>316534</v>
      </c>
    </row>
    <row r="190" spans="1:3" ht="16.5" thickBot="1">
      <c r="A190" s="443" t="s">
        <v>196</v>
      </c>
      <c r="B190" s="444"/>
      <c r="C190" s="157">
        <f>C183+C186+C189</f>
        <v>0</v>
      </c>
    </row>
    <row r="192" spans="2:3" ht="12.75">
      <c r="B192" s="158" t="s">
        <v>197</v>
      </c>
      <c r="C192" s="159">
        <f>C181+C184+C187</f>
        <v>4828568</v>
      </c>
    </row>
    <row r="193" spans="2:3" ht="12.75">
      <c r="B193" s="158" t="s">
        <v>198</v>
      </c>
      <c r="C193" s="159">
        <f>C182+C185+C188</f>
        <v>4828568</v>
      </c>
    </row>
    <row r="194" spans="2:3" ht="12.75">
      <c r="B194" s="158"/>
      <c r="C194" s="159"/>
    </row>
    <row r="195" spans="2:3" ht="12.75">
      <c r="B195" s="158" t="s">
        <v>199</v>
      </c>
      <c r="C195" s="159">
        <f>C192-C66</f>
        <v>4827028</v>
      </c>
    </row>
    <row r="196" spans="2:3" ht="12.75">
      <c r="B196" s="158" t="s">
        <v>200</v>
      </c>
      <c r="C196" s="159">
        <f>C193-C127</f>
        <v>4509542</v>
      </c>
    </row>
  </sheetData>
  <sheetProtection/>
  <mergeCells count="33">
    <mergeCell ref="A188:B188"/>
    <mergeCell ref="A190:B190"/>
    <mergeCell ref="A167:B167"/>
    <mergeCell ref="A171:B171"/>
    <mergeCell ref="A178:C178"/>
    <mergeCell ref="A179:B180"/>
    <mergeCell ref="C179:C180"/>
    <mergeCell ref="A187:B187"/>
    <mergeCell ref="A134:B134"/>
    <mergeCell ref="A143:B143"/>
    <mergeCell ref="A164:C164"/>
    <mergeCell ref="A165:B166"/>
    <mergeCell ref="C165:C166"/>
    <mergeCell ref="A77:B77"/>
    <mergeCell ref="A79:B79"/>
    <mergeCell ref="A108:B108"/>
    <mergeCell ref="A127:B127"/>
    <mergeCell ref="A131:C131"/>
    <mergeCell ref="A132:B133"/>
    <mergeCell ref="C132:C133"/>
    <mergeCell ref="A8:B8"/>
    <mergeCell ref="A17:B17"/>
    <mergeCell ref="A36:B36"/>
    <mergeCell ref="A38:B38"/>
    <mergeCell ref="A69:C69"/>
    <mergeCell ref="A70:B71"/>
    <mergeCell ref="C70:C71"/>
    <mergeCell ref="A6:B7"/>
    <mergeCell ref="C6:C7"/>
    <mergeCell ref="A1:C1"/>
    <mergeCell ref="A2:C2"/>
    <mergeCell ref="A3:C3"/>
    <mergeCell ref="A5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75390625" style="0" customWidth="1"/>
    <col min="2" max="2" width="43.75390625" style="0" customWidth="1"/>
    <col min="3" max="3" width="12.25390625" style="0" customWidth="1"/>
    <col min="4" max="4" width="11.375" style="0" customWidth="1"/>
  </cols>
  <sheetData>
    <row r="1" spans="1:4" ht="20.25">
      <c r="A1" s="476" t="s">
        <v>201</v>
      </c>
      <c r="B1" s="476"/>
      <c r="C1" s="476"/>
      <c r="D1" s="476"/>
    </row>
    <row r="2" spans="1:4" ht="12.75">
      <c r="A2" s="477" t="s">
        <v>202</v>
      </c>
      <c r="B2" s="477"/>
      <c r="C2" s="477"/>
      <c r="D2" s="477"/>
    </row>
    <row r="3" spans="1:4" ht="12.75">
      <c r="A3" s="445" t="s">
        <v>244</v>
      </c>
      <c r="B3" s="445"/>
      <c r="C3" s="445"/>
      <c r="D3" s="445"/>
    </row>
    <row r="4" ht="13.5" thickBot="1"/>
    <row r="5" spans="1:4" ht="18.75" thickBot="1">
      <c r="A5" s="478" t="s">
        <v>1</v>
      </c>
      <c r="B5" s="479"/>
      <c r="C5" s="483"/>
      <c r="D5" s="480"/>
    </row>
    <row r="6" spans="1:4" ht="12.75">
      <c r="A6" s="450" t="s">
        <v>2</v>
      </c>
      <c r="B6" s="451"/>
      <c r="C6" s="481" t="s">
        <v>203</v>
      </c>
      <c r="D6" s="481" t="s">
        <v>204</v>
      </c>
    </row>
    <row r="7" spans="1:4" ht="13.5" thickBot="1">
      <c r="A7" s="474"/>
      <c r="B7" s="475"/>
      <c r="C7" s="482"/>
      <c r="D7" s="482"/>
    </row>
    <row r="8" spans="1:4" ht="13.5" thickBot="1">
      <c r="A8" s="469" t="s">
        <v>4</v>
      </c>
      <c r="B8" s="470"/>
      <c r="C8" s="1">
        <f>SUM(C9:C16)</f>
        <v>652240</v>
      </c>
      <c r="D8" s="1">
        <f>SUM(D9:D16)</f>
        <v>652240</v>
      </c>
    </row>
    <row r="9" spans="1:4" ht="13.5" thickBot="1">
      <c r="A9" s="2">
        <v>111</v>
      </c>
      <c r="B9" s="3" t="s">
        <v>5</v>
      </c>
      <c r="C9" s="4">
        <v>610000</v>
      </c>
      <c r="D9" s="4">
        <v>610000</v>
      </c>
    </row>
    <row r="10" spans="1:4" ht="12.75">
      <c r="A10" s="5">
        <v>121</v>
      </c>
      <c r="B10" s="6" t="s">
        <v>6</v>
      </c>
      <c r="C10" s="7">
        <v>12200</v>
      </c>
      <c r="D10" s="7">
        <v>12200</v>
      </c>
    </row>
    <row r="11" spans="1:4" ht="12.75">
      <c r="A11" s="8">
        <v>121</v>
      </c>
      <c r="B11" s="9" t="s">
        <v>7</v>
      </c>
      <c r="C11" s="10">
        <v>13200</v>
      </c>
      <c r="D11" s="10">
        <v>13200</v>
      </c>
    </row>
    <row r="12" spans="1:5" ht="13.5" thickBot="1">
      <c r="A12" s="11">
        <v>121</v>
      </c>
      <c r="B12" s="12" t="s">
        <v>8</v>
      </c>
      <c r="C12" s="13">
        <v>70</v>
      </c>
      <c r="D12" s="13">
        <v>70</v>
      </c>
      <c r="E12" s="14">
        <f>SUM(D10:D12)</f>
        <v>25470</v>
      </c>
    </row>
    <row r="13" spans="1:4" ht="12.75">
      <c r="A13" s="5">
        <v>133</v>
      </c>
      <c r="B13" s="6" t="s">
        <v>9</v>
      </c>
      <c r="C13" s="7">
        <v>510</v>
      </c>
      <c r="D13" s="7">
        <v>510</v>
      </c>
    </row>
    <row r="14" spans="1:4" ht="12.75">
      <c r="A14" s="8">
        <v>133</v>
      </c>
      <c r="B14" s="9" t="s">
        <v>10</v>
      </c>
      <c r="C14" s="10">
        <v>260</v>
      </c>
      <c r="D14" s="10">
        <v>260</v>
      </c>
    </row>
    <row r="15" spans="1:4" ht="12.75">
      <c r="A15" s="8">
        <v>133</v>
      </c>
      <c r="B15" s="9" t="s">
        <v>11</v>
      </c>
      <c r="C15" s="10">
        <v>2200</v>
      </c>
      <c r="D15" s="10">
        <v>2200</v>
      </c>
    </row>
    <row r="16" spans="1:5" ht="13.5" thickBot="1">
      <c r="A16" s="11">
        <v>133</v>
      </c>
      <c r="B16" s="12" t="s">
        <v>12</v>
      </c>
      <c r="C16" s="13">
        <v>13800</v>
      </c>
      <c r="D16" s="13">
        <v>13800</v>
      </c>
      <c r="E16" s="14">
        <f>SUM(D13:D16)</f>
        <v>16770</v>
      </c>
    </row>
    <row r="17" spans="1:4" ht="13.5" thickBot="1">
      <c r="A17" s="469" t="s">
        <v>13</v>
      </c>
      <c r="B17" s="470"/>
      <c r="C17" s="1">
        <f>SUM(C18:C35)</f>
        <v>88310</v>
      </c>
      <c r="D17" s="1">
        <f>SUM(D18:D35)</f>
        <v>88310</v>
      </c>
    </row>
    <row r="18" spans="1:4" ht="12.75">
      <c r="A18" s="15">
        <v>212</v>
      </c>
      <c r="B18" s="16" t="s">
        <v>14</v>
      </c>
      <c r="C18" s="17">
        <v>640</v>
      </c>
      <c r="D18" s="17">
        <v>640</v>
      </c>
    </row>
    <row r="19" spans="1:4" ht="12.75">
      <c r="A19" s="5">
        <v>212</v>
      </c>
      <c r="B19" s="6" t="s">
        <v>15</v>
      </c>
      <c r="C19" s="7">
        <v>1000</v>
      </c>
      <c r="D19" s="7">
        <v>1000</v>
      </c>
    </row>
    <row r="20" spans="1:4" ht="12.75">
      <c r="A20" s="8">
        <v>212</v>
      </c>
      <c r="B20" s="9" t="s">
        <v>16</v>
      </c>
      <c r="C20" s="10">
        <v>3680</v>
      </c>
      <c r="D20" s="10">
        <v>3680</v>
      </c>
    </row>
    <row r="21" spans="1:5" ht="12.75">
      <c r="A21" s="8">
        <v>212</v>
      </c>
      <c r="B21" s="9" t="s">
        <v>17</v>
      </c>
      <c r="C21" s="10">
        <v>12000</v>
      </c>
      <c r="D21" s="10">
        <v>12000</v>
      </c>
      <c r="E21" s="18"/>
    </row>
    <row r="22" spans="1:5" ht="13.5" thickBot="1">
      <c r="A22" s="19">
        <v>212</v>
      </c>
      <c r="B22" s="20" t="s">
        <v>18</v>
      </c>
      <c r="C22" s="21">
        <v>20</v>
      </c>
      <c r="D22" s="21">
        <v>20</v>
      </c>
      <c r="E22" s="14">
        <f>SUM(D18:D22)</f>
        <v>17340</v>
      </c>
    </row>
    <row r="23" spans="1:4" ht="13.5" thickBot="1">
      <c r="A23" s="22">
        <v>221</v>
      </c>
      <c r="B23" s="23" t="s">
        <v>19</v>
      </c>
      <c r="C23" s="24">
        <v>9900</v>
      </c>
      <c r="D23" s="24">
        <v>9900</v>
      </c>
    </row>
    <row r="24" spans="1:4" ht="13.5" thickBot="1">
      <c r="A24" s="22">
        <v>222</v>
      </c>
      <c r="B24" s="23" t="s">
        <v>20</v>
      </c>
      <c r="C24" s="24">
        <v>100</v>
      </c>
      <c r="D24" s="24">
        <v>100</v>
      </c>
    </row>
    <row r="25" spans="1:4" ht="12.75">
      <c r="A25" s="5">
        <v>223</v>
      </c>
      <c r="B25" s="6" t="s">
        <v>21</v>
      </c>
      <c r="C25" s="7">
        <v>800</v>
      </c>
      <c r="D25" s="7">
        <v>800</v>
      </c>
    </row>
    <row r="26" spans="1:4" ht="12.75">
      <c r="A26" s="8">
        <v>223</v>
      </c>
      <c r="B26" s="9" t="s">
        <v>22</v>
      </c>
      <c r="C26" s="10">
        <v>420</v>
      </c>
      <c r="D26" s="10">
        <v>420</v>
      </c>
    </row>
    <row r="27" spans="1:4" ht="12.75">
      <c r="A27" s="8">
        <v>223</v>
      </c>
      <c r="B27" s="9" t="s">
        <v>23</v>
      </c>
      <c r="C27" s="10">
        <v>8000</v>
      </c>
      <c r="D27" s="10">
        <v>8000</v>
      </c>
    </row>
    <row r="28" spans="1:4" ht="12.75">
      <c r="A28" s="8">
        <v>223</v>
      </c>
      <c r="B28" s="9" t="s">
        <v>24</v>
      </c>
      <c r="C28" s="10">
        <v>12000</v>
      </c>
      <c r="D28" s="10">
        <v>12000</v>
      </c>
    </row>
    <row r="29" spans="1:4" ht="12.75">
      <c r="A29" s="8">
        <v>223</v>
      </c>
      <c r="B29" s="9" t="s">
        <v>25</v>
      </c>
      <c r="C29" s="10">
        <v>2000</v>
      </c>
      <c r="D29" s="10">
        <v>2000</v>
      </c>
    </row>
    <row r="30" spans="1:4" ht="12.75">
      <c r="A30" s="8">
        <v>223</v>
      </c>
      <c r="B30" s="9" t="s">
        <v>26</v>
      </c>
      <c r="C30" s="10">
        <v>650</v>
      </c>
      <c r="D30" s="10">
        <v>650</v>
      </c>
    </row>
    <row r="31" spans="1:4" ht="12.75">
      <c r="A31" s="8">
        <v>223</v>
      </c>
      <c r="B31" s="9" t="s">
        <v>27</v>
      </c>
      <c r="C31" s="10">
        <v>18000</v>
      </c>
      <c r="D31" s="10">
        <v>18000</v>
      </c>
    </row>
    <row r="32" spans="1:4" ht="12.75">
      <c r="A32" s="8">
        <v>223</v>
      </c>
      <c r="B32" s="9" t="s">
        <v>28</v>
      </c>
      <c r="C32" s="10">
        <v>6000</v>
      </c>
      <c r="D32" s="10">
        <v>6000</v>
      </c>
    </row>
    <row r="33" spans="1:4" ht="12.75">
      <c r="A33" s="8">
        <v>223</v>
      </c>
      <c r="B33" s="9" t="s">
        <v>29</v>
      </c>
      <c r="C33" s="10">
        <v>1000</v>
      </c>
      <c r="D33" s="10">
        <v>1000</v>
      </c>
    </row>
    <row r="34" spans="1:4" ht="12.75">
      <c r="A34" s="8">
        <v>223</v>
      </c>
      <c r="B34" s="9" t="s">
        <v>30</v>
      </c>
      <c r="C34" s="10">
        <v>12000</v>
      </c>
      <c r="D34" s="10">
        <v>12000</v>
      </c>
    </row>
    <row r="35" spans="1:5" ht="13.5" thickBot="1">
      <c r="A35" s="11">
        <v>223</v>
      </c>
      <c r="B35" s="12" t="s">
        <v>31</v>
      </c>
      <c r="C35" s="13">
        <v>100</v>
      </c>
      <c r="D35" s="13">
        <v>100</v>
      </c>
      <c r="E35" s="14">
        <f>SUM(D25:D35)</f>
        <v>60970</v>
      </c>
    </row>
    <row r="36" spans="1:4" ht="13.5" thickBot="1">
      <c r="A36" s="469" t="s">
        <v>32</v>
      </c>
      <c r="B36" s="470"/>
      <c r="C36" s="1">
        <f>SUM(C37)</f>
        <v>200</v>
      </c>
      <c r="D36" s="1">
        <f>SUM(D37)</f>
        <v>200</v>
      </c>
    </row>
    <row r="37" spans="1:4" ht="13.5" thickBot="1">
      <c r="A37" s="25">
        <v>240</v>
      </c>
      <c r="B37" s="20" t="s">
        <v>33</v>
      </c>
      <c r="C37" s="21">
        <v>200</v>
      </c>
      <c r="D37" s="21">
        <v>200</v>
      </c>
    </row>
    <row r="38" spans="1:4" ht="13.5" thickBot="1">
      <c r="A38" s="469" t="s">
        <v>34</v>
      </c>
      <c r="B38" s="470"/>
      <c r="C38" s="1">
        <f>SUM(C39:C49)</f>
        <v>16640</v>
      </c>
      <c r="D38" s="1">
        <f>SUM(D39:D49)</f>
        <v>16640</v>
      </c>
    </row>
    <row r="39" spans="1:5" ht="12.75">
      <c r="A39" s="26">
        <v>292</v>
      </c>
      <c r="B39" s="27" t="s">
        <v>35</v>
      </c>
      <c r="C39" s="28">
        <v>0</v>
      </c>
      <c r="D39" s="28">
        <v>0</v>
      </c>
      <c r="E39" s="29"/>
    </row>
    <row r="40" spans="1:4" ht="12.75">
      <c r="A40" s="26">
        <v>292</v>
      </c>
      <c r="B40" s="27" t="s">
        <v>36</v>
      </c>
      <c r="C40" s="28">
        <v>200</v>
      </c>
      <c r="D40" s="28">
        <v>200</v>
      </c>
    </row>
    <row r="41" spans="1:4" ht="12.75">
      <c r="A41" s="30">
        <v>292</v>
      </c>
      <c r="B41" s="31" t="s">
        <v>37</v>
      </c>
      <c r="C41" s="32">
        <v>0</v>
      </c>
      <c r="D41" s="32">
        <v>0</v>
      </c>
    </row>
    <row r="42" spans="1:4" ht="12.75">
      <c r="A42" s="30">
        <v>292</v>
      </c>
      <c r="B42" s="9" t="s">
        <v>38</v>
      </c>
      <c r="C42" s="33">
        <v>140</v>
      </c>
      <c r="D42" s="33">
        <v>140</v>
      </c>
    </row>
    <row r="43" spans="1:4" ht="12.75">
      <c r="A43" s="30">
        <v>292</v>
      </c>
      <c r="B43" s="31" t="s">
        <v>39</v>
      </c>
      <c r="C43" s="32">
        <v>7000</v>
      </c>
      <c r="D43" s="32">
        <v>7000</v>
      </c>
    </row>
    <row r="44" spans="1:4" ht="12.75">
      <c r="A44" s="30">
        <v>292</v>
      </c>
      <c r="B44" s="31" t="s">
        <v>40</v>
      </c>
      <c r="C44" s="32">
        <v>200</v>
      </c>
      <c r="D44" s="32">
        <v>200</v>
      </c>
    </row>
    <row r="45" spans="1:4" ht="12.75">
      <c r="A45" s="30">
        <v>292</v>
      </c>
      <c r="B45" s="31" t="s">
        <v>41</v>
      </c>
      <c r="C45" s="32">
        <v>0</v>
      </c>
      <c r="D45" s="32">
        <v>0</v>
      </c>
    </row>
    <row r="46" spans="1:4" ht="12.75">
      <c r="A46" s="30">
        <v>292</v>
      </c>
      <c r="B46" s="9" t="s">
        <v>42</v>
      </c>
      <c r="C46" s="33">
        <v>8000</v>
      </c>
      <c r="D46" s="33">
        <v>8000</v>
      </c>
    </row>
    <row r="47" spans="1:4" ht="12.75">
      <c r="A47" s="30">
        <v>292</v>
      </c>
      <c r="B47" s="9" t="s">
        <v>43</v>
      </c>
      <c r="C47" s="33">
        <v>1000</v>
      </c>
      <c r="D47" s="33">
        <v>1000</v>
      </c>
    </row>
    <row r="48" spans="1:4" ht="12.75">
      <c r="A48" s="30">
        <v>292</v>
      </c>
      <c r="B48" s="9" t="s">
        <v>44</v>
      </c>
      <c r="C48" s="33">
        <v>100</v>
      </c>
      <c r="D48" s="33">
        <v>100</v>
      </c>
    </row>
    <row r="49" spans="1:4" ht="13.5" thickBot="1">
      <c r="A49" s="34">
        <v>292</v>
      </c>
      <c r="B49" s="20" t="s">
        <v>45</v>
      </c>
      <c r="C49" s="35">
        <v>0</v>
      </c>
      <c r="D49" s="35">
        <v>0</v>
      </c>
    </row>
    <row r="50" spans="1:4" ht="13.5" thickBot="1">
      <c r="A50" s="36" t="s">
        <v>46</v>
      </c>
      <c r="B50" s="37"/>
      <c r="C50" s="38">
        <f>SUM(C51:C63)</f>
        <v>349600</v>
      </c>
      <c r="D50" s="38">
        <f>SUM(D51:D63)</f>
        <v>349600</v>
      </c>
    </row>
    <row r="51" spans="1:4" ht="12.75">
      <c r="A51" s="39">
        <v>311</v>
      </c>
      <c r="B51" s="6" t="s">
        <v>47</v>
      </c>
      <c r="C51" s="7">
        <v>0</v>
      </c>
      <c r="D51" s="7">
        <v>0</v>
      </c>
    </row>
    <row r="52" spans="1:4" ht="12.75">
      <c r="A52" s="40">
        <v>312</v>
      </c>
      <c r="B52" s="9" t="s">
        <v>48</v>
      </c>
      <c r="C52" s="10">
        <v>3700</v>
      </c>
      <c r="D52" s="10">
        <v>3700</v>
      </c>
    </row>
    <row r="53" spans="1:4" ht="12.75">
      <c r="A53" s="40">
        <v>312</v>
      </c>
      <c r="B53" s="41" t="s">
        <v>49</v>
      </c>
      <c r="C53" s="42">
        <v>3100</v>
      </c>
      <c r="D53" s="42">
        <v>3100</v>
      </c>
    </row>
    <row r="54" spans="1:4" ht="12.75">
      <c r="A54" s="40">
        <v>312</v>
      </c>
      <c r="B54" s="43" t="s">
        <v>50</v>
      </c>
      <c r="C54" s="44">
        <f>289000+6000+5400</f>
        <v>300400</v>
      </c>
      <c r="D54" s="44">
        <f>289000+6000+5400</f>
        <v>300400</v>
      </c>
    </row>
    <row r="55" spans="1:4" ht="12.75">
      <c r="A55" s="40">
        <v>312</v>
      </c>
      <c r="B55" s="45" t="s">
        <v>51</v>
      </c>
      <c r="C55" s="46">
        <v>2000</v>
      </c>
      <c r="D55" s="46">
        <v>2000</v>
      </c>
    </row>
    <row r="56" spans="1:4" ht="12.75">
      <c r="A56" s="40">
        <v>312</v>
      </c>
      <c r="B56" s="45" t="s">
        <v>53</v>
      </c>
      <c r="C56" s="46">
        <v>100</v>
      </c>
      <c r="D56" s="46">
        <v>100</v>
      </c>
    </row>
    <row r="57" spans="1:4" ht="12.75">
      <c r="A57" s="40">
        <v>312</v>
      </c>
      <c r="B57" s="9" t="s">
        <v>54</v>
      </c>
      <c r="C57" s="10">
        <v>10000</v>
      </c>
      <c r="D57" s="10">
        <v>10000</v>
      </c>
    </row>
    <row r="58" spans="1:4" ht="12.75">
      <c r="A58" s="40">
        <v>312</v>
      </c>
      <c r="B58" s="9" t="s">
        <v>55</v>
      </c>
      <c r="C58" s="10">
        <v>0</v>
      </c>
      <c r="D58" s="10">
        <v>0</v>
      </c>
    </row>
    <row r="59" spans="1:4" ht="12.75">
      <c r="A59" s="40">
        <v>312</v>
      </c>
      <c r="B59" s="9" t="s">
        <v>56</v>
      </c>
      <c r="C59" s="10">
        <v>4500</v>
      </c>
      <c r="D59" s="10">
        <v>4500</v>
      </c>
    </row>
    <row r="60" spans="1:4" ht="12.75">
      <c r="A60" s="40">
        <v>312</v>
      </c>
      <c r="B60" s="47" t="s">
        <v>57</v>
      </c>
      <c r="C60" s="48">
        <v>1800</v>
      </c>
      <c r="D60" s="48">
        <v>1800</v>
      </c>
    </row>
    <row r="61" spans="1:4" ht="12.75">
      <c r="A61" s="40">
        <v>312</v>
      </c>
      <c r="B61" s="47" t="s">
        <v>58</v>
      </c>
      <c r="C61" s="48">
        <v>9000</v>
      </c>
      <c r="D61" s="48">
        <v>9000</v>
      </c>
    </row>
    <row r="62" spans="1:4" ht="12.75">
      <c r="A62" s="40">
        <v>312</v>
      </c>
      <c r="B62" s="47" t="s">
        <v>59</v>
      </c>
      <c r="C62" s="48">
        <v>15000</v>
      </c>
      <c r="D62" s="48">
        <v>15000</v>
      </c>
    </row>
    <row r="63" spans="1:4" ht="13.5" thickBot="1">
      <c r="A63" s="49">
        <v>312</v>
      </c>
      <c r="B63" s="50" t="s">
        <v>60</v>
      </c>
      <c r="C63" s="51">
        <v>0</v>
      </c>
      <c r="D63" s="51">
        <v>0</v>
      </c>
    </row>
    <row r="64" spans="1:4" ht="16.5" thickBot="1">
      <c r="A64" s="52" t="s">
        <v>61</v>
      </c>
      <c r="B64" s="53"/>
      <c r="C64" s="54">
        <f>SUM(C8+C17+C36+C38+C50)</f>
        <v>1106990</v>
      </c>
      <c r="D64" s="54">
        <f>SUM(D8+D17+D36+D38+D50)</f>
        <v>1106990</v>
      </c>
    </row>
    <row r="65" spans="1:4" ht="16.5" thickBot="1">
      <c r="A65" s="55"/>
      <c r="B65" s="56" t="s">
        <v>62</v>
      </c>
      <c r="C65" s="57">
        <v>1540</v>
      </c>
      <c r="D65" s="57">
        <v>1540</v>
      </c>
    </row>
    <row r="66" spans="1:4" ht="16.5" thickBot="1">
      <c r="A66" s="52" t="s">
        <v>63</v>
      </c>
      <c r="B66" s="37"/>
      <c r="C66" s="54">
        <f>SUM(C64:C65)</f>
        <v>1108530</v>
      </c>
      <c r="D66" s="54">
        <f>SUM(D64:D65)</f>
        <v>1108530</v>
      </c>
    </row>
    <row r="67" spans="1:4" ht="16.5" thickBot="1">
      <c r="A67" s="58"/>
      <c r="B67" s="59"/>
      <c r="C67" s="59"/>
      <c r="D67" s="59"/>
    </row>
    <row r="68" spans="1:5" ht="18.75" thickBot="1">
      <c r="A68" s="471" t="s">
        <v>64</v>
      </c>
      <c r="B68" s="472"/>
      <c r="C68" s="472"/>
      <c r="D68" s="473"/>
      <c r="E68" s="60"/>
    </row>
    <row r="69" spans="1:4" ht="12.75" customHeight="1">
      <c r="A69" s="450" t="s">
        <v>2</v>
      </c>
      <c r="B69" s="451"/>
      <c r="C69" s="481" t="s">
        <v>203</v>
      </c>
      <c r="D69" s="481" t="s">
        <v>204</v>
      </c>
    </row>
    <row r="70" spans="1:4" ht="13.5" thickBot="1">
      <c r="A70" s="474"/>
      <c r="B70" s="475"/>
      <c r="C70" s="482"/>
      <c r="D70" s="482"/>
    </row>
    <row r="71" spans="1:4" ht="13.5" thickBot="1">
      <c r="A71" s="61" t="s">
        <v>65</v>
      </c>
      <c r="B71" s="62"/>
      <c r="C71" s="63">
        <f>SUM(C72:C74)</f>
        <v>165700</v>
      </c>
      <c r="D71" s="63">
        <f>SUM(D72:D74)</f>
        <v>165700</v>
      </c>
    </row>
    <row r="72" spans="1:4" ht="12.75">
      <c r="A72" s="64" t="s">
        <v>66</v>
      </c>
      <c r="B72" s="65" t="s">
        <v>67</v>
      </c>
      <c r="C72" s="66">
        <v>145000</v>
      </c>
      <c r="D72" s="66">
        <v>145000</v>
      </c>
    </row>
    <row r="73" spans="1:4" ht="12.75">
      <c r="A73" s="67" t="s">
        <v>68</v>
      </c>
      <c r="B73" s="47" t="s">
        <v>69</v>
      </c>
      <c r="C73" s="48">
        <v>17000</v>
      </c>
      <c r="D73" s="48">
        <v>17000</v>
      </c>
    </row>
    <row r="74" spans="1:4" ht="13.5" thickBot="1">
      <c r="A74" s="68" t="s">
        <v>70</v>
      </c>
      <c r="B74" s="47" t="s">
        <v>71</v>
      </c>
      <c r="C74" s="48">
        <v>3700</v>
      </c>
      <c r="D74" s="48">
        <v>3700</v>
      </c>
    </row>
    <row r="75" spans="1:4" ht="13.5" thickBot="1">
      <c r="A75" s="462" t="s">
        <v>74</v>
      </c>
      <c r="B75" s="463"/>
      <c r="C75" s="63">
        <f>SUM(C76)</f>
        <v>140</v>
      </c>
      <c r="D75" s="63">
        <f>SUM(D76)</f>
        <v>140</v>
      </c>
    </row>
    <row r="76" spans="1:4" ht="13.5" thickBot="1">
      <c r="A76" s="72" t="s">
        <v>75</v>
      </c>
      <c r="B76" s="59" t="s">
        <v>76</v>
      </c>
      <c r="C76" s="73">
        <v>140</v>
      </c>
      <c r="D76" s="73">
        <v>140</v>
      </c>
    </row>
    <row r="77" spans="1:4" ht="13.5" thickBot="1">
      <c r="A77" s="462" t="s">
        <v>77</v>
      </c>
      <c r="B77" s="463"/>
      <c r="C77" s="63">
        <f>SUM(C78)</f>
        <v>5000</v>
      </c>
      <c r="D77" s="63">
        <f>SUM(D78)</f>
        <v>5000</v>
      </c>
    </row>
    <row r="78" spans="1:4" ht="13.5" thickBot="1">
      <c r="A78" s="74" t="s">
        <v>78</v>
      </c>
      <c r="B78" s="75" t="s">
        <v>79</v>
      </c>
      <c r="C78" s="76">
        <v>5000</v>
      </c>
      <c r="D78" s="76">
        <v>5000</v>
      </c>
    </row>
    <row r="79" spans="1:4" ht="13.5" thickBot="1">
      <c r="A79" s="61" t="s">
        <v>80</v>
      </c>
      <c r="B79" s="77"/>
      <c r="C79" s="63">
        <f>SUM(C80:C83)</f>
        <v>122500</v>
      </c>
      <c r="D79" s="63">
        <f>SUM(D80:D83)</f>
        <v>122500</v>
      </c>
    </row>
    <row r="80" spans="1:4" ht="12.75">
      <c r="A80" s="78" t="s">
        <v>81</v>
      </c>
      <c r="B80" s="27" t="s">
        <v>82</v>
      </c>
      <c r="C80" s="28">
        <v>2000</v>
      </c>
      <c r="D80" s="28">
        <v>2000</v>
      </c>
    </row>
    <row r="81" spans="1:4" ht="12.75">
      <c r="A81" s="68" t="s">
        <v>83</v>
      </c>
      <c r="B81" s="47" t="s">
        <v>84</v>
      </c>
      <c r="C81" s="48">
        <v>5500</v>
      </c>
      <c r="D81" s="48">
        <v>5500</v>
      </c>
    </row>
    <row r="82" spans="1:4" ht="12.75">
      <c r="A82" s="68" t="s">
        <v>85</v>
      </c>
      <c r="B82" s="47" t="s">
        <v>86</v>
      </c>
      <c r="C82" s="79">
        <v>5000</v>
      </c>
      <c r="D82" s="79">
        <v>5000</v>
      </c>
    </row>
    <row r="83" spans="1:4" ht="13.5" thickBot="1">
      <c r="A83" s="80" t="s">
        <v>87</v>
      </c>
      <c r="B83" s="50" t="s">
        <v>88</v>
      </c>
      <c r="C83" s="81">
        <v>110000</v>
      </c>
      <c r="D83" s="81">
        <v>110000</v>
      </c>
    </row>
    <row r="84" spans="1:4" ht="13.5" thickBot="1">
      <c r="A84" s="61" t="s">
        <v>89</v>
      </c>
      <c r="B84" s="62"/>
      <c r="C84" s="63">
        <f>SUM(C85:C86)</f>
        <v>25000</v>
      </c>
      <c r="D84" s="63">
        <f>SUM(D85:D86)</f>
        <v>25000</v>
      </c>
    </row>
    <row r="85" spans="1:4" ht="12.75">
      <c r="A85" s="82" t="s">
        <v>90</v>
      </c>
      <c r="B85" s="83" t="s">
        <v>91</v>
      </c>
      <c r="C85" s="84">
        <v>20000</v>
      </c>
      <c r="D85" s="84">
        <v>20000</v>
      </c>
    </row>
    <row r="86" spans="1:4" ht="13.5" thickBot="1">
      <c r="A86" s="85" t="s">
        <v>92</v>
      </c>
      <c r="B86" s="86" t="s">
        <v>93</v>
      </c>
      <c r="C86" s="87">
        <v>5000</v>
      </c>
      <c r="D86" s="87">
        <v>5000</v>
      </c>
    </row>
    <row r="87" spans="1:4" ht="13.5" thickBot="1">
      <c r="A87" s="61" t="s">
        <v>94</v>
      </c>
      <c r="B87" s="77"/>
      <c r="C87" s="63">
        <f>SUM(C88)</f>
        <v>15000</v>
      </c>
      <c r="D87" s="63">
        <f>SUM(D88)</f>
        <v>15000</v>
      </c>
    </row>
    <row r="88" spans="1:4" ht="13.5" thickBot="1">
      <c r="A88" s="88" t="s">
        <v>95</v>
      </c>
      <c r="B88" s="50" t="s">
        <v>96</v>
      </c>
      <c r="C88" s="51">
        <v>15000</v>
      </c>
      <c r="D88" s="51">
        <v>15000</v>
      </c>
    </row>
    <row r="89" spans="1:4" ht="13.5" thickBot="1">
      <c r="A89" s="89" t="s">
        <v>97</v>
      </c>
      <c r="B89" s="62"/>
      <c r="C89" s="63">
        <f>SUM(C90:C102)</f>
        <v>76700</v>
      </c>
      <c r="D89" s="63">
        <f>SUM(D90:D102)</f>
        <v>76600</v>
      </c>
    </row>
    <row r="90" spans="1:4" ht="12.75">
      <c r="A90" s="90" t="s">
        <v>98</v>
      </c>
      <c r="B90" s="65" t="s">
        <v>99</v>
      </c>
      <c r="C90" s="66">
        <v>5000</v>
      </c>
      <c r="D90" s="66">
        <v>5000</v>
      </c>
    </row>
    <row r="91" spans="1:4" ht="13.5" thickBot="1">
      <c r="A91" s="85" t="s">
        <v>98</v>
      </c>
      <c r="B91" s="86" t="s">
        <v>100</v>
      </c>
      <c r="C91" s="87">
        <v>3000</v>
      </c>
      <c r="D91" s="87">
        <v>3000</v>
      </c>
    </row>
    <row r="92" spans="1:4" ht="12.75">
      <c r="A92" s="90" t="s">
        <v>101</v>
      </c>
      <c r="B92" s="91" t="s">
        <v>102</v>
      </c>
      <c r="C92" s="92">
        <v>20000</v>
      </c>
      <c r="D92" s="92">
        <v>20000</v>
      </c>
    </row>
    <row r="93" spans="1:4" ht="12.75">
      <c r="A93" s="68" t="s">
        <v>103</v>
      </c>
      <c r="B93" s="93" t="s">
        <v>104</v>
      </c>
      <c r="C93" s="48">
        <v>8000</v>
      </c>
      <c r="D93" s="48">
        <v>8000</v>
      </c>
    </row>
    <row r="94" spans="1:4" ht="13.5" thickBot="1">
      <c r="A94" s="85" t="s">
        <v>105</v>
      </c>
      <c r="B94" s="86" t="s">
        <v>106</v>
      </c>
      <c r="C94" s="87">
        <v>2000</v>
      </c>
      <c r="D94" s="87">
        <v>2000</v>
      </c>
    </row>
    <row r="95" spans="1:4" ht="12.75">
      <c r="A95" s="68" t="s">
        <v>107</v>
      </c>
      <c r="B95" s="47" t="s">
        <v>108</v>
      </c>
      <c r="C95" s="48">
        <v>3500</v>
      </c>
      <c r="D95" s="48">
        <v>3500</v>
      </c>
    </row>
    <row r="96" spans="1:4" ht="12.75">
      <c r="A96" s="68" t="s">
        <v>107</v>
      </c>
      <c r="B96" s="47" t="s">
        <v>109</v>
      </c>
      <c r="C96" s="48">
        <v>2000</v>
      </c>
      <c r="D96" s="48">
        <v>2000</v>
      </c>
    </row>
    <row r="97" spans="1:4" ht="12.75">
      <c r="A97" s="68" t="s">
        <v>107</v>
      </c>
      <c r="B97" s="47" t="s">
        <v>110</v>
      </c>
      <c r="C97" s="48">
        <v>9000</v>
      </c>
      <c r="D97" s="48">
        <v>9000</v>
      </c>
    </row>
    <row r="98" spans="1:4" ht="12.75">
      <c r="A98" s="80" t="s">
        <v>107</v>
      </c>
      <c r="B98" s="50" t="s">
        <v>111</v>
      </c>
      <c r="C98" s="51">
        <v>1000</v>
      </c>
      <c r="D98" s="51">
        <v>1000</v>
      </c>
    </row>
    <row r="99" spans="1:4" ht="13.5" thickBot="1">
      <c r="A99" s="85" t="s">
        <v>107</v>
      </c>
      <c r="B99" s="86" t="s">
        <v>112</v>
      </c>
      <c r="C99" s="87">
        <v>9000</v>
      </c>
      <c r="D99" s="87">
        <v>9000</v>
      </c>
    </row>
    <row r="100" spans="1:4" ht="12.75">
      <c r="A100" s="82" t="s">
        <v>113</v>
      </c>
      <c r="B100" s="83" t="s">
        <v>114</v>
      </c>
      <c r="C100" s="84">
        <v>1600</v>
      </c>
      <c r="D100" s="84">
        <v>1600</v>
      </c>
    </row>
    <row r="101" spans="1:4" ht="12.75">
      <c r="A101" s="90" t="s">
        <v>115</v>
      </c>
      <c r="B101" s="65" t="s">
        <v>116</v>
      </c>
      <c r="C101" s="66">
        <v>8600</v>
      </c>
      <c r="D101" s="66">
        <v>8500</v>
      </c>
    </row>
    <row r="102" spans="1:4" ht="13.5" thickBot="1">
      <c r="A102" s="80" t="s">
        <v>117</v>
      </c>
      <c r="B102" s="50" t="s">
        <v>118</v>
      </c>
      <c r="C102" s="51">
        <v>4000</v>
      </c>
      <c r="D102" s="51">
        <v>4000</v>
      </c>
    </row>
    <row r="103" spans="1:4" ht="13.5" thickBot="1">
      <c r="A103" s="462" t="s">
        <v>119</v>
      </c>
      <c r="B103" s="463"/>
      <c r="C103" s="63">
        <f>SUM(C104:C108)</f>
        <v>258040</v>
      </c>
      <c r="D103" s="63">
        <f>SUM(D104:D108)</f>
        <v>258040</v>
      </c>
    </row>
    <row r="104" spans="1:4" ht="12.75">
      <c r="A104" s="94" t="s">
        <v>120</v>
      </c>
      <c r="B104" s="95" t="s">
        <v>207</v>
      </c>
      <c r="C104" s="96">
        <f>87000</f>
        <v>87000</v>
      </c>
      <c r="D104" s="96">
        <f>87000</f>
        <v>87000</v>
      </c>
    </row>
    <row r="105" spans="1:4" ht="12.75">
      <c r="A105" s="97" t="s">
        <v>122</v>
      </c>
      <c r="B105" s="31" t="s">
        <v>208</v>
      </c>
      <c r="C105" s="32">
        <v>40</v>
      </c>
      <c r="D105" s="32">
        <v>40</v>
      </c>
    </row>
    <row r="106" spans="1:4" ht="12.75">
      <c r="A106" s="97" t="s">
        <v>124</v>
      </c>
      <c r="B106" s="31" t="s">
        <v>125</v>
      </c>
      <c r="C106" s="32">
        <v>101000</v>
      </c>
      <c r="D106" s="32">
        <v>101000</v>
      </c>
    </row>
    <row r="107" spans="1:4" ht="12.75">
      <c r="A107" s="97" t="s">
        <v>126</v>
      </c>
      <c r="B107" s="31" t="s">
        <v>127</v>
      </c>
      <c r="C107" s="32">
        <v>55000</v>
      </c>
      <c r="D107" s="32">
        <v>55000</v>
      </c>
    </row>
    <row r="108" spans="1:4" ht="13.5" thickBot="1">
      <c r="A108" s="80" t="s">
        <v>128</v>
      </c>
      <c r="B108" s="50" t="s">
        <v>129</v>
      </c>
      <c r="C108" s="98">
        <v>15000</v>
      </c>
      <c r="D108" s="98">
        <v>15000</v>
      </c>
    </row>
    <row r="109" spans="1:4" ht="13.5" thickBot="1">
      <c r="A109" s="61" t="s">
        <v>130</v>
      </c>
      <c r="B109" s="62"/>
      <c r="C109" s="63">
        <f>SUM(C110:C118)</f>
        <v>101200</v>
      </c>
      <c r="D109" s="63">
        <f>SUM(D110:D118)</f>
        <v>101200</v>
      </c>
    </row>
    <row r="110" spans="1:4" ht="12.75">
      <c r="A110" s="90" t="s">
        <v>131</v>
      </c>
      <c r="B110" s="65" t="s">
        <v>132</v>
      </c>
      <c r="C110" s="66">
        <v>70000</v>
      </c>
      <c r="D110" s="66">
        <v>70000</v>
      </c>
    </row>
    <row r="111" spans="1:4" ht="12.75">
      <c r="A111" s="68" t="s">
        <v>133</v>
      </c>
      <c r="B111" s="47" t="s">
        <v>134</v>
      </c>
      <c r="C111" s="48">
        <v>11000</v>
      </c>
      <c r="D111" s="48">
        <v>11000</v>
      </c>
    </row>
    <row r="112" spans="1:4" ht="13.5" thickBot="1">
      <c r="A112" s="85" t="s">
        <v>133</v>
      </c>
      <c r="B112" s="86" t="s">
        <v>135</v>
      </c>
      <c r="C112" s="87">
        <v>2000</v>
      </c>
      <c r="D112" s="87">
        <v>2000</v>
      </c>
    </row>
    <row r="113" spans="1:4" ht="12.75">
      <c r="A113" s="90" t="s">
        <v>136</v>
      </c>
      <c r="B113" s="65" t="s">
        <v>137</v>
      </c>
      <c r="C113" s="66">
        <v>500</v>
      </c>
      <c r="D113" s="66">
        <v>500</v>
      </c>
    </row>
    <row r="114" spans="1:4" ht="12.75">
      <c r="A114" s="68" t="s">
        <v>138</v>
      </c>
      <c r="B114" s="47" t="s">
        <v>139</v>
      </c>
      <c r="C114" s="48">
        <v>2000</v>
      </c>
      <c r="D114" s="48">
        <v>2000</v>
      </c>
    </row>
    <row r="115" spans="1:4" ht="12.75">
      <c r="A115" s="68" t="s">
        <v>140</v>
      </c>
      <c r="B115" s="47" t="s">
        <v>141</v>
      </c>
      <c r="C115" s="48">
        <v>5000</v>
      </c>
      <c r="D115" s="48">
        <v>5000</v>
      </c>
    </row>
    <row r="116" spans="1:4" ht="12.75">
      <c r="A116" s="68" t="s">
        <v>140</v>
      </c>
      <c r="B116" s="47" t="s">
        <v>142</v>
      </c>
      <c r="C116" s="48">
        <v>10000</v>
      </c>
      <c r="D116" s="48">
        <v>10000</v>
      </c>
    </row>
    <row r="117" spans="1:4" ht="12.75">
      <c r="A117" s="68" t="s">
        <v>143</v>
      </c>
      <c r="B117" s="47" t="s">
        <v>144</v>
      </c>
      <c r="C117" s="48">
        <v>400</v>
      </c>
      <c r="D117" s="48">
        <v>400</v>
      </c>
    </row>
    <row r="118" spans="1:4" ht="13.5" thickBot="1">
      <c r="A118" s="85" t="s">
        <v>145</v>
      </c>
      <c r="B118" s="86" t="s">
        <v>146</v>
      </c>
      <c r="C118" s="87">
        <v>300</v>
      </c>
      <c r="D118" s="87">
        <v>300</v>
      </c>
    </row>
    <row r="119" spans="1:4" ht="16.5" thickBot="1">
      <c r="A119" s="99" t="s">
        <v>147</v>
      </c>
      <c r="B119" s="100"/>
      <c r="C119" s="101">
        <f>SUM(C71+C75+C77+C79+C84+C87+C89+C103+C109)</f>
        <v>769280</v>
      </c>
      <c r="D119" s="101">
        <f>SUM(D71+D75+D77+D79+D84+D87+D89+D103+D109)</f>
        <v>769180</v>
      </c>
    </row>
    <row r="120" spans="1:4" ht="12.75">
      <c r="A120" s="102" t="s">
        <v>122</v>
      </c>
      <c r="B120" s="103" t="s">
        <v>148</v>
      </c>
      <c r="C120" s="104">
        <f>C54+C65-40</f>
        <v>301900</v>
      </c>
      <c r="D120" s="104">
        <f>D54+D65-40</f>
        <v>301900</v>
      </c>
    </row>
    <row r="121" spans="1:4" ht="12.75">
      <c r="A121" s="105" t="s">
        <v>149</v>
      </c>
      <c r="B121" s="43" t="s">
        <v>150</v>
      </c>
      <c r="C121" s="106">
        <v>17000</v>
      </c>
      <c r="D121" s="106">
        <v>17000</v>
      </c>
    </row>
    <row r="122" spans="1:4" ht="13.5" thickBot="1">
      <c r="A122" s="464" t="s">
        <v>151</v>
      </c>
      <c r="B122" s="465"/>
      <c r="C122" s="107">
        <f>SUM(C120:C121)</f>
        <v>318900</v>
      </c>
      <c r="D122" s="107">
        <f>SUM(D120:D121)</f>
        <v>318900</v>
      </c>
    </row>
    <row r="123" spans="1:4" ht="16.5" thickBot="1">
      <c r="A123" s="108" t="s">
        <v>152</v>
      </c>
      <c r="B123" s="77"/>
      <c r="C123" s="109">
        <f>C119+C122</f>
        <v>1088180</v>
      </c>
      <c r="D123" s="109">
        <f>D119+D122</f>
        <v>1088080</v>
      </c>
    </row>
    <row r="125" spans="1:4" ht="13.5" thickBot="1">
      <c r="A125" s="110"/>
      <c r="B125" s="111"/>
      <c r="C125" s="111"/>
      <c r="D125" s="111"/>
    </row>
    <row r="126" spans="1:4" ht="18.75" thickBot="1">
      <c r="A126" s="466" t="s">
        <v>153</v>
      </c>
      <c r="B126" s="467"/>
      <c r="C126" s="467"/>
      <c r="D126" s="468"/>
    </row>
    <row r="127" spans="1:5" ht="12.75" customHeight="1">
      <c r="A127" s="450" t="s">
        <v>2</v>
      </c>
      <c r="B127" s="451"/>
      <c r="C127" s="481" t="s">
        <v>203</v>
      </c>
      <c r="D127" s="481" t="s">
        <v>204</v>
      </c>
      <c r="E127" s="112"/>
    </row>
    <row r="128" spans="1:5" ht="13.5" thickBot="1">
      <c r="A128" s="459"/>
      <c r="B128" s="460"/>
      <c r="C128" s="482"/>
      <c r="D128" s="482"/>
      <c r="E128" s="113"/>
    </row>
    <row r="129" spans="1:4" ht="15.75" thickBot="1">
      <c r="A129" s="454" t="s">
        <v>154</v>
      </c>
      <c r="B129" s="455"/>
      <c r="C129" s="160">
        <f>SUM(C130:C136)</f>
        <v>0</v>
      </c>
      <c r="D129" s="160">
        <f>SUM(D130:D136)</f>
        <v>0</v>
      </c>
    </row>
    <row r="130" spans="1:4" ht="13.5" thickBot="1">
      <c r="A130" s="114">
        <v>230</v>
      </c>
      <c r="B130" s="115" t="s">
        <v>155</v>
      </c>
      <c r="C130" s="116">
        <v>0</v>
      </c>
      <c r="D130" s="116">
        <v>0</v>
      </c>
    </row>
    <row r="131" spans="1:4" ht="12.75">
      <c r="A131" s="117">
        <v>321</v>
      </c>
      <c r="B131" s="83" t="s">
        <v>156</v>
      </c>
      <c r="C131" s="84">
        <v>0</v>
      </c>
      <c r="D131" s="84">
        <v>0</v>
      </c>
    </row>
    <row r="132" spans="1:4" ht="12.75">
      <c r="A132" s="40">
        <v>322</v>
      </c>
      <c r="B132" s="47" t="s">
        <v>157</v>
      </c>
      <c r="C132" s="48">
        <v>0</v>
      </c>
      <c r="D132" s="48">
        <v>0</v>
      </c>
    </row>
    <row r="133" spans="1:4" ht="12.75">
      <c r="A133" s="40">
        <v>322</v>
      </c>
      <c r="B133" s="47" t="s">
        <v>158</v>
      </c>
      <c r="C133" s="48">
        <v>0</v>
      </c>
      <c r="D133" s="48">
        <v>0</v>
      </c>
    </row>
    <row r="134" spans="1:4" ht="12.75">
      <c r="A134" s="40">
        <v>322</v>
      </c>
      <c r="B134" s="47" t="s">
        <v>159</v>
      </c>
      <c r="C134" s="48">
        <v>0</v>
      </c>
      <c r="D134" s="48">
        <v>0</v>
      </c>
    </row>
    <row r="135" spans="1:4" ht="12.75">
      <c r="A135" s="40">
        <v>322</v>
      </c>
      <c r="B135" s="47" t="s">
        <v>160</v>
      </c>
      <c r="C135" s="48">
        <v>0</v>
      </c>
      <c r="D135" s="48">
        <v>0</v>
      </c>
    </row>
    <row r="136" spans="1:4" ht="13.5" thickBot="1">
      <c r="A136" s="118">
        <v>322</v>
      </c>
      <c r="B136" s="86" t="s">
        <v>161</v>
      </c>
      <c r="C136" s="87">
        <v>0</v>
      </c>
      <c r="D136" s="87">
        <v>0</v>
      </c>
    </row>
    <row r="137" spans="1:4" ht="18.75" thickBot="1">
      <c r="A137" s="119"/>
      <c r="B137" s="60"/>
      <c r="C137" s="60"/>
      <c r="D137" s="163"/>
    </row>
    <row r="138" spans="1:4" ht="16.5" thickBot="1">
      <c r="A138" s="454" t="s">
        <v>162</v>
      </c>
      <c r="B138" s="455"/>
      <c r="C138" s="161">
        <f>SUM(C139:C151)</f>
        <v>0</v>
      </c>
      <c r="D138" s="161">
        <f>SUM(D139:D151)</f>
        <v>0</v>
      </c>
    </row>
    <row r="139" spans="1:4" ht="12.75">
      <c r="A139" s="68" t="s">
        <v>83</v>
      </c>
      <c r="B139" s="9" t="s">
        <v>163</v>
      </c>
      <c r="C139" s="10">
        <v>0</v>
      </c>
      <c r="D139" s="10">
        <v>0</v>
      </c>
    </row>
    <row r="140" spans="1:4" ht="12.75">
      <c r="A140" s="122" t="s">
        <v>83</v>
      </c>
      <c r="B140" s="9" t="s">
        <v>164</v>
      </c>
      <c r="C140" s="10">
        <v>0</v>
      </c>
      <c r="D140" s="10">
        <v>0</v>
      </c>
    </row>
    <row r="141" spans="1:4" ht="13.5" thickBot="1">
      <c r="A141" s="124" t="s">
        <v>83</v>
      </c>
      <c r="B141" s="125" t="s">
        <v>165</v>
      </c>
      <c r="C141" s="162">
        <v>0</v>
      </c>
      <c r="D141" s="162">
        <v>0</v>
      </c>
    </row>
    <row r="142" spans="1:4" ht="12.75">
      <c r="A142" s="127" t="s">
        <v>87</v>
      </c>
      <c r="B142" s="128" t="s">
        <v>166</v>
      </c>
      <c r="C142" s="129">
        <v>0</v>
      </c>
      <c r="D142" s="129">
        <v>0</v>
      </c>
    </row>
    <row r="143" spans="1:4" ht="12.75">
      <c r="A143" s="64" t="s">
        <v>90</v>
      </c>
      <c r="B143" s="6" t="s">
        <v>167</v>
      </c>
      <c r="C143" s="7">
        <v>0</v>
      </c>
      <c r="D143" s="7">
        <v>0</v>
      </c>
    </row>
    <row r="144" spans="1:4" ht="12.75">
      <c r="A144" s="97" t="s">
        <v>168</v>
      </c>
      <c r="B144" s="130" t="s">
        <v>169</v>
      </c>
      <c r="C144" s="7">
        <v>0</v>
      </c>
      <c r="D144" s="7">
        <v>0</v>
      </c>
    </row>
    <row r="145" spans="1:4" ht="12.75">
      <c r="A145" s="68" t="s">
        <v>168</v>
      </c>
      <c r="B145" s="9" t="s">
        <v>170</v>
      </c>
      <c r="C145" s="7">
        <v>0</v>
      </c>
      <c r="D145" s="7">
        <v>0</v>
      </c>
    </row>
    <row r="146" spans="1:4" ht="12.75">
      <c r="A146" s="97" t="s">
        <v>171</v>
      </c>
      <c r="B146" s="9" t="s">
        <v>172</v>
      </c>
      <c r="C146" s="7">
        <v>0</v>
      </c>
      <c r="D146" s="7">
        <v>0</v>
      </c>
    </row>
    <row r="147" spans="1:4" ht="12.75">
      <c r="A147" s="131" t="s">
        <v>171</v>
      </c>
      <c r="B147" s="6" t="s">
        <v>173</v>
      </c>
      <c r="C147" s="7">
        <v>0</v>
      </c>
      <c r="D147" s="7">
        <v>0</v>
      </c>
    </row>
    <row r="148" spans="1:4" ht="12.75">
      <c r="A148" s="64" t="s">
        <v>103</v>
      </c>
      <c r="B148" s="6" t="s">
        <v>174</v>
      </c>
      <c r="C148" s="7">
        <v>0</v>
      </c>
      <c r="D148" s="7">
        <v>0</v>
      </c>
    </row>
    <row r="149" spans="1:4" ht="12.75">
      <c r="A149" s="67" t="s">
        <v>122</v>
      </c>
      <c r="B149" s="9" t="s">
        <v>175</v>
      </c>
      <c r="C149" s="7">
        <v>0</v>
      </c>
      <c r="D149" s="7">
        <v>0</v>
      </c>
    </row>
    <row r="150" spans="1:4" ht="12.75">
      <c r="A150" s="67" t="s">
        <v>122</v>
      </c>
      <c r="B150" s="9" t="s">
        <v>176</v>
      </c>
      <c r="C150" s="7">
        <v>0</v>
      </c>
      <c r="D150" s="7">
        <v>0</v>
      </c>
    </row>
    <row r="151" spans="1:4" ht="13.5" thickBot="1">
      <c r="A151" s="132" t="s">
        <v>126</v>
      </c>
      <c r="B151" s="20" t="s">
        <v>177</v>
      </c>
      <c r="C151" s="21">
        <v>0</v>
      </c>
      <c r="D151" s="21">
        <v>0</v>
      </c>
    </row>
    <row r="153" spans="1:4" ht="12.75">
      <c r="A153" s="133"/>
      <c r="B153" s="134"/>
      <c r="C153" s="134"/>
      <c r="D153" s="134"/>
    </row>
    <row r="154" spans="1:4" ht="13.5" thickBot="1">
      <c r="A154" s="134"/>
      <c r="B154" s="111"/>
      <c r="C154" s="111"/>
      <c r="D154" s="111"/>
    </row>
    <row r="155" spans="1:4" ht="18.75" thickBot="1">
      <c r="A155" s="456" t="s">
        <v>178</v>
      </c>
      <c r="B155" s="457"/>
      <c r="C155" s="457"/>
      <c r="D155" s="458"/>
    </row>
    <row r="156" spans="1:4" ht="12.75" customHeight="1">
      <c r="A156" s="450" t="s">
        <v>2</v>
      </c>
      <c r="B156" s="451"/>
      <c r="C156" s="481" t="s">
        <v>203</v>
      </c>
      <c r="D156" s="481" t="s">
        <v>204</v>
      </c>
    </row>
    <row r="157" spans="1:4" ht="13.5" thickBot="1">
      <c r="A157" s="459"/>
      <c r="B157" s="460"/>
      <c r="C157" s="482"/>
      <c r="D157" s="482"/>
    </row>
    <row r="158" spans="1:4" ht="16.5" thickBot="1">
      <c r="A158" s="446" t="s">
        <v>179</v>
      </c>
      <c r="B158" s="436"/>
      <c r="C158" s="135">
        <f>SUM(C159:C161)</f>
        <v>300</v>
      </c>
      <c r="D158" s="135">
        <f>SUM(D159:D161)</f>
        <v>200</v>
      </c>
    </row>
    <row r="159" spans="1:4" ht="12.75">
      <c r="A159" s="136">
        <v>411</v>
      </c>
      <c r="B159" s="137" t="s">
        <v>180</v>
      </c>
      <c r="C159" s="138">
        <v>300</v>
      </c>
      <c r="D159" s="138">
        <v>200</v>
      </c>
    </row>
    <row r="160" spans="1:5" ht="12.75" customHeight="1">
      <c r="A160" s="139">
        <v>454</v>
      </c>
      <c r="B160" s="41" t="s">
        <v>181</v>
      </c>
      <c r="C160" s="42">
        <v>0</v>
      </c>
      <c r="D160" s="42">
        <v>0</v>
      </c>
      <c r="E160" s="140"/>
    </row>
    <row r="161" spans="1:4" ht="13.5" thickBot="1">
      <c r="A161" s="141">
        <v>513</v>
      </c>
      <c r="B161" s="142" t="s">
        <v>182</v>
      </c>
      <c r="C161" s="143">
        <v>0</v>
      </c>
      <c r="D161" s="143">
        <v>0</v>
      </c>
    </row>
    <row r="162" spans="1:4" ht="16.5" thickBot="1">
      <c r="A162" s="446" t="s">
        <v>183</v>
      </c>
      <c r="B162" s="436"/>
      <c r="C162" s="135">
        <f>SUM(C163:C164)</f>
        <v>20650</v>
      </c>
      <c r="D162" s="135">
        <f>SUM(D163:D164)</f>
        <v>20650</v>
      </c>
    </row>
    <row r="163" spans="1:4" ht="12.75">
      <c r="A163" s="144">
        <v>821</v>
      </c>
      <c r="B163" s="137" t="s">
        <v>184</v>
      </c>
      <c r="C163" s="145">
        <v>20000</v>
      </c>
      <c r="D163" s="145">
        <v>20000</v>
      </c>
    </row>
    <row r="164" spans="1:4" ht="13.5" thickBot="1">
      <c r="A164" s="25">
        <v>821</v>
      </c>
      <c r="B164" s="146" t="s">
        <v>185</v>
      </c>
      <c r="C164" s="147">
        <v>650</v>
      </c>
      <c r="D164" s="147">
        <v>650</v>
      </c>
    </row>
    <row r="165" spans="1:4" ht="15.75">
      <c r="A165" s="58"/>
      <c r="B165" s="110"/>
      <c r="C165" s="110"/>
      <c r="D165" s="110"/>
    </row>
    <row r="166" spans="1:4" ht="15.75">
      <c r="A166" s="58"/>
      <c r="B166" s="110"/>
      <c r="C166" s="110"/>
      <c r="D166" s="110"/>
    </row>
    <row r="167" spans="1:4" ht="15.75">
      <c r="A167" s="58"/>
      <c r="B167" s="110"/>
      <c r="C167" s="110"/>
      <c r="D167" s="110"/>
    </row>
    <row r="168" spans="2:4" ht="13.5" thickBot="1">
      <c r="B168" s="111"/>
      <c r="C168" s="111"/>
      <c r="D168" s="111"/>
    </row>
    <row r="169" spans="1:4" ht="18.75" thickBot="1">
      <c r="A169" s="447" t="s">
        <v>186</v>
      </c>
      <c r="B169" s="448"/>
      <c r="C169" s="448"/>
      <c r="D169" s="449"/>
    </row>
    <row r="170" spans="1:4" ht="12.75" customHeight="1">
      <c r="A170" s="450" t="s">
        <v>2</v>
      </c>
      <c r="B170" s="451"/>
      <c r="C170" s="481" t="s">
        <v>203</v>
      </c>
      <c r="D170" s="481" t="s">
        <v>204</v>
      </c>
    </row>
    <row r="171" spans="1:4" ht="13.5" thickBot="1">
      <c r="A171" s="452"/>
      <c r="B171" s="453"/>
      <c r="C171" s="482"/>
      <c r="D171" s="482"/>
    </row>
    <row r="172" spans="1:4" ht="15">
      <c r="A172" s="148" t="s">
        <v>187</v>
      </c>
      <c r="B172" s="16"/>
      <c r="C172" s="84">
        <f>C66</f>
        <v>1108530</v>
      </c>
      <c r="D172" s="84">
        <f>D66</f>
        <v>1108530</v>
      </c>
    </row>
    <row r="173" spans="1:4" ht="15">
      <c r="A173" s="149" t="s">
        <v>188</v>
      </c>
      <c r="B173" s="9"/>
      <c r="C173" s="48">
        <f>C123</f>
        <v>1088180</v>
      </c>
      <c r="D173" s="48">
        <f>D123</f>
        <v>1088080</v>
      </c>
    </row>
    <row r="174" spans="1:4" ht="15.75">
      <c r="A174" s="150"/>
      <c r="B174" s="151" t="s">
        <v>189</v>
      </c>
      <c r="C174" s="152">
        <f>C172-C173</f>
        <v>20350</v>
      </c>
      <c r="D174" s="152">
        <f>D172-D173</f>
        <v>20450</v>
      </c>
    </row>
    <row r="175" spans="1:4" ht="15">
      <c r="A175" s="149" t="s">
        <v>190</v>
      </c>
      <c r="B175" s="9"/>
      <c r="C175" s="48">
        <f>C129</f>
        <v>0</v>
      </c>
      <c r="D175" s="48">
        <f>D129</f>
        <v>0</v>
      </c>
    </row>
    <row r="176" spans="1:4" ht="15">
      <c r="A176" s="149" t="s">
        <v>191</v>
      </c>
      <c r="B176" s="9"/>
      <c r="C176" s="10">
        <f>C138</f>
        <v>0</v>
      </c>
      <c r="D176" s="10">
        <f>D138</f>
        <v>0</v>
      </c>
    </row>
    <row r="177" spans="1:4" ht="15.75">
      <c r="A177" s="150"/>
      <c r="B177" s="153" t="s">
        <v>192</v>
      </c>
      <c r="C177" s="152">
        <f>C175-C176</f>
        <v>0</v>
      </c>
      <c r="D177" s="152">
        <f>D175-D176</f>
        <v>0</v>
      </c>
    </row>
    <row r="178" spans="1:4" ht="15">
      <c r="A178" s="437" t="s">
        <v>193</v>
      </c>
      <c r="B178" s="438"/>
      <c r="C178" s="79">
        <f>C158</f>
        <v>300</v>
      </c>
      <c r="D178" s="79">
        <f>D158</f>
        <v>200</v>
      </c>
    </row>
    <row r="179" spans="1:4" ht="15">
      <c r="A179" s="437" t="s">
        <v>194</v>
      </c>
      <c r="B179" s="438"/>
      <c r="C179" s="79">
        <f>C162</f>
        <v>20650</v>
      </c>
      <c r="D179" s="79">
        <f>D162</f>
        <v>20650</v>
      </c>
    </row>
    <row r="180" spans="1:4" ht="16.5" thickBot="1">
      <c r="A180" s="154"/>
      <c r="B180" s="155" t="s">
        <v>195</v>
      </c>
      <c r="C180" s="156">
        <f>C178-C179</f>
        <v>-20350</v>
      </c>
      <c r="D180" s="156">
        <f>D178-D179</f>
        <v>-20450</v>
      </c>
    </row>
    <row r="181" spans="1:4" ht="16.5" thickBot="1">
      <c r="A181" s="443" t="s">
        <v>196</v>
      </c>
      <c r="B181" s="444"/>
      <c r="C181" s="157">
        <f>C174+C177+C180</f>
        <v>0</v>
      </c>
      <c r="D181" s="157">
        <f>D174+D177+D180</f>
        <v>0</v>
      </c>
    </row>
    <row r="183" spans="2:4" ht="12.75">
      <c r="B183" s="158" t="s">
        <v>197</v>
      </c>
      <c r="C183" s="159">
        <f>C172+C175+C178</f>
        <v>1108830</v>
      </c>
      <c r="D183" s="159">
        <f>D172+D175+D178</f>
        <v>1108730</v>
      </c>
    </row>
    <row r="184" spans="2:4" ht="12.75">
      <c r="B184" s="158" t="s">
        <v>198</v>
      </c>
      <c r="C184" s="159">
        <f>C173+C176+C179</f>
        <v>1108830</v>
      </c>
      <c r="D184" s="159">
        <f>D173+D176+D179</f>
        <v>1108730</v>
      </c>
    </row>
    <row r="185" spans="2:4" ht="12.75">
      <c r="B185" s="158"/>
      <c r="C185" s="159"/>
      <c r="D185" s="159"/>
    </row>
    <row r="186" spans="2:4" ht="12.75">
      <c r="B186" s="158" t="s">
        <v>199</v>
      </c>
      <c r="C186" s="159">
        <f>C183-C65</f>
        <v>1107290</v>
      </c>
      <c r="D186" s="159">
        <f>D183-D65</f>
        <v>1107190</v>
      </c>
    </row>
    <row r="187" spans="2:4" ht="12.75">
      <c r="B187" s="158" t="s">
        <v>200</v>
      </c>
      <c r="C187" s="159">
        <f>C184-C122</f>
        <v>789930</v>
      </c>
      <c r="D187" s="159">
        <f>D184-D122</f>
        <v>789830</v>
      </c>
    </row>
  </sheetData>
  <sheetProtection/>
  <mergeCells count="38">
    <mergeCell ref="A1:D1"/>
    <mergeCell ref="A2:D2"/>
    <mergeCell ref="A3:D3"/>
    <mergeCell ref="A5:D5"/>
    <mergeCell ref="A36:B36"/>
    <mergeCell ref="A38:B38"/>
    <mergeCell ref="A68:D68"/>
    <mergeCell ref="A69:B70"/>
    <mergeCell ref="D69:D70"/>
    <mergeCell ref="A6:B7"/>
    <mergeCell ref="D6:D7"/>
    <mergeCell ref="A8:B8"/>
    <mergeCell ref="A17:B17"/>
    <mergeCell ref="A126:D126"/>
    <mergeCell ref="A127:B128"/>
    <mergeCell ref="D127:D128"/>
    <mergeCell ref="A129:B129"/>
    <mergeCell ref="A75:B75"/>
    <mergeCell ref="A77:B77"/>
    <mergeCell ref="A103:B103"/>
    <mergeCell ref="A122:B122"/>
    <mergeCell ref="A169:D169"/>
    <mergeCell ref="A170:B171"/>
    <mergeCell ref="D170:D171"/>
    <mergeCell ref="A138:B138"/>
    <mergeCell ref="A155:D155"/>
    <mergeCell ref="A156:B157"/>
    <mergeCell ref="D156:D157"/>
    <mergeCell ref="A178:B178"/>
    <mergeCell ref="A179:B179"/>
    <mergeCell ref="A181:B181"/>
    <mergeCell ref="C6:C7"/>
    <mergeCell ref="C69:C70"/>
    <mergeCell ref="C127:C128"/>
    <mergeCell ref="C156:C157"/>
    <mergeCell ref="C170:C171"/>
    <mergeCell ref="A158:B158"/>
    <mergeCell ref="A162:B16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9.00390625" defaultRowHeight="12.75"/>
  <cols>
    <col min="3" max="3" width="12.625" style="0" customWidth="1"/>
    <col min="4" max="4" width="10.25390625" style="0" customWidth="1"/>
    <col min="5" max="5" width="12.125" style="0" customWidth="1"/>
    <col min="6" max="6" width="12.75390625" style="0" customWidth="1"/>
    <col min="7" max="7" width="11.75390625" style="0" customWidth="1"/>
    <col min="8" max="8" width="11.625" style="0" customWidth="1"/>
  </cols>
  <sheetData>
    <row r="1" spans="1:8" ht="18">
      <c r="A1" s="499" t="s">
        <v>241</v>
      </c>
      <c r="B1" s="499"/>
      <c r="C1" s="499"/>
      <c r="D1" s="499"/>
      <c r="E1" s="499"/>
      <c r="F1" s="499"/>
      <c r="G1" s="499"/>
      <c r="H1" s="499"/>
    </row>
    <row r="2" spans="1:8" ht="18">
      <c r="A2" s="499" t="s">
        <v>218</v>
      </c>
      <c r="B2" s="499"/>
      <c r="C2" s="499"/>
      <c r="D2" s="499"/>
      <c r="E2" s="499"/>
      <c r="F2" s="499"/>
      <c r="G2" s="499"/>
      <c r="H2" s="499"/>
    </row>
    <row r="3" spans="1:8" ht="18.75" thickBot="1">
      <c r="A3" s="165"/>
      <c r="B3" s="165"/>
      <c r="C3" s="165"/>
      <c r="D3" s="165"/>
      <c r="E3" s="165"/>
      <c r="F3" s="165"/>
      <c r="G3" s="165"/>
      <c r="H3" s="165"/>
    </row>
    <row r="4" spans="1:8" ht="15.75">
      <c r="A4" s="500" t="s">
        <v>219</v>
      </c>
      <c r="B4" s="497" t="s">
        <v>220</v>
      </c>
      <c r="C4" s="484" t="s">
        <v>221</v>
      </c>
      <c r="D4" s="485"/>
      <c r="E4" s="486"/>
      <c r="F4" s="484" t="s">
        <v>222</v>
      </c>
      <c r="G4" s="485"/>
      <c r="H4" s="486"/>
    </row>
    <row r="5" spans="1:8" ht="15.75" thickBot="1">
      <c r="A5" s="501"/>
      <c r="B5" s="498"/>
      <c r="C5" s="166" t="s">
        <v>223</v>
      </c>
      <c r="D5" s="167" t="s">
        <v>224</v>
      </c>
      <c r="E5" s="167" t="s">
        <v>225</v>
      </c>
      <c r="F5" s="168" t="s">
        <v>223</v>
      </c>
      <c r="G5" s="169" t="s">
        <v>224</v>
      </c>
      <c r="H5" s="170" t="s">
        <v>225</v>
      </c>
    </row>
    <row r="6" spans="1:8" ht="15">
      <c r="A6" s="489">
        <v>111</v>
      </c>
      <c r="B6" s="171" t="s">
        <v>226</v>
      </c>
      <c r="C6" s="172">
        <v>342218</v>
      </c>
      <c r="D6" s="173"/>
      <c r="E6" s="173"/>
      <c r="F6" s="174">
        <v>41732</v>
      </c>
      <c r="G6" s="175"/>
      <c r="H6" s="176"/>
    </row>
    <row r="7" spans="1:8" ht="15.75" thickBot="1">
      <c r="A7" s="502"/>
      <c r="B7" s="177" t="s">
        <v>227</v>
      </c>
      <c r="C7" s="178"/>
      <c r="D7" s="179"/>
      <c r="E7" s="179"/>
      <c r="F7" s="180">
        <f>F42</f>
        <v>300526</v>
      </c>
      <c r="G7" s="181"/>
      <c r="H7" s="182"/>
    </row>
    <row r="8" spans="1:8" ht="16.5" thickBot="1">
      <c r="A8" s="503"/>
      <c r="B8" s="183" t="s">
        <v>228</v>
      </c>
      <c r="C8" s="184">
        <f aca="true" t="shared" si="0" ref="C8:H8">SUM(C6:C7)</f>
        <v>342218</v>
      </c>
      <c r="D8" s="185">
        <f t="shared" si="0"/>
        <v>0</v>
      </c>
      <c r="E8" s="186">
        <f t="shared" si="0"/>
        <v>0</v>
      </c>
      <c r="F8" s="187">
        <f t="shared" si="0"/>
        <v>342258</v>
      </c>
      <c r="G8" s="186">
        <f t="shared" si="0"/>
        <v>0</v>
      </c>
      <c r="H8" s="188">
        <f t="shared" si="0"/>
        <v>0</v>
      </c>
    </row>
    <row r="9" spans="1:8" ht="15">
      <c r="A9" s="504" t="s">
        <v>229</v>
      </c>
      <c r="B9" s="189" t="s">
        <v>226</v>
      </c>
      <c r="C9" s="190">
        <v>13100</v>
      </c>
      <c r="D9" s="191"/>
      <c r="E9" s="191"/>
      <c r="F9" s="192">
        <v>13100</v>
      </c>
      <c r="G9" s="193"/>
      <c r="H9" s="194"/>
    </row>
    <row r="10" spans="1:8" ht="15.75" thickBot="1">
      <c r="A10" s="487"/>
      <c r="B10" s="195" t="s">
        <v>227</v>
      </c>
      <c r="C10" s="196"/>
      <c r="D10" s="197"/>
      <c r="E10" s="197"/>
      <c r="F10" s="198"/>
      <c r="G10" s="199"/>
      <c r="H10" s="200"/>
    </row>
    <row r="11" spans="1:8" ht="16.5" thickBot="1">
      <c r="A11" s="505"/>
      <c r="B11" s="201" t="s">
        <v>228</v>
      </c>
      <c r="C11" s="202">
        <f aca="true" t="shared" si="1" ref="C11:H11">SUM(C9:C10)</f>
        <v>13100</v>
      </c>
      <c r="D11" s="203">
        <f t="shared" si="1"/>
        <v>0</v>
      </c>
      <c r="E11" s="204">
        <f t="shared" si="1"/>
        <v>0</v>
      </c>
      <c r="F11" s="205">
        <f t="shared" si="1"/>
        <v>13100</v>
      </c>
      <c r="G11" s="204">
        <f t="shared" si="1"/>
        <v>0</v>
      </c>
      <c r="H11" s="206">
        <f t="shared" si="1"/>
        <v>0</v>
      </c>
    </row>
    <row r="12" spans="1:8" ht="15">
      <c r="A12" s="489" t="s">
        <v>230</v>
      </c>
      <c r="B12" s="171" t="s">
        <v>226</v>
      </c>
      <c r="C12" s="172">
        <v>2700</v>
      </c>
      <c r="D12" s="173"/>
      <c r="E12" s="173"/>
      <c r="F12" s="174">
        <v>2700</v>
      </c>
      <c r="G12" s="175"/>
      <c r="H12" s="176"/>
    </row>
    <row r="13" spans="1:8" ht="15.75" thickBot="1">
      <c r="A13" s="506"/>
      <c r="B13" s="207" t="s">
        <v>227</v>
      </c>
      <c r="C13" s="208"/>
      <c r="D13" s="209"/>
      <c r="E13" s="209"/>
      <c r="F13" s="210"/>
      <c r="G13" s="211"/>
      <c r="H13" s="212"/>
    </row>
    <row r="14" spans="1:8" ht="16.5" thickBot="1">
      <c r="A14" s="492"/>
      <c r="B14" s="213" t="s">
        <v>228</v>
      </c>
      <c r="C14" s="184">
        <f aca="true" t="shared" si="2" ref="C14:H14">SUM(C12:C13)</f>
        <v>2700</v>
      </c>
      <c r="D14" s="185">
        <f t="shared" si="2"/>
        <v>0</v>
      </c>
      <c r="E14" s="186">
        <f t="shared" si="2"/>
        <v>0</v>
      </c>
      <c r="F14" s="187">
        <f t="shared" si="2"/>
        <v>2700</v>
      </c>
      <c r="G14" s="186">
        <f t="shared" si="2"/>
        <v>0</v>
      </c>
      <c r="H14" s="188">
        <f t="shared" si="2"/>
        <v>0</v>
      </c>
    </row>
    <row r="15" spans="1:8" ht="15">
      <c r="A15" s="487">
        <v>41</v>
      </c>
      <c r="B15" s="214" t="s">
        <v>226</v>
      </c>
      <c r="C15" s="215">
        <v>782532</v>
      </c>
      <c r="D15" s="216"/>
      <c r="E15" s="216"/>
      <c r="F15" s="217">
        <v>754919</v>
      </c>
      <c r="G15" s="218"/>
      <c r="H15" s="219"/>
    </row>
    <row r="16" spans="1:8" ht="15">
      <c r="A16" s="507"/>
      <c r="B16" s="220" t="s">
        <v>231</v>
      </c>
      <c r="C16" s="221"/>
      <c r="D16" s="222"/>
      <c r="E16" s="222"/>
      <c r="F16" s="223"/>
      <c r="G16" s="224"/>
      <c r="H16" s="225"/>
    </row>
    <row r="17" spans="1:8" ht="15">
      <c r="A17" s="507"/>
      <c r="B17" s="220" t="s">
        <v>232</v>
      </c>
      <c r="C17" s="221">
        <v>427</v>
      </c>
      <c r="D17" s="222"/>
      <c r="E17" s="222"/>
      <c r="F17" s="223">
        <v>11040</v>
      </c>
      <c r="G17" s="224"/>
      <c r="H17" s="225"/>
    </row>
    <row r="18" spans="1:8" ht="15.75" thickBot="1">
      <c r="A18" s="507"/>
      <c r="B18" s="226" t="s">
        <v>227</v>
      </c>
      <c r="C18" s="227">
        <v>1540</v>
      </c>
      <c r="D18" s="228"/>
      <c r="E18" s="228"/>
      <c r="F18" s="229">
        <v>18500</v>
      </c>
      <c r="G18" s="230"/>
      <c r="H18" s="231"/>
    </row>
    <row r="19" spans="1:8" ht="16.5" thickBot="1">
      <c r="A19" s="505"/>
      <c r="B19" s="232" t="s">
        <v>228</v>
      </c>
      <c r="C19" s="233">
        <f aca="true" t="shared" si="3" ref="C19:H19">SUM(C15:C18)</f>
        <v>784499</v>
      </c>
      <c r="D19" s="234">
        <f t="shared" si="3"/>
        <v>0</v>
      </c>
      <c r="E19" s="235">
        <f t="shared" si="3"/>
        <v>0</v>
      </c>
      <c r="F19" s="236">
        <f t="shared" si="3"/>
        <v>784459</v>
      </c>
      <c r="G19" s="235">
        <f t="shared" si="3"/>
        <v>0</v>
      </c>
      <c r="H19" s="237">
        <f t="shared" si="3"/>
        <v>0</v>
      </c>
    </row>
    <row r="20" spans="1:8" ht="16.5" thickBot="1">
      <c r="A20" s="238">
        <v>43</v>
      </c>
      <c r="B20" s="239" t="s">
        <v>231</v>
      </c>
      <c r="C20" s="240">
        <v>4000</v>
      </c>
      <c r="D20" s="241"/>
      <c r="E20" s="241"/>
      <c r="F20" s="242">
        <v>4000</v>
      </c>
      <c r="G20" s="243"/>
      <c r="H20" s="244"/>
    </row>
    <row r="21" spans="1:8" ht="15">
      <c r="A21" s="487">
        <v>46</v>
      </c>
      <c r="B21" s="220" t="s">
        <v>231</v>
      </c>
      <c r="C21" s="221"/>
      <c r="D21" s="222"/>
      <c r="E21" s="222"/>
      <c r="F21" s="223">
        <v>41846</v>
      </c>
      <c r="G21" s="224"/>
      <c r="H21" s="225"/>
    </row>
    <row r="22" spans="1:8" ht="15.75" thickBot="1">
      <c r="A22" s="487"/>
      <c r="B22" s="195" t="s">
        <v>232</v>
      </c>
      <c r="C22" s="196">
        <v>41846</v>
      </c>
      <c r="D22" s="197"/>
      <c r="E22" s="197"/>
      <c r="F22" s="198"/>
      <c r="G22" s="199"/>
      <c r="H22" s="200"/>
    </row>
    <row r="23" spans="1:8" ht="16.5" thickBot="1">
      <c r="A23" s="488"/>
      <c r="B23" s="232" t="s">
        <v>228</v>
      </c>
      <c r="C23" s="233">
        <f aca="true" t="shared" si="4" ref="C23:H23">SUM(C21:C22)</f>
        <v>41846</v>
      </c>
      <c r="D23" s="234">
        <f t="shared" si="4"/>
        <v>0</v>
      </c>
      <c r="E23" s="235">
        <f t="shared" si="4"/>
        <v>0</v>
      </c>
      <c r="F23" s="236">
        <f t="shared" si="4"/>
        <v>41846</v>
      </c>
      <c r="G23" s="235">
        <f t="shared" si="4"/>
        <v>0</v>
      </c>
      <c r="H23" s="237">
        <f t="shared" si="4"/>
        <v>0</v>
      </c>
    </row>
    <row r="24" spans="1:8" ht="15">
      <c r="A24" s="489">
        <v>52</v>
      </c>
      <c r="B24" s="171" t="s">
        <v>231</v>
      </c>
      <c r="C24" s="172"/>
      <c r="D24" s="173"/>
      <c r="E24" s="173"/>
      <c r="F24" s="174">
        <v>290301</v>
      </c>
      <c r="G24" s="175"/>
      <c r="H24" s="176"/>
    </row>
    <row r="25" spans="1:8" ht="15.75" thickBot="1">
      <c r="A25" s="490"/>
      <c r="B25" s="207" t="s">
        <v>232</v>
      </c>
      <c r="C25" s="208">
        <v>290301</v>
      </c>
      <c r="D25" s="209"/>
      <c r="E25" s="209"/>
      <c r="F25" s="210"/>
      <c r="G25" s="211"/>
      <c r="H25" s="212"/>
    </row>
    <row r="26" spans="1:8" ht="16.5" thickBot="1">
      <c r="A26" s="491"/>
      <c r="B26" s="246" t="s">
        <v>228</v>
      </c>
      <c r="C26" s="247">
        <f aca="true" t="shared" si="5" ref="C26:H26">SUM(C24:C25)</f>
        <v>290301</v>
      </c>
      <c r="D26" s="248">
        <f t="shared" si="5"/>
        <v>0</v>
      </c>
      <c r="E26" s="249">
        <f t="shared" si="5"/>
        <v>0</v>
      </c>
      <c r="F26" s="250">
        <f t="shared" si="5"/>
        <v>290301</v>
      </c>
      <c r="G26" s="249">
        <f t="shared" si="5"/>
        <v>0</v>
      </c>
      <c r="H26" s="251">
        <f t="shared" si="5"/>
        <v>0</v>
      </c>
    </row>
    <row r="27" spans="1:8" ht="15.75">
      <c r="A27" s="252" t="s">
        <v>233</v>
      </c>
      <c r="B27" s="253" t="s">
        <v>231</v>
      </c>
      <c r="C27" s="254"/>
      <c r="D27" s="255"/>
      <c r="E27" s="255"/>
      <c r="F27" s="256"/>
      <c r="G27" s="257"/>
      <c r="H27" s="258"/>
    </row>
    <row r="28" spans="1:8" ht="16.5" thickBot="1">
      <c r="A28" s="259" t="s">
        <v>234</v>
      </c>
      <c r="B28" s="260" t="s">
        <v>231</v>
      </c>
      <c r="C28" s="261"/>
      <c r="D28" s="262"/>
      <c r="E28" s="262"/>
      <c r="F28" s="263"/>
      <c r="G28" s="264"/>
      <c r="H28" s="265"/>
    </row>
    <row r="29" spans="1:8" ht="15.75">
      <c r="A29" s="266" t="s">
        <v>235</v>
      </c>
      <c r="B29" s="267" t="s">
        <v>231</v>
      </c>
      <c r="C29" s="268">
        <v>1349344</v>
      </c>
      <c r="D29" s="269"/>
      <c r="E29" s="269"/>
      <c r="F29" s="270">
        <v>1349344</v>
      </c>
      <c r="G29" s="271"/>
      <c r="H29" s="272"/>
    </row>
    <row r="30" spans="1:8" ht="16.5" thickBot="1">
      <c r="A30" s="273" t="s">
        <v>236</v>
      </c>
      <c r="B30" s="213" t="s">
        <v>231</v>
      </c>
      <c r="C30" s="274">
        <v>149927</v>
      </c>
      <c r="D30" s="275"/>
      <c r="E30" s="275"/>
      <c r="F30" s="276">
        <v>149927</v>
      </c>
      <c r="G30" s="277"/>
      <c r="H30" s="278"/>
    </row>
    <row r="31" spans="1:8" ht="15.75">
      <c r="A31" s="252" t="s">
        <v>237</v>
      </c>
      <c r="B31" s="189" t="s">
        <v>231</v>
      </c>
      <c r="C31" s="279">
        <v>1659823</v>
      </c>
      <c r="D31" s="280"/>
      <c r="E31" s="280"/>
      <c r="F31" s="281">
        <v>1659823</v>
      </c>
      <c r="G31" s="282"/>
      <c r="H31" s="283"/>
    </row>
    <row r="32" spans="1:8" ht="16.5" thickBot="1">
      <c r="A32" s="245" t="s">
        <v>238</v>
      </c>
      <c r="B32" s="284" t="s">
        <v>231</v>
      </c>
      <c r="C32" s="285">
        <v>184424</v>
      </c>
      <c r="D32" s="286"/>
      <c r="E32" s="286"/>
      <c r="F32" s="287">
        <v>184424</v>
      </c>
      <c r="G32" s="288"/>
      <c r="H32" s="289"/>
    </row>
    <row r="33" spans="1:8" ht="15">
      <c r="A33" s="490">
        <v>72</v>
      </c>
      <c r="B33" s="290" t="s">
        <v>226</v>
      </c>
      <c r="C33" s="291">
        <v>0</v>
      </c>
      <c r="D33" s="292"/>
      <c r="E33" s="292"/>
      <c r="F33" s="293"/>
      <c r="G33" s="294"/>
      <c r="H33" s="295"/>
    </row>
    <row r="34" spans="1:8" ht="15">
      <c r="A34" s="490"/>
      <c r="B34" s="296" t="s">
        <v>231</v>
      </c>
      <c r="C34" s="297">
        <v>0</v>
      </c>
      <c r="D34" s="298"/>
      <c r="E34" s="298"/>
      <c r="F34" s="299"/>
      <c r="G34" s="300"/>
      <c r="H34" s="301"/>
    </row>
    <row r="35" spans="1:8" ht="15.75" thickBot="1">
      <c r="A35" s="490"/>
      <c r="B35" s="302" t="s">
        <v>227</v>
      </c>
      <c r="C35" s="303">
        <f>C47</f>
        <v>0</v>
      </c>
      <c r="D35" s="304"/>
      <c r="E35" s="305"/>
      <c r="F35" s="306"/>
      <c r="G35" s="305"/>
      <c r="H35" s="307"/>
    </row>
    <row r="36" spans="1:8" ht="16.5" thickBot="1">
      <c r="A36" s="492"/>
      <c r="B36" s="183" t="s">
        <v>228</v>
      </c>
      <c r="C36" s="184">
        <f aca="true" t="shared" si="6" ref="C36:H36">SUM(C33:C35)</f>
        <v>0</v>
      </c>
      <c r="D36" s="186">
        <f t="shared" si="6"/>
        <v>0</v>
      </c>
      <c r="E36" s="308">
        <f t="shared" si="6"/>
        <v>0</v>
      </c>
      <c r="F36" s="187">
        <f t="shared" si="6"/>
        <v>0</v>
      </c>
      <c r="G36" s="186">
        <f t="shared" si="6"/>
        <v>0</v>
      </c>
      <c r="H36" s="309">
        <f t="shared" si="6"/>
        <v>0</v>
      </c>
    </row>
    <row r="37" spans="1:8" ht="16.5" thickBot="1">
      <c r="A37" s="493" t="s">
        <v>228</v>
      </c>
      <c r="B37" s="494"/>
      <c r="C37" s="310">
        <f aca="true" t="shared" si="7" ref="C37:H37">SUM(C8+C11+C14+C19+C20+C23+C26+C27+C28+C29+C30+C31+C32+C36)</f>
        <v>4822182</v>
      </c>
      <c r="D37" s="310">
        <f t="shared" si="7"/>
        <v>0</v>
      </c>
      <c r="E37" s="310">
        <f t="shared" si="7"/>
        <v>0</v>
      </c>
      <c r="F37" s="310">
        <f t="shared" si="7"/>
        <v>4822182</v>
      </c>
      <c r="G37" s="310">
        <f t="shared" si="7"/>
        <v>0</v>
      </c>
      <c r="H37" s="310">
        <f t="shared" si="7"/>
        <v>0</v>
      </c>
    </row>
    <row r="38" spans="1:8" ht="15">
      <c r="A38" s="311"/>
      <c r="B38" s="311"/>
      <c r="C38" s="312"/>
      <c r="D38" s="312"/>
      <c r="E38" s="312"/>
      <c r="F38" s="312">
        <f>C37-F37</f>
        <v>0</v>
      </c>
      <c r="G38" s="312">
        <f>D37-G37</f>
        <v>0</v>
      </c>
      <c r="H38" s="312">
        <f>E37-H37</f>
        <v>0</v>
      </c>
    </row>
    <row r="39" spans="1:8" ht="16.5" thickBot="1">
      <c r="A39" s="313" t="s">
        <v>239</v>
      </c>
      <c r="B39" s="311"/>
      <c r="C39" s="311"/>
      <c r="D39" s="311"/>
      <c r="E39" s="311"/>
      <c r="F39" s="311"/>
      <c r="G39" s="311"/>
      <c r="H39" s="311"/>
    </row>
    <row r="40" spans="1:8" ht="15.75">
      <c r="A40" s="495" t="s">
        <v>219</v>
      </c>
      <c r="B40" s="497" t="s">
        <v>220</v>
      </c>
      <c r="C40" s="484" t="s">
        <v>221</v>
      </c>
      <c r="D40" s="485"/>
      <c r="E40" s="314"/>
      <c r="F40" s="484" t="s">
        <v>222</v>
      </c>
      <c r="G40" s="485"/>
      <c r="H40" s="486"/>
    </row>
    <row r="41" spans="1:8" ht="15.75" thickBot="1">
      <c r="A41" s="496"/>
      <c r="B41" s="498"/>
      <c r="C41" s="315" t="s">
        <v>223</v>
      </c>
      <c r="D41" s="316" t="s">
        <v>224</v>
      </c>
      <c r="E41" s="317" t="s">
        <v>225</v>
      </c>
      <c r="F41" s="315" t="s">
        <v>223</v>
      </c>
      <c r="G41" s="318" t="s">
        <v>224</v>
      </c>
      <c r="H41" s="317" t="s">
        <v>225</v>
      </c>
    </row>
    <row r="42" spans="1:8" ht="15">
      <c r="A42" s="319">
        <v>111</v>
      </c>
      <c r="B42" s="320" t="s">
        <v>240</v>
      </c>
      <c r="C42" s="321"/>
      <c r="D42" s="322"/>
      <c r="E42" s="323"/>
      <c r="F42" s="321">
        <v>300526</v>
      </c>
      <c r="G42" s="324"/>
      <c r="H42" s="323"/>
    </row>
    <row r="43" spans="1:8" ht="15">
      <c r="A43" s="325" t="s">
        <v>229</v>
      </c>
      <c r="B43" s="326" t="s">
        <v>240</v>
      </c>
      <c r="C43" s="327"/>
      <c r="D43" s="328"/>
      <c r="E43" s="329"/>
      <c r="F43" s="327"/>
      <c r="G43" s="330"/>
      <c r="H43" s="329"/>
    </row>
    <row r="44" spans="1:8" ht="15">
      <c r="A44" s="325" t="s">
        <v>230</v>
      </c>
      <c r="B44" s="326" t="s">
        <v>240</v>
      </c>
      <c r="C44" s="327"/>
      <c r="D44" s="328"/>
      <c r="E44" s="329"/>
      <c r="F44" s="327"/>
      <c r="G44" s="330"/>
      <c r="H44" s="329"/>
    </row>
    <row r="45" spans="1:8" ht="15">
      <c r="A45" s="331">
        <v>41</v>
      </c>
      <c r="B45" s="332" t="s">
        <v>240</v>
      </c>
      <c r="C45" s="333">
        <v>1540</v>
      </c>
      <c r="D45" s="328"/>
      <c r="E45" s="334"/>
      <c r="F45" s="335">
        <f>1500+17000</f>
        <v>18500</v>
      </c>
      <c r="G45" s="336"/>
      <c r="H45" s="334"/>
    </row>
    <row r="46" spans="1:8" ht="15">
      <c r="A46" s="337">
        <v>71</v>
      </c>
      <c r="B46" s="326" t="s">
        <v>240</v>
      </c>
      <c r="C46" s="327"/>
      <c r="D46" s="328"/>
      <c r="E46" s="329"/>
      <c r="F46" s="327"/>
      <c r="G46" s="330"/>
      <c r="H46" s="329"/>
    </row>
    <row r="47" spans="1:8" ht="15.75" thickBot="1">
      <c r="A47" s="338">
        <v>72</v>
      </c>
      <c r="B47" s="339" t="s">
        <v>240</v>
      </c>
      <c r="C47" s="340"/>
      <c r="D47" s="341"/>
      <c r="E47" s="342"/>
      <c r="F47" s="340"/>
      <c r="G47" s="343"/>
      <c r="H47" s="342"/>
    </row>
    <row r="48" spans="1:8" ht="16.5" thickBot="1">
      <c r="A48" s="493" t="s">
        <v>228</v>
      </c>
      <c r="B48" s="494"/>
      <c r="C48" s="310">
        <f aca="true" t="shared" si="8" ref="C48:H48">SUM(C42:C47)</f>
        <v>1540</v>
      </c>
      <c r="D48" s="344">
        <f t="shared" si="8"/>
        <v>0</v>
      </c>
      <c r="E48" s="345">
        <f t="shared" si="8"/>
        <v>0</v>
      </c>
      <c r="F48" s="310">
        <f t="shared" si="8"/>
        <v>319026</v>
      </c>
      <c r="G48" s="310">
        <f t="shared" si="8"/>
        <v>0</v>
      </c>
      <c r="H48" s="346">
        <f t="shared" si="8"/>
        <v>0</v>
      </c>
    </row>
  </sheetData>
  <sheetProtection/>
  <mergeCells count="19">
    <mergeCell ref="A6:A8"/>
    <mergeCell ref="A9:A11"/>
    <mergeCell ref="A12:A14"/>
    <mergeCell ref="A15:A19"/>
    <mergeCell ref="A1:H1"/>
    <mergeCell ref="A2:H2"/>
    <mergeCell ref="A4:A5"/>
    <mergeCell ref="B4:B5"/>
    <mergeCell ref="C4:E4"/>
    <mergeCell ref="F4:H4"/>
    <mergeCell ref="A48:B48"/>
    <mergeCell ref="A40:A41"/>
    <mergeCell ref="B40:B41"/>
    <mergeCell ref="C40:D40"/>
    <mergeCell ref="F40:H40"/>
    <mergeCell ref="A21:A23"/>
    <mergeCell ref="A24:A26"/>
    <mergeCell ref="A33:A36"/>
    <mergeCell ref="A37:B37"/>
  </mergeCells>
  <printOptions/>
  <pageMargins left="0.57" right="0.75" top="0.75" bottom="0.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2012-01-30T12:05:45Z</cp:lastPrinted>
  <dcterms:created xsi:type="dcterms:W3CDTF">1997-01-24T11:07:25Z</dcterms:created>
  <dcterms:modified xsi:type="dcterms:W3CDTF">2012-02-13T14:16:01Z</dcterms:modified>
  <cp:category/>
  <cp:version/>
  <cp:contentType/>
  <cp:contentStatus/>
</cp:coreProperties>
</file>