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VR22-24" sheetId="1" r:id="rId1"/>
    <sheet name="investície" sheetId="2" r:id="rId2"/>
  </sheets>
  <calcPr calcId="152511"/>
</workbook>
</file>

<file path=xl/calcChain.xml><?xml version="1.0" encoding="utf-8"?>
<calcChain xmlns="http://schemas.openxmlformats.org/spreadsheetml/2006/main">
  <c r="I75" i="1" l="1"/>
  <c r="S84" i="1" l="1"/>
  <c r="N84" i="1"/>
  <c r="O84" i="1"/>
  <c r="P84" i="1"/>
  <c r="Q84" i="1"/>
  <c r="R84" i="1"/>
  <c r="M84" i="1"/>
  <c r="I132" i="1" l="1"/>
  <c r="I97" i="1"/>
  <c r="O142" i="1" l="1"/>
  <c r="I142" i="1"/>
  <c r="I99" i="1"/>
  <c r="J4" i="1" l="1"/>
  <c r="K4" i="1"/>
  <c r="M228" i="1"/>
  <c r="N228" i="1"/>
  <c r="L167" i="1"/>
  <c r="D23" i="2" l="1"/>
  <c r="E23" i="2"/>
  <c r="F23" i="2"/>
  <c r="G23" i="2"/>
  <c r="H23" i="2"/>
  <c r="E21" i="2"/>
  <c r="E24" i="2" s="1"/>
  <c r="G21" i="2"/>
  <c r="H21" i="2"/>
  <c r="H24" i="2" s="1"/>
  <c r="M224" i="1"/>
  <c r="N224" i="1"/>
  <c r="F20" i="2"/>
  <c r="D20" i="2"/>
  <c r="D21" i="2" s="1"/>
  <c r="D24" i="2" s="1"/>
  <c r="I173" i="1"/>
  <c r="L177" i="1" s="1"/>
  <c r="G24" i="2" l="1"/>
  <c r="I22" i="2"/>
  <c r="J22" i="2" s="1"/>
  <c r="I20" i="2"/>
  <c r="I18" i="2"/>
  <c r="J18" i="2" s="1"/>
  <c r="F17" i="2"/>
  <c r="I17" i="2" s="1"/>
  <c r="C17" i="2"/>
  <c r="I16" i="2"/>
  <c r="F15" i="2"/>
  <c r="I15" i="2" s="1"/>
  <c r="J15" i="2" s="1"/>
  <c r="F14" i="2"/>
  <c r="I14" i="2" s="1"/>
  <c r="J14" i="2" s="1"/>
  <c r="I13" i="2"/>
  <c r="I12" i="2"/>
  <c r="J12" i="2" s="1"/>
  <c r="I11" i="2"/>
  <c r="K12" i="2" s="1"/>
  <c r="I10" i="2"/>
  <c r="I9" i="2"/>
  <c r="I7" i="2"/>
  <c r="M16" i="2"/>
  <c r="I6" i="2"/>
  <c r="K7" i="2" s="1"/>
  <c r="F5" i="2"/>
  <c r="C5" i="2"/>
  <c r="I4" i="2"/>
  <c r="J4" i="2" s="1"/>
  <c r="K18" i="2" l="1"/>
  <c r="I5" i="2"/>
  <c r="F21" i="2"/>
  <c r="F24" i="2" s="1"/>
  <c r="J11" i="2"/>
  <c r="J16" i="2"/>
  <c r="J10" i="2"/>
  <c r="J7" i="2"/>
  <c r="J17" i="2"/>
  <c r="I19" i="2"/>
  <c r="J20" i="2"/>
  <c r="C23" i="2"/>
  <c r="C21" i="2"/>
  <c r="I8" i="2"/>
  <c r="J6" i="2"/>
  <c r="I23" i="2"/>
  <c r="J23" i="2" s="1"/>
  <c r="J13" i="2"/>
  <c r="K5" i="2"/>
  <c r="J5" i="2"/>
  <c r="J9" i="2"/>
  <c r="J8" i="2" l="1"/>
  <c r="K10" i="2"/>
  <c r="C24" i="2"/>
  <c r="E25" i="2"/>
  <c r="J19" i="2"/>
  <c r="F25" i="2"/>
  <c r="F27" i="2" s="1"/>
  <c r="I21" i="2"/>
  <c r="I24" i="2" l="1"/>
  <c r="J24" i="2" s="1"/>
  <c r="J21" i="2"/>
  <c r="I215" i="1" l="1"/>
  <c r="M155" i="1" l="1"/>
  <c r="N155" i="1"/>
  <c r="K43" i="1" l="1"/>
  <c r="J43" i="1"/>
  <c r="I43" i="1"/>
  <c r="M16" i="1"/>
  <c r="N16" i="1"/>
  <c r="L16" i="1"/>
  <c r="N227" i="1"/>
  <c r="O227" i="1"/>
  <c r="L214" i="1"/>
  <c r="L207" i="1"/>
  <c r="L199" i="1"/>
  <c r="L185" i="1"/>
  <c r="L228" i="1"/>
  <c r="L227" i="1" l="1"/>
  <c r="I222" i="1"/>
  <c r="L224" i="1" s="1"/>
  <c r="F220" i="1"/>
  <c r="G220" i="1"/>
  <c r="H220" i="1"/>
  <c r="I220" i="1"/>
  <c r="J220" i="1"/>
  <c r="K220" i="1"/>
  <c r="E220" i="1"/>
  <c r="D220" i="1"/>
  <c r="F231" i="1"/>
  <c r="G231" i="1"/>
  <c r="H231" i="1"/>
  <c r="I231" i="1"/>
  <c r="J231" i="1"/>
  <c r="K231" i="1"/>
  <c r="F178" i="1"/>
  <c r="G178" i="1"/>
  <c r="H178" i="1"/>
  <c r="I178" i="1"/>
  <c r="J178" i="1"/>
  <c r="K178" i="1"/>
  <c r="H124" i="1"/>
  <c r="H120" i="1" s="1"/>
  <c r="H119" i="1"/>
  <c r="H117" i="1"/>
  <c r="H116" i="1" s="1"/>
  <c r="H113" i="1"/>
  <c r="H112" i="1"/>
  <c r="H109" i="1"/>
  <c r="H107" i="1" s="1"/>
  <c r="H106" i="1"/>
  <c r="H105" i="1"/>
  <c r="H102" i="1"/>
  <c r="H101" i="1"/>
  <c r="H100" i="1"/>
  <c r="F45" i="1"/>
  <c r="G45" i="1"/>
  <c r="H45" i="1"/>
  <c r="I45" i="1"/>
  <c r="J45" i="1"/>
  <c r="K45" i="1"/>
  <c r="E45" i="1"/>
  <c r="E89" i="1"/>
  <c r="F89" i="1"/>
  <c r="G89" i="1"/>
  <c r="H89" i="1"/>
  <c r="I89" i="1"/>
  <c r="J89" i="1"/>
  <c r="K89" i="1"/>
  <c r="D89" i="1"/>
  <c r="H42" i="1"/>
  <c r="H41" i="1"/>
  <c r="H40" i="1"/>
  <c r="H15" i="1"/>
  <c r="H10" i="1"/>
  <c r="H5" i="1"/>
  <c r="G150" i="1"/>
  <c r="G142" i="1"/>
  <c r="G141" i="1" s="1"/>
  <c r="E131" i="1"/>
  <c r="F131" i="1"/>
  <c r="G131" i="1"/>
  <c r="H131" i="1"/>
  <c r="G130" i="1"/>
  <c r="G129" i="1"/>
  <c r="G128" i="1"/>
  <c r="G127" i="1"/>
  <c r="G126" i="1"/>
  <c r="G148" i="1"/>
  <c r="G149" i="1"/>
  <c r="G123" i="1"/>
  <c r="G120" i="1"/>
  <c r="G118" i="1"/>
  <c r="G117" i="1"/>
  <c r="G116" i="1" s="1"/>
  <c r="G111" i="1"/>
  <c r="G110" i="1"/>
  <c r="G109" i="1"/>
  <c r="G108" i="1"/>
  <c r="G104" i="1"/>
  <c r="G103" i="1"/>
  <c r="G102" i="1" s="1"/>
  <c r="G101" i="1"/>
  <c r="G100" i="1"/>
  <c r="G99" i="1"/>
  <c r="G98" i="1"/>
  <c r="G10" i="1"/>
  <c r="G6" i="1"/>
  <c r="G5" i="1"/>
  <c r="H96" i="1" l="1"/>
  <c r="M227" i="1"/>
  <c r="G107" i="1"/>
  <c r="H104" i="1"/>
  <c r="H111" i="1"/>
  <c r="H3" i="1"/>
  <c r="G96" i="1"/>
  <c r="G125" i="1"/>
  <c r="F246" i="1"/>
  <c r="F245" i="1"/>
  <c r="F243" i="1"/>
  <c r="F165" i="1"/>
  <c r="F242" i="1" s="1"/>
  <c r="F158" i="1"/>
  <c r="F148" i="1"/>
  <c r="F149" i="1"/>
  <c r="F153" i="1"/>
  <c r="F141" i="1"/>
  <c r="F125" i="1"/>
  <c r="F120" i="1"/>
  <c r="F116" i="1"/>
  <c r="F111" i="1"/>
  <c r="F107" i="1"/>
  <c r="F104" i="1"/>
  <c r="F102" i="1"/>
  <c r="F96" i="1"/>
  <c r="F86" i="1"/>
  <c r="F90" i="1" s="1"/>
  <c r="F35" i="1"/>
  <c r="F37" i="1"/>
  <c r="F11" i="1"/>
  <c r="F3" i="1"/>
  <c r="G147" i="1" l="1"/>
  <c r="F244" i="1"/>
  <c r="F247" i="1"/>
  <c r="F154" i="1"/>
  <c r="F159" i="1" s="1"/>
  <c r="F147" i="1"/>
  <c r="F82" i="1"/>
  <c r="F91" i="1" s="1"/>
  <c r="F239" i="1" s="1"/>
  <c r="F250" i="1" s="1"/>
  <c r="F253" i="1" s="1"/>
  <c r="F160" i="1" l="1"/>
  <c r="F240" i="1" s="1"/>
  <c r="F241" i="1" s="1"/>
  <c r="F248" i="1" s="1"/>
  <c r="F251" i="1"/>
  <c r="F254" i="1" s="1"/>
  <c r="Q142" i="1" l="1"/>
  <c r="K131" i="1"/>
  <c r="J131" i="1"/>
  <c r="I131" i="1" l="1"/>
  <c r="J20" i="1" l="1"/>
  <c r="M34" i="1" s="1"/>
  <c r="K20" i="1"/>
  <c r="N34" i="1" s="1"/>
  <c r="I20" i="1" l="1"/>
  <c r="L34" i="1" s="1"/>
  <c r="L10" i="1" l="1"/>
  <c r="L138" i="1" l="1"/>
  <c r="L81" i="1"/>
  <c r="C220" i="1" l="1"/>
  <c r="E178" i="1"/>
  <c r="D165" i="1"/>
  <c r="E165" i="1"/>
  <c r="H165" i="1"/>
  <c r="I165" i="1"/>
  <c r="J165" i="1"/>
  <c r="M178" i="1" s="1"/>
  <c r="K165" i="1"/>
  <c r="N178" i="1" s="1"/>
  <c r="D45" i="1"/>
  <c r="E37" i="1"/>
  <c r="G37" i="1"/>
  <c r="H37" i="1"/>
  <c r="I37" i="1"/>
  <c r="J37" i="1"/>
  <c r="K37" i="1"/>
  <c r="D11" i="1"/>
  <c r="E11" i="1"/>
  <c r="G11" i="1"/>
  <c r="D3" i="1"/>
  <c r="E3" i="1"/>
  <c r="G3" i="1"/>
  <c r="I3" i="1"/>
  <c r="J3" i="1"/>
  <c r="K3" i="1"/>
  <c r="E148" i="1"/>
  <c r="L178" i="1" l="1"/>
  <c r="J245" i="1"/>
  <c r="J246" i="1"/>
  <c r="J242" i="1"/>
  <c r="J243" i="1"/>
  <c r="J96" i="1"/>
  <c r="J102" i="1"/>
  <c r="J104" i="1"/>
  <c r="J107" i="1"/>
  <c r="J111" i="1"/>
  <c r="J116" i="1"/>
  <c r="J120" i="1"/>
  <c r="J125" i="1"/>
  <c r="J141" i="1"/>
  <c r="J148" i="1"/>
  <c r="J149" i="1"/>
  <c r="J150" i="1"/>
  <c r="J153" i="1"/>
  <c r="M153" i="1" s="1"/>
  <c r="J157" i="1"/>
  <c r="J158" i="1" s="1"/>
  <c r="J11" i="1"/>
  <c r="J35" i="1"/>
  <c r="J86" i="1"/>
  <c r="J90" i="1" s="1"/>
  <c r="K246" i="1"/>
  <c r="I246" i="1"/>
  <c r="H246" i="1"/>
  <c r="G246" i="1"/>
  <c r="E231" i="1"/>
  <c r="E246" i="1" s="1"/>
  <c r="D231" i="1"/>
  <c r="D246" i="1" s="1"/>
  <c r="C231" i="1"/>
  <c r="C246" i="1" s="1"/>
  <c r="G245" i="1"/>
  <c r="K245" i="1"/>
  <c r="I245" i="1"/>
  <c r="H245" i="1"/>
  <c r="E245" i="1"/>
  <c r="C245" i="1"/>
  <c r="C201" i="1"/>
  <c r="D184" i="1"/>
  <c r="K243" i="1"/>
  <c r="I243" i="1"/>
  <c r="E243" i="1"/>
  <c r="G166" i="1"/>
  <c r="G165" i="1" s="1"/>
  <c r="K242" i="1"/>
  <c r="I242" i="1"/>
  <c r="H242" i="1"/>
  <c r="E242" i="1"/>
  <c r="D242" i="1"/>
  <c r="C165" i="1"/>
  <c r="C242" i="1" s="1"/>
  <c r="K157" i="1"/>
  <c r="K158" i="1" s="1"/>
  <c r="I157" i="1"/>
  <c r="H157" i="1"/>
  <c r="H158" i="1" s="1"/>
  <c r="E157" i="1"/>
  <c r="D157" i="1"/>
  <c r="C157" i="1"/>
  <c r="E155" i="1"/>
  <c r="D155" i="1"/>
  <c r="C155" i="1"/>
  <c r="K153" i="1"/>
  <c r="N153" i="1" s="1"/>
  <c r="I153" i="1"/>
  <c r="L153" i="1" s="1"/>
  <c r="H153" i="1"/>
  <c r="G153" i="1"/>
  <c r="E153" i="1"/>
  <c r="D153" i="1"/>
  <c r="C153" i="1"/>
  <c r="D152" i="1"/>
  <c r="K150" i="1"/>
  <c r="I150" i="1"/>
  <c r="K149" i="1"/>
  <c r="I149" i="1"/>
  <c r="H149" i="1"/>
  <c r="E149" i="1"/>
  <c r="D149" i="1"/>
  <c r="C149" i="1"/>
  <c r="K148" i="1"/>
  <c r="I148" i="1"/>
  <c r="D148" i="1"/>
  <c r="C148" i="1"/>
  <c r="K141" i="1"/>
  <c r="I141" i="1"/>
  <c r="H141" i="1"/>
  <c r="E141" i="1"/>
  <c r="D141" i="1"/>
  <c r="C141" i="1"/>
  <c r="D131" i="1"/>
  <c r="C131" i="1"/>
  <c r="K125" i="1"/>
  <c r="I125" i="1"/>
  <c r="E125" i="1"/>
  <c r="D125" i="1"/>
  <c r="C125" i="1"/>
  <c r="K120" i="1"/>
  <c r="I120" i="1"/>
  <c r="E120" i="1"/>
  <c r="D120" i="1"/>
  <c r="C120" i="1"/>
  <c r="K116" i="1"/>
  <c r="I116" i="1"/>
  <c r="E116" i="1"/>
  <c r="D116" i="1"/>
  <c r="C116" i="1"/>
  <c r="K111" i="1"/>
  <c r="I111" i="1"/>
  <c r="E111" i="1"/>
  <c r="D111" i="1"/>
  <c r="C111" i="1"/>
  <c r="K107" i="1"/>
  <c r="I107" i="1"/>
  <c r="E107" i="1"/>
  <c r="D107" i="1"/>
  <c r="C107" i="1"/>
  <c r="K104" i="1"/>
  <c r="I104" i="1"/>
  <c r="E104" i="1"/>
  <c r="D104" i="1"/>
  <c r="C104" i="1"/>
  <c r="K102" i="1"/>
  <c r="I102" i="1"/>
  <c r="E102" i="1"/>
  <c r="D102" i="1"/>
  <c r="C102" i="1"/>
  <c r="K96" i="1"/>
  <c r="I96" i="1"/>
  <c r="E96" i="1"/>
  <c r="D96" i="1"/>
  <c r="C96" i="1"/>
  <c r="G157" i="1"/>
  <c r="K86" i="1"/>
  <c r="K90" i="1" s="1"/>
  <c r="I86" i="1"/>
  <c r="I90" i="1" s="1"/>
  <c r="H86" i="1"/>
  <c r="H90" i="1" s="1"/>
  <c r="E86" i="1"/>
  <c r="E90" i="1" s="1"/>
  <c r="D86" i="1"/>
  <c r="D90" i="1" s="1"/>
  <c r="C86" i="1"/>
  <c r="C90" i="1" s="1"/>
  <c r="H148" i="1"/>
  <c r="C45" i="1"/>
  <c r="D43" i="1"/>
  <c r="D37" i="1" s="1"/>
  <c r="C43" i="1"/>
  <c r="C37" i="1" s="1"/>
  <c r="K35" i="1"/>
  <c r="I35" i="1"/>
  <c r="H35" i="1"/>
  <c r="G35" i="1"/>
  <c r="E35" i="1"/>
  <c r="D35" i="1"/>
  <c r="C35" i="1"/>
  <c r="C28" i="1"/>
  <c r="C11" i="1" s="1"/>
  <c r="K11" i="1"/>
  <c r="C3" i="1"/>
  <c r="I155" i="1" l="1"/>
  <c r="L155" i="1" s="1"/>
  <c r="M151" i="1"/>
  <c r="N151" i="1"/>
  <c r="L151" i="1"/>
  <c r="D154" i="1"/>
  <c r="C158" i="1"/>
  <c r="I11" i="1"/>
  <c r="I82" i="1" s="1"/>
  <c r="D178" i="1"/>
  <c r="D243" i="1" s="1"/>
  <c r="D244" i="1" s="1"/>
  <c r="I247" i="1"/>
  <c r="C178" i="1"/>
  <c r="C243" i="1" s="1"/>
  <c r="C244" i="1" s="1"/>
  <c r="C154" i="1"/>
  <c r="E154" i="1"/>
  <c r="K247" i="1"/>
  <c r="I147" i="1"/>
  <c r="G243" i="1"/>
  <c r="D147" i="1"/>
  <c r="K154" i="1"/>
  <c r="K159" i="1" s="1"/>
  <c r="D158" i="1"/>
  <c r="H11" i="1"/>
  <c r="H82" i="1" s="1"/>
  <c r="J82" i="1"/>
  <c r="K82" i="1"/>
  <c r="E247" i="1"/>
  <c r="J244" i="1"/>
  <c r="J147" i="1"/>
  <c r="J247" i="1"/>
  <c r="C82" i="1"/>
  <c r="C91" i="1" s="1"/>
  <c r="C239" i="1" s="1"/>
  <c r="G82" i="1"/>
  <c r="E147" i="1"/>
  <c r="K147" i="1"/>
  <c r="H125" i="1"/>
  <c r="K244" i="1"/>
  <c r="E158" i="1"/>
  <c r="E244" i="1"/>
  <c r="J154" i="1"/>
  <c r="J159" i="1" s="1"/>
  <c r="D82" i="1"/>
  <c r="C147" i="1"/>
  <c r="I154" i="1"/>
  <c r="G158" i="1"/>
  <c r="G242" i="1"/>
  <c r="C247" i="1"/>
  <c r="H247" i="1"/>
  <c r="I244" i="1"/>
  <c r="G154" i="1"/>
  <c r="G247" i="1"/>
  <c r="H154" i="1"/>
  <c r="H159" i="1" s="1"/>
  <c r="E82" i="1"/>
  <c r="G86" i="1"/>
  <c r="G90" i="1" s="1"/>
  <c r="I158" i="1" l="1"/>
  <c r="I159" i="1" s="1"/>
  <c r="I160" i="1" s="1"/>
  <c r="I240" i="1" s="1"/>
  <c r="I251" i="1" s="1"/>
  <c r="I254" i="1" s="1"/>
  <c r="E159" i="1"/>
  <c r="E160" i="1" s="1"/>
  <c r="E240" i="1" s="1"/>
  <c r="E251" i="1" s="1"/>
  <c r="E254" i="1" s="1"/>
  <c r="C159" i="1"/>
  <c r="D159" i="1"/>
  <c r="D160" i="1" s="1"/>
  <c r="D240" i="1" s="1"/>
  <c r="D251" i="1" s="1"/>
  <c r="D254" i="1" s="1"/>
  <c r="H243" i="1"/>
  <c r="H244" i="1" s="1"/>
  <c r="C160" i="1"/>
  <c r="C240" i="1" s="1"/>
  <c r="C251" i="1" s="1"/>
  <c r="C254" i="1" s="1"/>
  <c r="G244" i="1"/>
  <c r="K160" i="1"/>
  <c r="K240" i="1" s="1"/>
  <c r="K251" i="1" s="1"/>
  <c r="K254" i="1" s="1"/>
  <c r="H147" i="1"/>
  <c r="H160" i="1" s="1"/>
  <c r="H240" i="1" s="1"/>
  <c r="J160" i="1"/>
  <c r="J240" i="1" s="1"/>
  <c r="J251" i="1" s="1"/>
  <c r="J254" i="1" s="1"/>
  <c r="H91" i="1"/>
  <c r="H239" i="1" s="1"/>
  <c r="H250" i="1" s="1"/>
  <c r="H253" i="1" s="1"/>
  <c r="J91" i="1"/>
  <c r="J239" i="1" s="1"/>
  <c r="E91" i="1"/>
  <c r="E239" i="1" s="1"/>
  <c r="E250" i="1" s="1"/>
  <c r="E253" i="1" s="1"/>
  <c r="D91" i="1"/>
  <c r="D239" i="1" s="1"/>
  <c r="I91" i="1"/>
  <c r="I239" i="1" s="1"/>
  <c r="G91" i="1"/>
  <c r="G239" i="1" s="1"/>
  <c r="G250" i="1" s="1"/>
  <c r="G253" i="1" s="1"/>
  <c r="K91" i="1"/>
  <c r="K239" i="1" s="1"/>
  <c r="K250" i="1" s="1"/>
  <c r="K253" i="1" s="1"/>
  <c r="G159" i="1"/>
  <c r="C250" i="1"/>
  <c r="C253" i="1" s="1"/>
  <c r="H251" i="1" l="1"/>
  <c r="H254" i="1" s="1"/>
  <c r="C241" i="1"/>
  <c r="C248" i="1" s="1"/>
  <c r="I241" i="1"/>
  <c r="I248" i="1" s="1"/>
  <c r="I250" i="1"/>
  <c r="I253" i="1" s="1"/>
  <c r="G160" i="1"/>
  <c r="G240" i="1" s="1"/>
  <c r="G251" i="1" s="1"/>
  <c r="G254" i="1" s="1"/>
  <c r="D241" i="1"/>
  <c r="J250" i="1"/>
  <c r="J253" i="1" s="1"/>
  <c r="J241" i="1"/>
  <c r="J248" i="1" s="1"/>
  <c r="E241" i="1"/>
  <c r="E248" i="1" s="1"/>
  <c r="K241" i="1"/>
  <c r="K248" i="1" s="1"/>
  <c r="H241" i="1"/>
  <c r="H248" i="1" s="1"/>
  <c r="G241" i="1"/>
  <c r="G248" i="1" s="1"/>
  <c r="D245" i="1" l="1"/>
  <c r="D250" i="1" s="1"/>
  <c r="D253" i="1" s="1"/>
  <c r="D247" i="1" l="1"/>
  <c r="D248" i="1" s="1"/>
</calcChain>
</file>

<file path=xl/sharedStrings.xml><?xml version="1.0" encoding="utf-8"?>
<sst xmlns="http://schemas.openxmlformats.org/spreadsheetml/2006/main" count="444" uniqueCount="341">
  <si>
    <t>Bežný rozpočet - príjmy</t>
  </si>
  <si>
    <t>Názov položky</t>
  </si>
  <si>
    <t>skutočnosť 2017</t>
  </si>
  <si>
    <t>skutočnosť 2018</t>
  </si>
  <si>
    <t>daňové príjmy</t>
  </si>
  <si>
    <t>výnos dane pre územnú samosprávu</t>
  </si>
  <si>
    <t>daň z nehnuteľností - pozemky, stavby, byty</t>
  </si>
  <si>
    <t>daň za psa</t>
  </si>
  <si>
    <t>daň za nevýherné hracie prístroje</t>
  </si>
  <si>
    <t>daň z ubytovania</t>
  </si>
  <si>
    <t>daň za užívanie verejného priestranstva</t>
  </si>
  <si>
    <t>MP za zber a odvoz odpadu</t>
  </si>
  <si>
    <t>nedaňové príjmy</t>
  </si>
  <si>
    <t>prenájom pozemkov</t>
  </si>
  <si>
    <t>prenájom hrobového miesta</t>
  </si>
  <si>
    <t>prenájom bytov</t>
  </si>
  <si>
    <t xml:space="preserve">prenájom budov </t>
  </si>
  <si>
    <t xml:space="preserve">prenájom strojov,prístrojov,zariadení </t>
  </si>
  <si>
    <t xml:space="preserve">správne poplatky </t>
  </si>
  <si>
    <t>pokuty, sankcie</t>
  </si>
  <si>
    <t>ostatné príjmy /relácie,kopírovanie,fax,.../</t>
  </si>
  <si>
    <t>príjem za opatrovateľskú službu</t>
  </si>
  <si>
    <t>príjem za služby denného stacionára</t>
  </si>
  <si>
    <t>príjem zo vstupného, kult.činnosti, HDST, reklamné služby</t>
  </si>
  <si>
    <t>príjem za separovaný zber</t>
  </si>
  <si>
    <t>príjem za reklamné služby</t>
  </si>
  <si>
    <t>poplatok za služby v Dome smútku</t>
  </si>
  <si>
    <t>poplatok za stočné</t>
  </si>
  <si>
    <t>poplatky za služby pri užívaní obec.nebyt.priestorov</t>
  </si>
  <si>
    <t>príjem za réžiu v ŠKJ</t>
  </si>
  <si>
    <t>príjem za asistovanú službu Integrovaného obslužného miesta</t>
  </si>
  <si>
    <t>príspevok rodičov na náklady zariadenia ZUŠ</t>
  </si>
  <si>
    <t>príspevok rodičov na náklady zariadenia MŠ</t>
  </si>
  <si>
    <t>príjem zo stravného v ŠKJ</t>
  </si>
  <si>
    <t>príjem z predaja prebytočného majetku</t>
  </si>
  <si>
    <t>úroky</t>
  </si>
  <si>
    <t>úroky z bankových účtov</t>
  </si>
  <si>
    <t>ostatné príjmy</t>
  </si>
  <si>
    <t>príjem z náhrad poistného plnenia</t>
  </si>
  <si>
    <t>príjem z výťažkov lotérií a hazardných hier</t>
  </si>
  <si>
    <t xml:space="preserve">príjem z dobropisov </t>
  </si>
  <si>
    <t>príjem z vratiek</t>
  </si>
  <si>
    <t>príjem z refundácie za skladníka CO z MV SR</t>
  </si>
  <si>
    <t>príjmy z refundácie - iné náhrady</t>
  </si>
  <si>
    <t>granty, dotácie, transfery</t>
  </si>
  <si>
    <t>Granty na kultúrne podujatia</t>
  </si>
  <si>
    <t>Grant Nadácia pre deti Slovenska</t>
  </si>
  <si>
    <t>Dotácia MŠVVŠ SR - projekt Komunita III. na mládežnícke aktivity</t>
  </si>
  <si>
    <t>Dotácia MPSVR na asistenta učiteľa MŠ</t>
  </si>
  <si>
    <t>Dotácia ÚV SR na športovú výbavu</t>
  </si>
  <si>
    <t>Dotácia MPSVR na humanitárnu pomoc pri požiari</t>
  </si>
  <si>
    <t>Dotácia UPSVR na aktivačnú činnosť</t>
  </si>
  <si>
    <t xml:space="preserve">Dotácia MŽP - zníženie energetickej náročnosti budovy OÚ </t>
  </si>
  <si>
    <t>Dotácia MPRV - rekonštrukcia denného stacionára</t>
  </si>
  <si>
    <t>Dotácia MVSR na údržbu vojnových hrobov</t>
  </si>
  <si>
    <t>Transfer od obcí na SpU opatr.služby</t>
  </si>
  <si>
    <t>Transfer od ZŠ na SpU školstva</t>
  </si>
  <si>
    <t>Transfer od obcí na SpU stavebný</t>
  </si>
  <si>
    <t>Dotácia Lesy na opravu mosta a miestnej komunikácie</t>
  </si>
  <si>
    <t>Dotácia DPO SR na Dobr.hasič.zbor obce</t>
  </si>
  <si>
    <t>Dotácia z Fondu na podporu umenia - kultúrne projekty</t>
  </si>
  <si>
    <t>Dotácia MV SR na matričnú čin., register obyv., adries</t>
  </si>
  <si>
    <t>Dotácia MDVRR,MŽP na stavebný úrad</t>
  </si>
  <si>
    <t>Dotácia IA MPSVR SR na opatrovateľskú službu</t>
  </si>
  <si>
    <t>Dotácia MPSVR na denný stacionár</t>
  </si>
  <si>
    <t>Transfer OkU pre ZŠ - právny subjekt</t>
  </si>
  <si>
    <t>BEŽNÉ PRÍJMY obce:</t>
  </si>
  <si>
    <t>RO</t>
  </si>
  <si>
    <t>Vlastný príjem ZŠ, preplatky</t>
  </si>
  <si>
    <t>Vlastný príjem ŠKD</t>
  </si>
  <si>
    <t>Projekt MŠVVŠ SR - Zvýšenie kvality vzdelávania na ZŠ</t>
  </si>
  <si>
    <t>Bežný príjem RO - Základnej školy Heľpa spolu:</t>
  </si>
  <si>
    <t>Vlastný príjem ZUŠ Heľpa</t>
  </si>
  <si>
    <t>Bežný príjem rozpočtových organizácií spolu:</t>
  </si>
  <si>
    <t>BEŽNÉ PRÍJMY CELKOM:</t>
  </si>
  <si>
    <t>Bežný rozpočet - výdavky</t>
  </si>
  <si>
    <t>01 Všeobecné verejné služby</t>
  </si>
  <si>
    <t>0111</t>
  </si>
  <si>
    <t>Výkonné a zákonodarné orgány (OÚ, OZ, komisie)</t>
  </si>
  <si>
    <t>0112</t>
  </si>
  <si>
    <t>Fin.a rozpoč.záležitosti (HKON,audit,popl,fin.správa, poistné)</t>
  </si>
  <si>
    <t>0131</t>
  </si>
  <si>
    <t>Propagácia, reklama, inzercia (propagač. Predmety, bankovka)</t>
  </si>
  <si>
    <t>0133</t>
  </si>
  <si>
    <t>Všeobec.služby (Matrika,REGOB,evidencie,služby, správa)</t>
  </si>
  <si>
    <t>0160</t>
  </si>
  <si>
    <t>02 Obrana</t>
  </si>
  <si>
    <t>0220</t>
  </si>
  <si>
    <t>03 Verejný poriadok a bezpečnosť</t>
  </si>
  <si>
    <t>0320</t>
  </si>
  <si>
    <t>Ochrana pred požiarmi (Prevádzka dobr.hasič.zboru)</t>
  </si>
  <si>
    <t>0360</t>
  </si>
  <si>
    <t>Bezpečnosť (Kamer.systém, bezpeč.projekt, GDPR)</t>
  </si>
  <si>
    <t>04 Ekonomická oblasť</t>
  </si>
  <si>
    <t>0412</t>
  </si>
  <si>
    <t>Prac.oblasť (Správa prac.záležitostí, BOZP, spolupr.VS)</t>
  </si>
  <si>
    <t>0443</t>
  </si>
  <si>
    <t>Výstavba (Spoločný stavebný úrad, ver.obstarávanie)</t>
  </si>
  <si>
    <t>0451</t>
  </si>
  <si>
    <t>Cestná doprava (Údržba miest.komunikácií,chodníkov,parkovísk)</t>
  </si>
  <si>
    <t>05 Ochrana životného prostredia</t>
  </si>
  <si>
    <t>0510</t>
  </si>
  <si>
    <t>Naklad.s odpadmi (zber,uloženie KO, prevádzka zber.dvora)</t>
  </si>
  <si>
    <t>0520</t>
  </si>
  <si>
    <t>Naklad.s odp.vodami (Prevádzka kanalizácie a ČOV)</t>
  </si>
  <si>
    <t>0540</t>
  </si>
  <si>
    <t>Ochrana prírody a krajiny a výrub drevín</t>
  </si>
  <si>
    <t>0560</t>
  </si>
  <si>
    <t>Ochrana živ.prostr. (Starostlivosť o ŽP, ver.zeleň, potoky, protipovodň.opatrenia,veterinárne služ.)</t>
  </si>
  <si>
    <t>06 Bývanie a občianska vybavenosť</t>
  </si>
  <si>
    <t>0620</t>
  </si>
  <si>
    <t>Rozvoj obcí (Správa verejnoprospeš.zariadení)</t>
  </si>
  <si>
    <t>0640</t>
  </si>
  <si>
    <t>Verejné osvetlenie</t>
  </si>
  <si>
    <t>0660</t>
  </si>
  <si>
    <t>Bývanie a obč.vybavenosť (Byty, zdr.str,klub,mater.centrum)</t>
  </si>
  <si>
    <t>07 Zdravotníctvo</t>
  </si>
  <si>
    <t>0711</t>
  </si>
  <si>
    <t>Lieky</t>
  </si>
  <si>
    <t>0712</t>
  </si>
  <si>
    <t>Zdravotnícky materiál</t>
  </si>
  <si>
    <t>0721</t>
  </si>
  <si>
    <t>Zdravotná starostlivosť (prevent.prehliadky, lek.posúdenie)</t>
  </si>
  <si>
    <t>0740</t>
  </si>
  <si>
    <t>08 Rekreácia, kultúra a náboženstvo</t>
  </si>
  <si>
    <t>0810</t>
  </si>
  <si>
    <t>Rekreač.,šport.služby (prevádzka šport.areálu, ŠK, NDS projekt)</t>
  </si>
  <si>
    <t>0820</t>
  </si>
  <si>
    <t>Správa kult.služieb a zariad. (KUL,MĽK,AMF,podujatia,projekty FPU, múzeum)</t>
  </si>
  <si>
    <t>0830</t>
  </si>
  <si>
    <t>Vysielacie a vydavateľské služby (Rozhlas,noviny)</t>
  </si>
  <si>
    <t>0840</t>
  </si>
  <si>
    <t>Nábož.a spoločen.služby (Domu smútku,cintorín, obrady)</t>
  </si>
  <si>
    <t>0860</t>
  </si>
  <si>
    <t>Spoločenské, kultúrne, športové aktivity obce, projekty mládeže</t>
  </si>
  <si>
    <t>09 Vzdelávanie</t>
  </si>
  <si>
    <t>09111</t>
  </si>
  <si>
    <t>Predprimárne vzdelávanie (Prevádzka MŠ)</t>
  </si>
  <si>
    <t>09121</t>
  </si>
  <si>
    <t>Primárne vzdelávanie (údržba objektov ZŠ)</t>
  </si>
  <si>
    <t>09211</t>
  </si>
  <si>
    <t>Nižšie sekundárne vzdelávanie (údržba objektov ZŠ)</t>
  </si>
  <si>
    <t>0950</t>
  </si>
  <si>
    <t>Záujmové vzdelávanie (semináre,kurzy,školenia)</t>
  </si>
  <si>
    <t>09601</t>
  </si>
  <si>
    <t>Vedľ.služby v rámci predprimár. vzdel. (ŠKJ pre MŠ)</t>
  </si>
  <si>
    <t>09602</t>
  </si>
  <si>
    <t>Vedľ.služby v rámci primár. vzdel. (ŠKJ pre 1.st.ZŠ)</t>
  </si>
  <si>
    <t>09603</t>
  </si>
  <si>
    <t>09608</t>
  </si>
  <si>
    <t>0980</t>
  </si>
  <si>
    <t>10 Sociálne zabezpečenie</t>
  </si>
  <si>
    <t>1020</t>
  </si>
  <si>
    <t>1040</t>
  </si>
  <si>
    <t>Rodina a deti (Príspevky na deti v HN, osob.príjemca PND)</t>
  </si>
  <si>
    <t>1050</t>
  </si>
  <si>
    <t>Nezamestnanosť (Aktivačná činnosť a programy pre uchádz.o zamestnanie)</t>
  </si>
  <si>
    <t>1070</t>
  </si>
  <si>
    <t>Sociálna pomoc občanom v soc. a hm. núdzi</t>
  </si>
  <si>
    <t>1090</t>
  </si>
  <si>
    <t>Sociálne zabezpečenie pri živel.pohromách, núdz.situáciách</t>
  </si>
  <si>
    <t>BEŽNÉ VÝDAVKY obce:</t>
  </si>
  <si>
    <t>09</t>
  </si>
  <si>
    <t>Transfer z OkU pre Základnú školu</t>
  </si>
  <si>
    <t>Transfer vlastného príjmu Základnej školy</t>
  </si>
  <si>
    <t>Transfer z projektu MŠVVŠ SR</t>
  </si>
  <si>
    <t>Transfer na rozvojový projekt ZŠ  - spolufinancovanie obce</t>
  </si>
  <si>
    <t>Transfer z rozpočtu obce pre Školský klub detí</t>
  </si>
  <si>
    <t>Transfer vlastného príjmu Školského klubu detí</t>
  </si>
  <si>
    <t>Bežné výdavky Základnej školy spolu:</t>
  </si>
  <si>
    <t>Transfer obce pre Základnú umeleckú školu</t>
  </si>
  <si>
    <t>Transfer vlastného príjmu ZUŠ</t>
  </si>
  <si>
    <t>Bežné výdavky Základnej umeleckej školy:</t>
  </si>
  <si>
    <t>Bežné výdavky rozpočtových organizácií spolu:</t>
  </si>
  <si>
    <t>BEŽNÉ VÝDAVKY SPOLU:</t>
  </si>
  <si>
    <t>Kapitálový rozpočet</t>
  </si>
  <si>
    <t>Kapitálové príjmy</t>
  </si>
  <si>
    <t>predaj pozemkov</t>
  </si>
  <si>
    <t>KT MV SR Rekonštrukcia hasičskej zbrojnice</t>
  </si>
  <si>
    <t>KT M SR Náučný chodník</t>
  </si>
  <si>
    <t>KT MZP Zníž.energ.náročnosti budovy OcÚ</t>
  </si>
  <si>
    <t xml:space="preserve">KT EF Dobudovanie kanalizácie </t>
  </si>
  <si>
    <t>Kapitálové výdavky</t>
  </si>
  <si>
    <t>Zníž.energet.náročnosti OcÚ</t>
  </si>
  <si>
    <t>Stavebné úpravy OÚ (kabeláž, interiérové úpravy)</t>
  </si>
  <si>
    <t>Rekonštrukcia hasičskej zbrojnice + strechy</t>
  </si>
  <si>
    <t>Zmena územno-plánovacej dokumentácie</t>
  </si>
  <si>
    <t>Oporný múr ul.Farská, pluh na zimnú údržbu, chodník ul. Hlavná</t>
  </si>
  <si>
    <t>Maringotka na zberný dvor</t>
  </si>
  <si>
    <t>Sadové úpravy ver.priestranstiev</t>
  </si>
  <si>
    <t>0610</t>
  </si>
  <si>
    <t>Nákup pozemkov,budov, objektov na ver. účely</t>
  </si>
  <si>
    <t>Náučný chodník chotárom obce</t>
  </si>
  <si>
    <t>Betón.plocha klziska, det.ihrisko, strecha štadióna</t>
  </si>
  <si>
    <t>KT pre ŠK Heľpa - rekonštrukcia ihriska</t>
  </si>
  <si>
    <t>Horehronskomuránska cyklotrasa</t>
  </si>
  <si>
    <t>Zvýšenie energ.efektív.budovy MŠ</t>
  </si>
  <si>
    <t>Finančné operácie</t>
  </si>
  <si>
    <t>príjmové</t>
  </si>
  <si>
    <t>prevody zost. fondu prev.údržby,opráv bytov</t>
  </si>
  <si>
    <t>prevod z fondu na rozvoj obce - investičné akcie</t>
  </si>
  <si>
    <t>príjem správnych poplatkov ŠR za IOM</t>
  </si>
  <si>
    <t>návratné zdroje financovania</t>
  </si>
  <si>
    <t>výdavkové</t>
  </si>
  <si>
    <t>odvod správnych poplatkov za IOM</t>
  </si>
  <si>
    <t>splácanie úveru ŠFRB</t>
  </si>
  <si>
    <t>REKAPITULÁCIA ROZPOČTU</t>
  </si>
  <si>
    <t>príjmy bežného rozpočtu</t>
  </si>
  <si>
    <t>výdavky bežného rozpočtu</t>
  </si>
  <si>
    <t>stav bežného rozpočtu</t>
  </si>
  <si>
    <t>príjmy kapitálového rozpočtu</t>
  </si>
  <si>
    <t>výdavky kapitálového rozpočtu</t>
  </si>
  <si>
    <t>stav kapitálového rozpočtu</t>
  </si>
  <si>
    <t>finančné operácie príjmové</t>
  </si>
  <si>
    <t>finančné operácie výdavkové</t>
  </si>
  <si>
    <t>rozdiel finančných operácií</t>
  </si>
  <si>
    <t>CELKOVÝ  STAV  ROZPOČTU:</t>
  </si>
  <si>
    <t>Príjmy celkom:</t>
  </si>
  <si>
    <t>Výdavky celkom:</t>
  </si>
  <si>
    <t>plnenie rozpočtu</t>
  </si>
  <si>
    <t>čerpanie rozpočtu</t>
  </si>
  <si>
    <t>Vypracovala: Mgr. A. Tkáčiková</t>
  </si>
  <si>
    <t>Predkladá: Peter Hyriak - starosta obce</t>
  </si>
  <si>
    <t>skutočnosť 2019</t>
  </si>
  <si>
    <t>Rekonštrukcia budovy pošty, hasič.zbrojnice/strecha</t>
  </si>
  <si>
    <t>príjmy z refundácií, vyúčtovanie služieb prenajímaných objektov</t>
  </si>
  <si>
    <t>Dotácia EF SR na kompostovisko</t>
  </si>
  <si>
    <t>Dotácia ŠÚ SR na sčítanie obyvateľov, domov, bytov</t>
  </si>
  <si>
    <t>Dotácia UPSVR na Podporu zamestnanosti MŠ</t>
  </si>
  <si>
    <t>Rekonštrukcia strechy OÚ / zachytávače snehu</t>
  </si>
  <si>
    <t>Rekonštrukcia Domu smútku -schodisko / strecha</t>
  </si>
  <si>
    <t>ZŠ-knižnica,čitáreň / Vým.plyn.kotla v tel. / elektroinštalácia, bleskozvod</t>
  </si>
  <si>
    <t>prevod z rezervného fondu na údržbu objektov</t>
  </si>
  <si>
    <t>návratná finančná výpomoc MFSR</t>
  </si>
  <si>
    <t>Verejne prístupná elektrická nabíjacia stanica pre elektromobily</t>
  </si>
  <si>
    <t>Dotácia UPSVR na deti v hm.núdzi (strava,šk.potreby)</t>
  </si>
  <si>
    <t>Dotácia UPSVR na osobitného príjemcu a rod.prídavkov</t>
  </si>
  <si>
    <t>Vedľ.služby v rámci niž.sekund. vzdel. (ŠKJ pre 2.st.ZŠ,dospelí)</t>
  </si>
  <si>
    <t>Vedľ.služby nedefinované (SpÚ školstva + Polomka)</t>
  </si>
  <si>
    <t>nevyčerpané z min.rokov</t>
  </si>
  <si>
    <t>Všeob.verejné služby (Voľby, sčítanie obyvateľov,domov,bytov)</t>
  </si>
  <si>
    <t>Dotácia BBSK na DFF HDST, Kolovrátok</t>
  </si>
  <si>
    <t>Rekonštrukcia strechy amfiteáter</t>
  </si>
  <si>
    <t>Rekonštrukcia elektroinštalácie obecných objektov</t>
  </si>
  <si>
    <t>Stavebné úpravy športovej budovy</t>
  </si>
  <si>
    <t>Dobudovanie kanalizačnej siete</t>
  </si>
  <si>
    <t>KT Rozšírenie kapacity MŠ</t>
  </si>
  <si>
    <t>KT MIRRI Rekonštrukcia denného stacionára</t>
  </si>
  <si>
    <t>KT MŽP Zvýšenie energ.efektívnosti budovy MŠ</t>
  </si>
  <si>
    <t>Dobudovanie chodníka na ul.Hlavná + st.dozor</t>
  </si>
  <si>
    <t xml:space="preserve">Predchádzanie vzniku odpadu kompostovaním </t>
  </si>
  <si>
    <t>Projektová dokumentácia pripavovaných inv.akcií</t>
  </si>
  <si>
    <t>KT Horehronsko muránska cyklotrasa</t>
  </si>
  <si>
    <t>skutočnosť 2020</t>
  </si>
  <si>
    <t>schválený 2021</t>
  </si>
  <si>
    <t>upravený 2021</t>
  </si>
  <si>
    <t>Dotácia MVSR na opatrenia Covid19</t>
  </si>
  <si>
    <t>Dotácia MPSVR na soc.služby mim.odmeny</t>
  </si>
  <si>
    <t>Transfer OkU pre ZUŠ - právny subjekt</t>
  </si>
  <si>
    <t xml:space="preserve">KT MŽP Predchádzanie vzniku odpadu kompostovaním </t>
  </si>
  <si>
    <t>Nákup motorových vozidiel, komunál.techniky, príves.vozík</t>
  </si>
  <si>
    <t>Bleskozvod s uzemnením v telocvični ZŠ</t>
  </si>
  <si>
    <t>Stavebné úpravy telocvične - elektroinštalácia</t>
  </si>
  <si>
    <t>ŠKJ - vzduchotechnika, šporák, umývačka / el.panvica, var.kotol</t>
  </si>
  <si>
    <t>Ochrana, podpora a rozvoj zdravia (prísp. SČK, MOM, celoplošné testovanie)</t>
  </si>
  <si>
    <t>Správa a riadenie vzdelávania, Virtuálna univerzita</t>
  </si>
  <si>
    <t>grant - dobrovoľná zbierka obce na rek.strechy amfiteátra</t>
  </si>
  <si>
    <t>KT MH SR verej.prístup.elektr.nabíjacia stanica pre elektromobily</t>
  </si>
  <si>
    <t>ČOV kompenzátor, čerpadlá, frekvenčný menič</t>
  </si>
  <si>
    <t>Dobud.kanal.I.etapa L09, ČS3 -Prečerpávacia stanica, NN na ul. Furmanská</t>
  </si>
  <si>
    <t>Stav.úpravy prístrešku studničky na ul. Tichá</t>
  </si>
  <si>
    <t>Rekonštrukcia objektu-spoločenská miestnosť</t>
  </si>
  <si>
    <t>Vybudovanie det.ihriska</t>
  </si>
  <si>
    <t>Rozšírenie kapacity MŠ</t>
  </si>
  <si>
    <t>Denný stacionár - rekonštrukcia</t>
  </si>
  <si>
    <t>príjem za školné Virtuálna univerzita tretieho veku</t>
  </si>
  <si>
    <t>Dotácia MVSR na terénneho asistenta Covid</t>
  </si>
  <si>
    <t>Dotácia MVSR na MOM celoplošné testovanie</t>
  </si>
  <si>
    <t>Projekt UPSVR podpora zamestnanosti ZUŠ za min.r.</t>
  </si>
  <si>
    <t>Bežný príjem RO - Základnej umeleckej školy Heľpa spolu:</t>
  </si>
  <si>
    <t>Transfer na projekt Podpora zamestnanosti ZUŠ</t>
  </si>
  <si>
    <t>Doplnenie napojenia predizolovaného potrubia v kotolni st.škola</t>
  </si>
  <si>
    <t>prevody zostatkov prostriedkov ZŠ nezúčt.projektu ZKV</t>
  </si>
  <si>
    <t>Dotácia MV SR - voľby (VUC, KOM, NRSR, prezident,EP)</t>
  </si>
  <si>
    <t>splácanie istiny bankového úveru, NFV</t>
  </si>
  <si>
    <t>Civilná ochrana (Skladník CO, evidencie, TAC)</t>
  </si>
  <si>
    <t>Staroba (Opatrovateľská služba, SpÚ OSL, projekt,denný stacionár,DC)</t>
  </si>
  <si>
    <t>Návrh viacročného rozpočtu obce Heľpa na roky 2022-2024 bol vyvesený na úradnej tabuli na pripomienkovanie dňa 15.11.2021</t>
  </si>
  <si>
    <t>FNK</t>
  </si>
  <si>
    <t>Názov investície</t>
  </si>
  <si>
    <t>Suma v rozpočte</t>
  </si>
  <si>
    <t>Peň.fond 46</t>
  </si>
  <si>
    <t>Úver 52</t>
  </si>
  <si>
    <t>kontrola</t>
  </si>
  <si>
    <t>Rozpis rozpočtovej položky KR 0610 - projektová dokumentácia</t>
  </si>
  <si>
    <t>Názov PD</t>
  </si>
  <si>
    <t>Suma v EUR</t>
  </si>
  <si>
    <t>Poznámka</t>
  </si>
  <si>
    <t>Dobudovanie kanalizácie II.etapa</t>
  </si>
  <si>
    <t>PD rozšírenie ČOV - zmena technológie (vpust)</t>
  </si>
  <si>
    <t>PD športový areál</t>
  </si>
  <si>
    <t>Projektová dokumentácia pre pripravované inv.akcie</t>
  </si>
  <si>
    <t>k tomu TAB</t>
  </si>
  <si>
    <t>Nákup techniky (traktor.kosačka,infražiarič)</t>
  </si>
  <si>
    <t xml:space="preserve">PD Burkovaná, Hlavná </t>
  </si>
  <si>
    <t>PD rekonštr.elektroinštalácie v ZUŠ</t>
  </si>
  <si>
    <t>Horehronsko-muránska cyklotrasa</t>
  </si>
  <si>
    <t>PD rekonštrukcia strechy na amfiteátri</t>
  </si>
  <si>
    <t xml:space="preserve">Stavebné úpravy športového areálu </t>
  </si>
  <si>
    <t>Rezerva na prípadnú dokumentáciu</t>
  </si>
  <si>
    <t>PPD z peňažného fondu:</t>
  </si>
  <si>
    <t xml:space="preserve">Rekonštrukcia objektu č.589 (spoločenská miestnosť) </t>
  </si>
  <si>
    <t>Rekonštrukcia objektu na cintoríne (po požiari)</t>
  </si>
  <si>
    <t>Denný stacionár - rekonštrukcia + vybavenie</t>
  </si>
  <si>
    <t>Spolu kapitálové výdavky:</t>
  </si>
  <si>
    <t>Spolu bežné výdavky:</t>
  </si>
  <si>
    <t>Spolu použitie fondov:</t>
  </si>
  <si>
    <t>naplánované</t>
  </si>
  <si>
    <t>máme na účte</t>
  </si>
  <si>
    <t>PD rekonštrukcia elektroinštalácie amfiteáter, Ramex</t>
  </si>
  <si>
    <t>PD admin .budova</t>
  </si>
  <si>
    <t>PD rekonštr.el.zariadení pre revízie</t>
  </si>
  <si>
    <t>Vytýčenie stavieb</t>
  </si>
  <si>
    <t>Zdroje financovania investičných akcií obce v roku 2022 - návrh</t>
  </si>
  <si>
    <t>Rezer. fond 46</t>
  </si>
  <si>
    <t>zostatok</t>
  </si>
  <si>
    <t>Heľpa 25.11.2021</t>
  </si>
  <si>
    <t>Maj. zdroje obce 43/72</t>
  </si>
  <si>
    <t>prevod nevyčerp.prostr.mr. FPU projekt</t>
  </si>
  <si>
    <t>prevod nevyčerp.prostr.mr. ŠKJ stravné + dotácia</t>
  </si>
  <si>
    <t xml:space="preserve">Dotácia SFZ projekt MŠ </t>
  </si>
  <si>
    <t>Dotácia OkU na výchovu,vzdelávanie v MŠ, rozvoj.projekt</t>
  </si>
  <si>
    <t>EÚ a ŠR, EF</t>
  </si>
  <si>
    <t>PD chodník cez Krivuľu ul. Hlavná autobus.zastávka</t>
  </si>
  <si>
    <t>upravený 2021-11</t>
  </si>
  <si>
    <t>prevod nevyčerp.prostr.mr. OSL projekt</t>
  </si>
  <si>
    <t>Pripomienky OZ k návrhu predloženého viacročného rozpočtu na roky 2022-2024 boli zapracované dňa 9.12.2021</t>
  </si>
  <si>
    <t>Pripomienky finančnej komisie k návrhu predloženého viacročného rozpočtu na roky 2022-2024 boli zapracované dňa 2.12.2021 a 9.12.2021.</t>
  </si>
  <si>
    <t>Rozpočet obce Heľpa na rok 2022 bol schválený OZ uz.č. 863/2021 dňa 10.12.2021.</t>
  </si>
  <si>
    <t>Rozpočet obce Heľpa na roky 2023-2024 OZ  vzalo na vedomie uz.č. 864/2021  dňa 10.12.2021</t>
  </si>
  <si>
    <t>Viacročný rozpočet obce Heľpa na roky 2022 - 2024 bol vyvesený na úradnej tabuli obce dňa 13.12.2021.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</si>
</sst>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E_U_R_-;\-* #,##0.00\ _E_U_R_-;_-* &quot;-&quot;??\ _E_U_R_-;_-@_-"/>
    <numFmt numFmtId="164" formatCode="_-* #,##0\ _E_U_R_-;\-* #,##0\ _E_U_R_-;_-* &quot;-&quot;??\ _E_U_R_-;_-@_-"/>
  </numFmts>
  <fonts count="41" x14ac:knownFonts="1">
    <font>
      <sz val="11"/>
      <color theme="1"/>
      <name val="Calibri"/>
      <family val="2"/>
      <scheme val="minor"/>
    </font>
    <font>
      <b/>
      <sz val="14"/>
      <name val="Bookman Old Style"/>
      <family val="1"/>
    </font>
    <font>
      <sz val="11"/>
      <name val="Calibri"/>
      <family val="2"/>
      <scheme val="minor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sz val="10"/>
      <name val="Arial"/>
      <family val="2"/>
      <charset val="238"/>
    </font>
    <font>
      <sz val="10"/>
      <name val="Arial CE"/>
      <charset val="238"/>
    </font>
    <font>
      <sz val="11"/>
      <name val="Calibri"/>
      <family val="2"/>
      <charset val="238"/>
      <scheme val="minor"/>
    </font>
    <font>
      <sz val="10"/>
      <name val="Arial CE"/>
    </font>
    <font>
      <sz val="12"/>
      <name val="Arial CE"/>
      <charset val="238"/>
    </font>
    <font>
      <b/>
      <sz val="12"/>
      <name val="Arial CE"/>
      <family val="2"/>
      <charset val="238"/>
    </font>
    <font>
      <b/>
      <sz val="10"/>
      <name val="Arial CE"/>
      <charset val="238"/>
    </font>
    <font>
      <sz val="11"/>
      <name val="Arial"/>
      <family val="2"/>
      <charset val="238"/>
    </font>
    <font>
      <b/>
      <sz val="11"/>
      <name val="Arial CE"/>
      <family val="2"/>
      <charset val="238"/>
    </font>
    <font>
      <sz val="10"/>
      <color theme="1"/>
      <name val="Arial"/>
      <family val="2"/>
      <charset val="238"/>
    </font>
    <font>
      <sz val="9"/>
      <name val="Arial CE"/>
      <charset val="238"/>
    </font>
    <font>
      <sz val="9"/>
      <name val="Arial"/>
      <family val="2"/>
      <charset val="238"/>
    </font>
    <font>
      <b/>
      <sz val="14"/>
      <name val="Bookman Old Style"/>
      <family val="1"/>
      <charset val="238"/>
    </font>
    <font>
      <sz val="12"/>
      <name val="Arial CE"/>
      <family val="2"/>
      <charset val="238"/>
    </font>
    <font>
      <b/>
      <i/>
      <sz val="12"/>
      <name val="Arial CE"/>
      <family val="2"/>
      <charset val="238"/>
    </font>
    <font>
      <b/>
      <sz val="12"/>
      <name val="Arial"/>
      <family val="2"/>
    </font>
    <font>
      <sz val="10"/>
      <name val="Arial"/>
      <family val="2"/>
    </font>
    <font>
      <i/>
      <sz val="10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4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name val="Arial"/>
      <family val="2"/>
      <charset val="238"/>
    </font>
    <font>
      <i/>
      <sz val="10"/>
      <color theme="0" tint="-0.499984740745262"/>
      <name val="Arial"/>
      <family val="2"/>
      <charset val="238"/>
    </font>
    <font>
      <b/>
      <sz val="12"/>
      <color theme="1"/>
      <name val="Arial"/>
      <family val="2"/>
      <charset val="238"/>
    </font>
    <font>
      <i/>
      <sz val="11"/>
      <color theme="0" tint="-0.499984740745262"/>
      <name val="Arial"/>
      <family val="2"/>
      <charset val="238"/>
    </font>
    <font>
      <i/>
      <sz val="11"/>
      <color theme="3" tint="0.59999389629810485"/>
      <name val="Arial"/>
      <family val="2"/>
      <charset val="238"/>
    </font>
    <font>
      <sz val="12"/>
      <color theme="1"/>
      <name val="Arial"/>
      <family val="2"/>
      <charset val="238"/>
    </font>
    <font>
      <sz val="12"/>
      <name val="Arial"/>
      <family val="2"/>
      <charset val="238"/>
    </font>
    <font>
      <i/>
      <sz val="12"/>
      <color rgb="FFFF000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1"/>
      <color theme="8" tint="0.79998168889431442"/>
      <name val="Arial"/>
      <family val="2"/>
      <charset val="238"/>
    </font>
    <font>
      <i/>
      <sz val="10"/>
      <name val="Arial"/>
      <family val="2"/>
      <charset val="238"/>
    </font>
    <font>
      <b/>
      <i/>
      <sz val="10"/>
      <name val="Arial"/>
      <family val="2"/>
      <charset val="238"/>
    </font>
    <font>
      <sz val="10"/>
      <color theme="8" tint="0.59999389629810485"/>
      <name val="Arial"/>
      <family val="2"/>
      <charset val="238"/>
    </font>
  </fonts>
  <fills count="18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71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23" fillId="0" borderId="0" applyFont="0" applyFill="0" applyBorder="0" applyAlignment="0" applyProtection="0"/>
  </cellStyleXfs>
  <cellXfs count="587">
    <xf numFmtId="0" fontId="0" fillId="0" borderId="0" xfId="0"/>
    <xf numFmtId="0" fontId="2" fillId="0" borderId="0" xfId="0" applyFont="1"/>
    <xf numFmtId="3" fontId="3" fillId="2" borderId="9" xfId="0" applyNumberFormat="1" applyFont="1" applyFill="1" applyBorder="1" applyAlignment="1">
      <alignment horizontal="right"/>
    </xf>
    <xf numFmtId="0" fontId="4" fillId="0" borderId="10" xfId="0" applyFont="1" applyFill="1" applyBorder="1"/>
    <xf numFmtId="3" fontId="5" fillId="0" borderId="12" xfId="0" applyNumberFormat="1" applyFont="1" applyFill="1" applyBorder="1"/>
    <xf numFmtId="3" fontId="6" fillId="0" borderId="13" xfId="0" applyNumberFormat="1" applyFont="1" applyFill="1" applyBorder="1"/>
    <xf numFmtId="3" fontId="4" fillId="0" borderId="13" xfId="0" applyNumberFormat="1" applyFont="1" applyFill="1" applyBorder="1"/>
    <xf numFmtId="0" fontId="2" fillId="0" borderId="14" xfId="0" applyFont="1" applyFill="1" applyBorder="1"/>
    <xf numFmtId="0" fontId="2" fillId="0" borderId="15" xfId="0" applyFont="1" applyBorder="1"/>
    <xf numFmtId="3" fontId="5" fillId="0" borderId="16" xfId="0" applyNumberFormat="1" applyFont="1" applyBorder="1"/>
    <xf numFmtId="3" fontId="2" fillId="0" borderId="9" xfId="0" applyNumberFormat="1" applyFont="1" applyBorder="1"/>
    <xf numFmtId="3" fontId="2" fillId="0" borderId="9" xfId="0" applyNumberFormat="1" applyFont="1" applyFill="1" applyBorder="1"/>
    <xf numFmtId="0" fontId="2" fillId="0" borderId="17" xfId="0" applyFont="1" applyFill="1" applyBorder="1"/>
    <xf numFmtId="0" fontId="2" fillId="0" borderId="18" xfId="0" applyFont="1" applyBorder="1"/>
    <xf numFmtId="3" fontId="5" fillId="0" borderId="19" xfId="0" applyNumberFormat="1" applyFont="1" applyBorder="1"/>
    <xf numFmtId="3" fontId="2" fillId="0" borderId="20" xfId="0" applyNumberFormat="1" applyFont="1" applyBorder="1"/>
    <xf numFmtId="3" fontId="2" fillId="0" borderId="20" xfId="0" applyNumberFormat="1" applyFont="1" applyFill="1" applyBorder="1"/>
    <xf numFmtId="0" fontId="2" fillId="0" borderId="21" xfId="0" applyFont="1" applyFill="1" applyBorder="1"/>
    <xf numFmtId="0" fontId="2" fillId="0" borderId="22" xfId="0" applyFont="1" applyBorder="1"/>
    <xf numFmtId="3" fontId="5" fillId="0" borderId="23" xfId="0" applyNumberFormat="1" applyFont="1" applyBorder="1"/>
    <xf numFmtId="3" fontId="2" fillId="0" borderId="24" xfId="0" applyNumberFormat="1" applyFont="1" applyBorder="1"/>
    <xf numFmtId="3" fontId="2" fillId="0" borderId="24" xfId="0" applyNumberFormat="1" applyFont="1" applyFill="1" applyBorder="1"/>
    <xf numFmtId="0" fontId="2" fillId="0" borderId="25" xfId="0" applyFont="1" applyFill="1" applyBorder="1"/>
    <xf numFmtId="0" fontId="2" fillId="0" borderId="26" xfId="0" applyFont="1" applyBorder="1"/>
    <xf numFmtId="3" fontId="5" fillId="0" borderId="27" xfId="0" applyNumberFormat="1" applyFont="1" applyBorder="1"/>
    <xf numFmtId="3" fontId="6" fillId="0" borderId="6" xfId="0" applyNumberFormat="1" applyFont="1" applyBorder="1"/>
    <xf numFmtId="3" fontId="6" fillId="0" borderId="6" xfId="0" applyNumberFormat="1" applyFont="1" applyFill="1" applyBorder="1"/>
    <xf numFmtId="3" fontId="2" fillId="0" borderId="0" xfId="0" applyNumberFormat="1" applyFont="1"/>
    <xf numFmtId="0" fontId="2" fillId="0" borderId="28" xfId="0" applyFont="1" applyFill="1" applyBorder="1"/>
    <xf numFmtId="0" fontId="2" fillId="0" borderId="29" xfId="0" applyFont="1" applyBorder="1"/>
    <xf numFmtId="3" fontId="5" fillId="0" borderId="30" xfId="0" applyNumberFormat="1" applyFont="1" applyBorder="1"/>
    <xf numFmtId="3" fontId="2" fillId="0" borderId="5" xfId="0" applyNumberFormat="1" applyFont="1" applyBorder="1"/>
    <xf numFmtId="3" fontId="2" fillId="0" borderId="5" xfId="0" applyNumberFormat="1" applyFont="1" applyFill="1" applyBorder="1"/>
    <xf numFmtId="3" fontId="7" fillId="0" borderId="24" xfId="0" applyNumberFormat="1" applyFont="1" applyFill="1" applyBorder="1"/>
    <xf numFmtId="3" fontId="5" fillId="0" borderId="23" xfId="0" applyNumberFormat="1" applyFont="1" applyFill="1" applyBorder="1"/>
    <xf numFmtId="0" fontId="2" fillId="0" borderId="10" xfId="0" applyFont="1" applyFill="1" applyBorder="1"/>
    <xf numFmtId="0" fontId="2" fillId="0" borderId="11" xfId="0" applyFont="1" applyBorder="1"/>
    <xf numFmtId="3" fontId="5" fillId="0" borderId="12" xfId="0" applyNumberFormat="1" applyFont="1" applyBorder="1"/>
    <xf numFmtId="3" fontId="2" fillId="0" borderId="13" xfId="0" applyNumberFormat="1" applyFont="1" applyBorder="1"/>
    <xf numFmtId="3" fontId="2" fillId="0" borderId="13" xfId="0" applyNumberFormat="1" applyFont="1" applyFill="1" applyBorder="1"/>
    <xf numFmtId="3" fontId="6" fillId="0" borderId="9" xfId="0" applyNumberFormat="1" applyFont="1" applyBorder="1"/>
    <xf numFmtId="3" fontId="6" fillId="0" borderId="9" xfId="0" applyNumberFormat="1" applyFont="1" applyFill="1" applyBorder="1"/>
    <xf numFmtId="3" fontId="2" fillId="0" borderId="31" xfId="0" applyNumberFormat="1" applyFont="1" applyBorder="1"/>
    <xf numFmtId="0" fontId="2" fillId="0" borderId="32" xfId="0" applyFont="1" applyFill="1" applyBorder="1"/>
    <xf numFmtId="0" fontId="2" fillId="0" borderId="33" xfId="0" applyFont="1" applyBorder="1"/>
    <xf numFmtId="3" fontId="2" fillId="0" borderId="23" xfId="0" applyNumberFormat="1" applyFont="1" applyBorder="1"/>
    <xf numFmtId="3" fontId="2" fillId="0" borderId="31" xfId="0" applyNumberFormat="1" applyFont="1" applyFill="1" applyBorder="1"/>
    <xf numFmtId="0" fontId="2" fillId="0" borderId="34" xfId="0" applyFont="1" applyBorder="1"/>
    <xf numFmtId="3" fontId="2" fillId="0" borderId="6" xfId="0" applyNumberFormat="1" applyFont="1" applyBorder="1"/>
    <xf numFmtId="0" fontId="3" fillId="2" borderId="7" xfId="0" applyFont="1" applyFill="1" applyBorder="1" applyAlignment="1">
      <alignment horizontal="left"/>
    </xf>
    <xf numFmtId="0" fontId="3" fillId="2" borderId="8" xfId="0" applyFont="1" applyFill="1" applyBorder="1" applyAlignment="1">
      <alignment horizontal="left"/>
    </xf>
    <xf numFmtId="0" fontId="2" fillId="0" borderId="10" xfId="0" applyFont="1" applyBorder="1"/>
    <xf numFmtId="0" fontId="4" fillId="0" borderId="35" xfId="0" applyFont="1" applyFill="1" applyBorder="1" applyAlignment="1">
      <alignment horizontal="right"/>
    </xf>
    <xf numFmtId="0" fontId="4" fillId="0" borderId="18" xfId="0" applyFont="1" applyFill="1" applyBorder="1" applyAlignment="1">
      <alignment horizontal="left"/>
    </xf>
    <xf numFmtId="3" fontId="5" fillId="0" borderId="19" xfId="0" applyNumberFormat="1" applyFont="1" applyFill="1" applyBorder="1" applyAlignment="1">
      <alignment horizontal="right"/>
    </xf>
    <xf numFmtId="3" fontId="4" fillId="0" borderId="20" xfId="0" applyNumberFormat="1" applyFont="1" applyFill="1" applyBorder="1" applyAlignment="1">
      <alignment horizontal="right"/>
    </xf>
    <xf numFmtId="3" fontId="6" fillId="0" borderId="20" xfId="0" applyNumberFormat="1" applyFont="1" applyFill="1" applyBorder="1" applyAlignment="1">
      <alignment horizontal="right"/>
    </xf>
    <xf numFmtId="0" fontId="4" fillId="0" borderId="36" xfId="0" applyFont="1" applyFill="1" applyBorder="1" applyAlignment="1">
      <alignment horizontal="right"/>
    </xf>
    <xf numFmtId="0" fontId="4" fillId="0" borderId="22" xfId="0" applyFont="1" applyFill="1" applyBorder="1" applyAlignment="1">
      <alignment horizontal="left"/>
    </xf>
    <xf numFmtId="3" fontId="5" fillId="0" borderId="23" xfId="0" applyNumberFormat="1" applyFont="1" applyFill="1" applyBorder="1" applyAlignment="1">
      <alignment horizontal="right"/>
    </xf>
    <xf numFmtId="3" fontId="4" fillId="0" borderId="24" xfId="0" applyNumberFormat="1" applyFont="1" applyFill="1" applyBorder="1" applyAlignment="1">
      <alignment horizontal="right"/>
    </xf>
    <xf numFmtId="3" fontId="6" fillId="0" borderId="24" xfId="0" applyNumberFormat="1" applyFont="1" applyFill="1" applyBorder="1" applyAlignment="1">
      <alignment horizontal="right"/>
    </xf>
    <xf numFmtId="3" fontId="5" fillId="0" borderId="23" xfId="0" applyNumberFormat="1" applyFont="1" applyBorder="1" applyAlignment="1">
      <alignment horizontal="right"/>
    </xf>
    <xf numFmtId="3" fontId="2" fillId="0" borderId="24" xfId="0" applyNumberFormat="1" applyFont="1" applyBorder="1" applyAlignment="1">
      <alignment horizontal="right"/>
    </xf>
    <xf numFmtId="3" fontId="7" fillId="0" borderId="24" xfId="0" applyNumberFormat="1" applyFont="1" applyFill="1" applyBorder="1" applyAlignment="1">
      <alignment horizontal="right"/>
    </xf>
    <xf numFmtId="0" fontId="3" fillId="2" borderId="14" xfId="0" applyFont="1" applyFill="1" applyBorder="1"/>
    <xf numFmtId="0" fontId="4" fillId="2" borderId="15" xfId="0" applyFont="1" applyFill="1" applyBorder="1"/>
    <xf numFmtId="0" fontId="8" fillId="0" borderId="21" xfId="0" applyFont="1" applyFill="1" applyBorder="1"/>
    <xf numFmtId="3" fontId="8" fillId="0" borderId="24" xfId="0" applyNumberFormat="1" applyFont="1" applyFill="1" applyBorder="1"/>
    <xf numFmtId="0" fontId="8" fillId="0" borderId="17" xfId="0" applyFont="1" applyFill="1" applyBorder="1"/>
    <xf numFmtId="3" fontId="8" fillId="0" borderId="20" xfId="0" applyNumberFormat="1" applyFont="1" applyFill="1" applyBorder="1"/>
    <xf numFmtId="0" fontId="4" fillId="0" borderId="17" xfId="0" applyFont="1" applyFill="1" applyBorder="1"/>
    <xf numFmtId="0" fontId="4" fillId="0" borderId="22" xfId="0" applyFont="1" applyBorder="1"/>
    <xf numFmtId="3" fontId="5" fillId="0" borderId="20" xfId="0" applyNumberFormat="1" applyFont="1" applyFill="1" applyBorder="1"/>
    <xf numFmtId="0" fontId="8" fillId="0" borderId="25" xfId="0" applyFont="1" applyFill="1" applyBorder="1"/>
    <xf numFmtId="3" fontId="8" fillId="0" borderId="6" xfId="0" applyNumberFormat="1" applyFont="1" applyFill="1" applyBorder="1"/>
    <xf numFmtId="0" fontId="4" fillId="0" borderId="18" xfId="0" applyFont="1" applyBorder="1"/>
    <xf numFmtId="0" fontId="4" fillId="0" borderId="25" xfId="0" applyFont="1" applyFill="1" applyBorder="1"/>
    <xf numFmtId="0" fontId="4" fillId="0" borderId="26" xfId="0" applyFont="1" applyBorder="1"/>
    <xf numFmtId="3" fontId="2" fillId="0" borderId="6" xfId="0" applyNumberFormat="1" applyFont="1" applyFill="1" applyBorder="1"/>
    <xf numFmtId="0" fontId="4" fillId="0" borderId="33" xfId="0" applyFont="1" applyBorder="1"/>
    <xf numFmtId="3" fontId="2" fillId="0" borderId="42" xfId="0" applyNumberFormat="1" applyFont="1" applyFill="1" applyBorder="1"/>
    <xf numFmtId="0" fontId="8" fillId="0" borderId="39" xfId="0" applyFont="1" applyFill="1" applyBorder="1"/>
    <xf numFmtId="3" fontId="7" fillId="0" borderId="20" xfId="0" applyNumberFormat="1" applyFont="1" applyFill="1" applyBorder="1"/>
    <xf numFmtId="0" fontId="4" fillId="0" borderId="21" xfId="0" applyFont="1" applyFill="1" applyBorder="1"/>
    <xf numFmtId="0" fontId="4" fillId="0" borderId="38" xfId="0" applyFont="1" applyBorder="1"/>
    <xf numFmtId="0" fontId="9" fillId="4" borderId="21" xfId="0" applyFont="1" applyFill="1" applyBorder="1"/>
    <xf numFmtId="0" fontId="9" fillId="4" borderId="37" xfId="0" applyFont="1" applyFill="1" applyBorder="1"/>
    <xf numFmtId="3" fontId="9" fillId="4" borderId="24" xfId="0" applyNumberFormat="1" applyFont="1" applyFill="1" applyBorder="1"/>
    <xf numFmtId="0" fontId="10" fillId="2" borderId="14" xfId="0" applyFont="1" applyFill="1" applyBorder="1"/>
    <xf numFmtId="3" fontId="10" fillId="2" borderId="9" xfId="0" applyNumberFormat="1" applyFont="1" applyFill="1" applyBorder="1" applyAlignment="1">
      <alignment horizontal="right"/>
    </xf>
    <xf numFmtId="0" fontId="6" fillId="4" borderId="17" xfId="0" applyFont="1" applyFill="1" applyBorder="1"/>
    <xf numFmtId="0" fontId="6" fillId="4" borderId="18" xfId="0" applyFont="1" applyFill="1" applyBorder="1"/>
    <xf numFmtId="3" fontId="6" fillId="4" borderId="20" xfId="0" applyNumberFormat="1" applyFont="1" applyFill="1" applyBorder="1" applyAlignment="1">
      <alignment horizontal="right"/>
    </xf>
    <xf numFmtId="0" fontId="6" fillId="4" borderId="21" xfId="0" applyFont="1" applyFill="1" applyBorder="1"/>
    <xf numFmtId="3" fontId="6" fillId="4" borderId="24" xfId="0" applyNumberFormat="1" applyFont="1" applyFill="1" applyBorder="1" applyAlignment="1">
      <alignment horizontal="right"/>
    </xf>
    <xf numFmtId="0" fontId="6" fillId="4" borderId="32" xfId="0" applyFont="1" applyFill="1" applyBorder="1"/>
    <xf numFmtId="0" fontId="6" fillId="4" borderId="33" xfId="0" applyFont="1" applyFill="1" applyBorder="1"/>
    <xf numFmtId="3" fontId="6" fillId="4" borderId="31" xfId="0" applyNumberFormat="1" applyFont="1" applyFill="1" applyBorder="1" applyAlignment="1">
      <alignment horizontal="right"/>
    </xf>
    <xf numFmtId="3" fontId="11" fillId="4" borderId="9" xfId="0" applyNumberFormat="1" applyFont="1" applyFill="1" applyBorder="1" applyAlignment="1">
      <alignment horizontal="right"/>
    </xf>
    <xf numFmtId="0" fontId="6" fillId="4" borderId="40" xfId="0" applyFont="1" applyFill="1" applyBorder="1"/>
    <xf numFmtId="0" fontId="6" fillId="4" borderId="44" xfId="0" applyFont="1" applyFill="1" applyBorder="1"/>
    <xf numFmtId="3" fontId="6" fillId="4" borderId="42" xfId="0" applyNumberFormat="1" applyFont="1" applyFill="1" applyBorder="1" applyAlignment="1">
      <alignment horizontal="right"/>
    </xf>
    <xf numFmtId="3" fontId="10" fillId="4" borderId="9" xfId="0" applyNumberFormat="1" applyFont="1" applyFill="1" applyBorder="1" applyAlignment="1">
      <alignment horizontal="right"/>
    </xf>
    <xf numFmtId="0" fontId="2" fillId="0" borderId="0" xfId="0" applyFont="1" applyFill="1"/>
    <xf numFmtId="0" fontId="10" fillId="0" borderId="0" xfId="0" applyFont="1" applyFill="1" applyBorder="1"/>
    <xf numFmtId="0" fontId="4" fillId="0" borderId="0" xfId="0" applyFont="1" applyFill="1" applyBorder="1"/>
    <xf numFmtId="3" fontId="10" fillId="0" borderId="0" xfId="0" applyNumberFormat="1" applyFont="1" applyFill="1" applyBorder="1" applyAlignment="1">
      <alignment horizontal="left"/>
    </xf>
    <xf numFmtId="0" fontId="3" fillId="5" borderId="14" xfId="0" applyFont="1" applyFill="1" applyBorder="1"/>
    <xf numFmtId="0" fontId="3" fillId="5" borderId="47" xfId="0" applyFont="1" applyFill="1" applyBorder="1"/>
    <xf numFmtId="3" fontId="3" fillId="5" borderId="16" xfId="0" applyNumberFormat="1" applyFont="1" applyFill="1" applyBorder="1" applyAlignment="1">
      <alignment horizontal="right"/>
    </xf>
    <xf numFmtId="3" fontId="3" fillId="5" borderId="8" xfId="0" applyNumberFormat="1" applyFont="1" applyFill="1" applyBorder="1" applyAlignment="1">
      <alignment horizontal="right"/>
    </xf>
    <xf numFmtId="3" fontId="3" fillId="5" borderId="9" xfId="0" applyNumberFormat="1" applyFont="1" applyFill="1" applyBorder="1" applyAlignment="1">
      <alignment horizontal="right"/>
    </xf>
    <xf numFmtId="49" fontId="2" fillId="0" borderId="17" xfId="0" applyNumberFormat="1" applyFont="1" applyBorder="1" applyAlignment="1">
      <alignment horizontal="right"/>
    </xf>
    <xf numFmtId="3" fontId="5" fillId="0" borderId="19" xfId="0" applyNumberFormat="1" applyFont="1" applyBorder="1" applyAlignment="1">
      <alignment horizontal="right"/>
    </xf>
    <xf numFmtId="3" fontId="6" fillId="0" borderId="48" xfId="0" applyNumberFormat="1" applyFont="1" applyBorder="1" applyAlignment="1">
      <alignment horizontal="right"/>
    </xf>
    <xf numFmtId="3" fontId="6" fillId="0" borderId="19" xfId="0" applyNumberFormat="1" applyFont="1" applyFill="1" applyBorder="1" applyAlignment="1">
      <alignment horizontal="right"/>
    </xf>
    <xf numFmtId="49" fontId="2" fillId="0" borderId="21" xfId="0" applyNumberFormat="1" applyFont="1" applyBorder="1" applyAlignment="1">
      <alignment horizontal="right"/>
    </xf>
    <xf numFmtId="0" fontId="4" fillId="0" borderId="37" xfId="0" applyFont="1" applyBorder="1"/>
    <xf numFmtId="3" fontId="6" fillId="0" borderId="49" xfId="0" applyNumberFormat="1" applyFont="1" applyBorder="1" applyAlignment="1">
      <alignment horizontal="right"/>
    </xf>
    <xf numFmtId="3" fontId="6" fillId="0" borderId="23" xfId="0" applyNumberFormat="1" applyFont="1" applyFill="1" applyBorder="1" applyAlignment="1">
      <alignment horizontal="right"/>
    </xf>
    <xf numFmtId="49" fontId="2" fillId="0" borderId="21" xfId="0" applyNumberFormat="1" applyFont="1" applyFill="1" applyBorder="1" applyAlignment="1">
      <alignment horizontal="right"/>
    </xf>
    <xf numFmtId="3" fontId="6" fillId="0" borderId="49" xfId="0" applyNumberFormat="1" applyFont="1" applyFill="1" applyBorder="1" applyAlignment="1">
      <alignment horizontal="right"/>
    </xf>
    <xf numFmtId="49" fontId="2" fillId="0" borderId="1" xfId="0" applyNumberFormat="1" applyFont="1" applyFill="1" applyBorder="1" applyAlignment="1">
      <alignment horizontal="right"/>
    </xf>
    <xf numFmtId="0" fontId="4" fillId="0" borderId="34" xfId="0" applyFont="1" applyFill="1" applyBorder="1"/>
    <xf numFmtId="3" fontId="5" fillId="0" borderId="12" xfId="0" applyNumberFormat="1" applyFont="1" applyBorder="1" applyAlignment="1">
      <alignment horizontal="right"/>
    </xf>
    <xf numFmtId="3" fontId="4" fillId="0" borderId="2" xfId="0" applyNumberFormat="1" applyFont="1" applyBorder="1" applyAlignment="1">
      <alignment horizontal="right"/>
    </xf>
    <xf numFmtId="3" fontId="4" fillId="0" borderId="12" xfId="0" applyNumberFormat="1" applyFont="1" applyBorder="1" applyAlignment="1">
      <alignment horizontal="right"/>
    </xf>
    <xf numFmtId="3" fontId="4" fillId="0" borderId="13" xfId="0" applyNumberFormat="1" applyFont="1" applyFill="1" applyBorder="1" applyAlignment="1">
      <alignment horizontal="right"/>
    </xf>
    <xf numFmtId="0" fontId="3" fillId="5" borderId="7" xfId="0" applyFont="1" applyFill="1" applyBorder="1" applyAlignment="1">
      <alignment horizontal="left"/>
    </xf>
    <xf numFmtId="0" fontId="3" fillId="5" borderId="8" xfId="0" applyFont="1" applyFill="1" applyBorder="1" applyAlignment="1">
      <alignment horizontal="left"/>
    </xf>
    <xf numFmtId="49" fontId="2" fillId="0" borderId="40" xfId="0" applyNumberFormat="1" applyFont="1" applyFill="1" applyBorder="1" applyAlignment="1">
      <alignment horizontal="right"/>
    </xf>
    <xf numFmtId="3" fontId="6" fillId="0" borderId="50" xfId="0" applyNumberFormat="1" applyFont="1" applyFill="1" applyBorder="1" applyAlignment="1">
      <alignment horizontal="right"/>
    </xf>
    <xf numFmtId="3" fontId="6" fillId="0" borderId="4" xfId="0" applyNumberFormat="1" applyFont="1" applyFill="1" applyBorder="1" applyAlignment="1">
      <alignment horizontal="right"/>
    </xf>
    <xf numFmtId="3" fontId="6" fillId="0" borderId="51" xfId="0" applyNumberFormat="1" applyFont="1" applyFill="1" applyBorder="1" applyAlignment="1">
      <alignment horizontal="right"/>
    </xf>
    <xf numFmtId="49" fontId="4" fillId="0" borderId="28" xfId="0" applyNumberFormat="1" applyFont="1" applyFill="1" applyBorder="1" applyAlignment="1">
      <alignment horizontal="right"/>
    </xf>
    <xf numFmtId="0" fontId="4" fillId="0" borderId="45" xfId="0" applyFont="1" applyFill="1" applyBorder="1" applyAlignment="1">
      <alignment horizontal="left"/>
    </xf>
    <xf numFmtId="3" fontId="4" fillId="0" borderId="30" xfId="0" applyNumberFormat="1" applyFont="1" applyFill="1" applyBorder="1" applyAlignment="1">
      <alignment horizontal="right"/>
    </xf>
    <xf numFmtId="3" fontId="6" fillId="0" borderId="45" xfId="0" applyNumberFormat="1" applyFont="1" applyFill="1" applyBorder="1" applyAlignment="1">
      <alignment horizontal="right"/>
    </xf>
    <xf numFmtId="3" fontId="4" fillId="0" borderId="5" xfId="0" applyNumberFormat="1" applyFont="1" applyFill="1" applyBorder="1" applyAlignment="1">
      <alignment horizontal="right"/>
    </xf>
    <xf numFmtId="49" fontId="4" fillId="0" borderId="4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left"/>
    </xf>
    <xf numFmtId="3" fontId="4" fillId="0" borderId="12" xfId="0" applyNumberFormat="1" applyFont="1" applyFill="1" applyBorder="1" applyAlignment="1">
      <alignment horizontal="right"/>
    </xf>
    <xf numFmtId="3" fontId="4" fillId="0" borderId="2" xfId="0" applyNumberFormat="1" applyFont="1" applyFill="1" applyBorder="1" applyAlignment="1">
      <alignment horizontal="right"/>
    </xf>
    <xf numFmtId="0" fontId="2" fillId="5" borderId="47" xfId="0" applyFont="1" applyFill="1" applyBorder="1"/>
    <xf numFmtId="49" fontId="4" fillId="0" borderId="17" xfId="0" applyNumberFormat="1" applyFont="1" applyFill="1" applyBorder="1" applyAlignment="1">
      <alignment horizontal="right"/>
    </xf>
    <xf numFmtId="0" fontId="4" fillId="0" borderId="38" xfId="0" applyFont="1" applyFill="1" applyBorder="1" applyAlignment="1">
      <alignment horizontal="left"/>
    </xf>
    <xf numFmtId="3" fontId="4" fillId="0" borderId="48" xfId="0" applyNumberFormat="1" applyFont="1" applyFill="1" applyBorder="1" applyAlignment="1">
      <alignment horizontal="right"/>
    </xf>
    <xf numFmtId="3" fontId="4" fillId="0" borderId="19" xfId="0" applyNumberFormat="1" applyFont="1" applyFill="1" applyBorder="1" applyAlignment="1">
      <alignment horizontal="right"/>
    </xf>
    <xf numFmtId="3" fontId="4" fillId="0" borderId="49" xfId="0" applyNumberFormat="1" applyFont="1" applyBorder="1" applyAlignment="1">
      <alignment horizontal="right"/>
    </xf>
    <xf numFmtId="3" fontId="4" fillId="0" borderId="23" xfId="0" applyNumberFormat="1" applyFont="1" applyBorder="1" applyAlignment="1">
      <alignment horizontal="right"/>
    </xf>
    <xf numFmtId="3" fontId="4" fillId="0" borderId="49" xfId="0" applyNumberFormat="1" applyFont="1" applyFill="1" applyBorder="1" applyAlignment="1">
      <alignment horizontal="right"/>
    </xf>
    <xf numFmtId="3" fontId="4" fillId="0" borderId="23" xfId="0" applyNumberFormat="1" applyFont="1" applyFill="1" applyBorder="1" applyAlignment="1">
      <alignment horizontal="right"/>
    </xf>
    <xf numFmtId="49" fontId="2" fillId="0" borderId="28" xfId="0" applyNumberFormat="1" applyFont="1" applyFill="1" applyBorder="1" applyAlignment="1">
      <alignment horizontal="right"/>
    </xf>
    <xf numFmtId="0" fontId="4" fillId="0" borderId="52" xfId="0" applyFont="1" applyBorder="1"/>
    <xf numFmtId="3" fontId="12" fillId="0" borderId="30" xfId="0" applyNumberFormat="1" applyFont="1" applyBorder="1" applyAlignment="1">
      <alignment horizontal="right"/>
    </xf>
    <xf numFmtId="3" fontId="4" fillId="0" borderId="45" xfId="0" applyNumberFormat="1" applyFont="1" applyBorder="1" applyAlignment="1">
      <alignment horizontal="right"/>
    </xf>
    <xf numFmtId="3" fontId="4" fillId="0" borderId="30" xfId="0" applyNumberFormat="1" applyFont="1" applyBorder="1" applyAlignment="1">
      <alignment horizontal="right"/>
    </xf>
    <xf numFmtId="3" fontId="12" fillId="0" borderId="23" xfId="0" applyNumberFormat="1" applyFont="1" applyBorder="1" applyAlignment="1">
      <alignment horizontal="right"/>
    </xf>
    <xf numFmtId="0" fontId="4" fillId="0" borderId="41" xfId="0" applyFont="1" applyBorder="1"/>
    <xf numFmtId="3" fontId="12" fillId="0" borderId="53" xfId="0" applyNumberFormat="1" applyFont="1" applyBorder="1" applyAlignment="1">
      <alignment horizontal="right"/>
    </xf>
    <xf numFmtId="3" fontId="4" fillId="0" borderId="0" xfId="0" applyNumberFormat="1" applyFont="1" applyBorder="1" applyAlignment="1">
      <alignment horizontal="right"/>
    </xf>
    <xf numFmtId="3" fontId="4" fillId="0" borderId="53" xfId="0" applyNumberFormat="1" applyFont="1" applyBorder="1" applyAlignment="1">
      <alignment horizontal="right"/>
    </xf>
    <xf numFmtId="3" fontId="4" fillId="0" borderId="53" xfId="0" applyNumberFormat="1" applyFont="1" applyFill="1" applyBorder="1" applyAlignment="1">
      <alignment horizontal="right"/>
    </xf>
    <xf numFmtId="49" fontId="2" fillId="0" borderId="25" xfId="0" applyNumberFormat="1" applyFont="1" applyFill="1" applyBorder="1" applyAlignment="1">
      <alignment horizontal="right"/>
    </xf>
    <xf numFmtId="0" fontId="4" fillId="0" borderId="39" xfId="0" applyFont="1" applyBorder="1"/>
    <xf numFmtId="3" fontId="12" fillId="0" borderId="27" xfId="0" applyNumberFormat="1" applyFont="1" applyBorder="1" applyAlignment="1">
      <alignment horizontal="right"/>
    </xf>
    <xf numFmtId="3" fontId="4" fillId="0" borderId="46" xfId="0" applyNumberFormat="1" applyFont="1" applyBorder="1" applyAlignment="1">
      <alignment horizontal="right"/>
    </xf>
    <xf numFmtId="3" fontId="4" fillId="0" borderId="27" xfId="0" applyNumberFormat="1" applyFont="1" applyBorder="1" applyAlignment="1">
      <alignment horizontal="right"/>
    </xf>
    <xf numFmtId="3" fontId="6" fillId="0" borderId="19" xfId="0" applyNumberFormat="1" applyFont="1" applyBorder="1" applyAlignment="1">
      <alignment horizontal="right"/>
    </xf>
    <xf numFmtId="49" fontId="4" fillId="0" borderId="21" xfId="0" applyNumberFormat="1" applyFont="1" applyFill="1" applyBorder="1" applyAlignment="1">
      <alignment horizontal="right"/>
    </xf>
    <xf numFmtId="49" fontId="4" fillId="0" borderId="25" xfId="0" applyNumberFormat="1" applyFont="1" applyFill="1" applyBorder="1" applyAlignment="1">
      <alignment horizontal="right"/>
    </xf>
    <xf numFmtId="3" fontId="5" fillId="0" borderId="27" xfId="0" applyNumberFormat="1" applyFont="1" applyFill="1" applyBorder="1" applyAlignment="1">
      <alignment horizontal="right"/>
    </xf>
    <xf numFmtId="3" fontId="4" fillId="0" borderId="46" xfId="0" applyNumberFormat="1" applyFont="1" applyFill="1" applyBorder="1" applyAlignment="1">
      <alignment horizontal="right"/>
    </xf>
    <xf numFmtId="3" fontId="4" fillId="0" borderId="27" xfId="0" applyNumberFormat="1" applyFont="1" applyFill="1" applyBorder="1" applyAlignment="1">
      <alignment horizontal="right"/>
    </xf>
    <xf numFmtId="0" fontId="3" fillId="5" borderId="54" xfId="0" applyFont="1" applyFill="1" applyBorder="1"/>
    <xf numFmtId="0" fontId="2" fillId="5" borderId="55" xfId="0" applyFont="1" applyFill="1" applyBorder="1"/>
    <xf numFmtId="3" fontId="3" fillId="5" borderId="50" xfId="0" applyNumberFormat="1" applyFont="1" applyFill="1" applyBorder="1" applyAlignment="1">
      <alignment horizontal="right"/>
    </xf>
    <xf numFmtId="3" fontId="3" fillId="5" borderId="4" xfId="0" applyNumberFormat="1" applyFont="1" applyFill="1" applyBorder="1" applyAlignment="1">
      <alignment horizontal="right"/>
    </xf>
    <xf numFmtId="3" fontId="5" fillId="0" borderId="30" xfId="0" applyNumberFormat="1" applyFont="1" applyBorder="1" applyAlignment="1">
      <alignment horizontal="right"/>
    </xf>
    <xf numFmtId="0" fontId="4" fillId="0" borderId="45" xfId="0" applyFont="1" applyBorder="1"/>
    <xf numFmtId="3" fontId="4" fillId="0" borderId="5" xfId="0" applyNumberFormat="1" applyFont="1" applyBorder="1" applyAlignment="1">
      <alignment horizontal="right"/>
    </xf>
    <xf numFmtId="0" fontId="4" fillId="0" borderId="49" xfId="0" applyFont="1" applyBorder="1"/>
    <xf numFmtId="3" fontId="6" fillId="0" borderId="23" xfId="0" applyNumberFormat="1" applyFont="1" applyBorder="1" applyAlignment="1">
      <alignment horizontal="right"/>
    </xf>
    <xf numFmtId="3" fontId="6" fillId="0" borderId="24" xfId="0" applyNumberFormat="1" applyFont="1" applyBorder="1" applyAlignment="1">
      <alignment horizontal="right"/>
    </xf>
    <xf numFmtId="3" fontId="5" fillId="0" borderId="27" xfId="0" applyNumberFormat="1" applyFont="1" applyBorder="1" applyAlignment="1">
      <alignment horizontal="right"/>
    </xf>
    <xf numFmtId="3" fontId="4" fillId="0" borderId="6" xfId="0" applyNumberFormat="1" applyFont="1" applyFill="1" applyBorder="1" applyAlignment="1">
      <alignment horizontal="right"/>
    </xf>
    <xf numFmtId="49" fontId="4" fillId="0" borderId="10" xfId="0" applyNumberFormat="1" applyFont="1" applyFill="1" applyBorder="1" applyAlignment="1">
      <alignment horizontal="right"/>
    </xf>
    <xf numFmtId="0" fontId="4" fillId="0" borderId="34" xfId="0" applyFont="1" applyBorder="1"/>
    <xf numFmtId="0" fontId="4" fillId="0" borderId="12" xfId="0" applyFont="1" applyBorder="1"/>
    <xf numFmtId="0" fontId="4" fillId="0" borderId="2" xfId="0" applyFont="1" applyBorder="1"/>
    <xf numFmtId="3" fontId="4" fillId="0" borderId="13" xfId="0" applyNumberFormat="1" applyFont="1" applyBorder="1" applyAlignment="1">
      <alignment horizontal="right"/>
    </xf>
    <xf numFmtId="49" fontId="3" fillId="5" borderId="10" xfId="0" applyNumberFormat="1" applyFont="1" applyFill="1" applyBorder="1" applyAlignment="1">
      <alignment horizontal="left"/>
    </xf>
    <xf numFmtId="0" fontId="3" fillId="5" borderId="34" xfId="0" applyFont="1" applyFill="1" applyBorder="1"/>
    <xf numFmtId="3" fontId="3" fillId="5" borderId="12" xfId="0" applyNumberFormat="1" applyFont="1" applyFill="1" applyBorder="1" applyAlignment="1">
      <alignment horizontal="right"/>
    </xf>
    <xf numFmtId="3" fontId="3" fillId="5" borderId="2" xfId="0" applyNumberFormat="1" applyFont="1" applyFill="1" applyBorder="1" applyAlignment="1">
      <alignment horizontal="right"/>
    </xf>
    <xf numFmtId="49" fontId="2" fillId="0" borderId="17" xfId="0" applyNumberFormat="1" applyFont="1" applyFill="1" applyBorder="1" applyAlignment="1">
      <alignment horizontal="right"/>
    </xf>
    <xf numFmtId="0" fontId="4" fillId="0" borderId="38" xfId="0" applyFont="1" applyFill="1" applyBorder="1"/>
    <xf numFmtId="3" fontId="6" fillId="0" borderId="48" xfId="0" applyNumberFormat="1" applyFont="1" applyFill="1" applyBorder="1" applyAlignment="1">
      <alignment horizontal="right"/>
    </xf>
    <xf numFmtId="3" fontId="4" fillId="0" borderId="48" xfId="0" applyNumberFormat="1" applyFont="1" applyBorder="1" applyAlignment="1">
      <alignment horizontal="right"/>
    </xf>
    <xf numFmtId="49" fontId="4" fillId="0" borderId="56" xfId="0" applyNumberFormat="1" applyFont="1" applyFill="1" applyBorder="1" applyAlignment="1">
      <alignment horizontal="right"/>
    </xf>
    <xf numFmtId="0" fontId="4" fillId="0" borderId="52" xfId="0" applyFont="1" applyFill="1" applyBorder="1" applyAlignment="1">
      <alignment horizontal="left"/>
    </xf>
    <xf numFmtId="0" fontId="4" fillId="0" borderId="30" xfId="0" applyFont="1" applyFill="1" applyBorder="1" applyAlignment="1">
      <alignment horizontal="right"/>
    </xf>
    <xf numFmtId="0" fontId="4" fillId="0" borderId="45" xfId="0" applyFont="1" applyFill="1" applyBorder="1" applyAlignment="1">
      <alignment horizontal="right"/>
    </xf>
    <xf numFmtId="3" fontId="6" fillId="0" borderId="30" xfId="0" applyNumberFormat="1" applyFont="1" applyFill="1" applyBorder="1" applyAlignment="1">
      <alignment horizontal="right"/>
    </xf>
    <xf numFmtId="3" fontId="6" fillId="0" borderId="5" xfId="0" applyNumberFormat="1" applyFont="1" applyFill="1" applyBorder="1" applyAlignment="1">
      <alignment horizontal="right"/>
    </xf>
    <xf numFmtId="49" fontId="4" fillId="0" borderId="35" xfId="0" applyNumberFormat="1" applyFont="1" applyFill="1" applyBorder="1" applyAlignment="1">
      <alignment horizontal="right"/>
    </xf>
    <xf numFmtId="0" fontId="4" fillId="0" borderId="19" xfId="0" applyFont="1" applyFill="1" applyBorder="1" applyAlignment="1">
      <alignment horizontal="right"/>
    </xf>
    <xf numFmtId="0" fontId="4" fillId="0" borderId="48" xfId="0" applyFont="1" applyFill="1" applyBorder="1" applyAlignment="1">
      <alignment horizontal="right"/>
    </xf>
    <xf numFmtId="49" fontId="4" fillId="0" borderId="36" xfId="0" applyNumberFormat="1" applyFont="1" applyFill="1" applyBorder="1" applyAlignment="1">
      <alignment horizontal="right"/>
    </xf>
    <xf numFmtId="0" fontId="4" fillId="0" borderId="37" xfId="0" applyFont="1" applyFill="1" applyBorder="1" applyAlignment="1">
      <alignment horizontal="left"/>
    </xf>
    <xf numFmtId="49" fontId="4" fillId="0" borderId="57" xfId="0" applyNumberFormat="1" applyFont="1" applyFill="1" applyBorder="1" applyAlignment="1">
      <alignment horizontal="right"/>
    </xf>
    <xf numFmtId="3" fontId="5" fillId="0" borderId="58" xfId="0" applyNumberFormat="1" applyFont="1" applyFill="1" applyBorder="1" applyAlignment="1">
      <alignment horizontal="right"/>
    </xf>
    <xf numFmtId="3" fontId="4" fillId="0" borderId="59" xfId="0" applyNumberFormat="1" applyFont="1" applyFill="1" applyBorder="1" applyAlignment="1">
      <alignment horizontal="right"/>
    </xf>
    <xf numFmtId="3" fontId="4" fillId="0" borderId="58" xfId="0" applyNumberFormat="1" applyFont="1" applyFill="1" applyBorder="1" applyAlignment="1">
      <alignment horizontal="right"/>
    </xf>
    <xf numFmtId="3" fontId="4" fillId="0" borderId="31" xfId="0" applyNumberFormat="1" applyFont="1" applyFill="1" applyBorder="1" applyAlignment="1">
      <alignment horizontal="right"/>
    </xf>
    <xf numFmtId="0" fontId="10" fillId="5" borderId="54" xfId="0" applyFont="1" applyFill="1" applyBorder="1"/>
    <xf numFmtId="3" fontId="10" fillId="5" borderId="50" xfId="0" applyNumberFormat="1" applyFont="1" applyFill="1" applyBorder="1" applyAlignment="1">
      <alignment horizontal="right"/>
    </xf>
    <xf numFmtId="3" fontId="10" fillId="5" borderId="4" xfId="0" applyNumberFormat="1" applyFont="1" applyFill="1" applyBorder="1" applyAlignment="1">
      <alignment horizontal="right"/>
    </xf>
    <xf numFmtId="3" fontId="10" fillId="5" borderId="51" xfId="0" applyNumberFormat="1" applyFont="1" applyFill="1" applyBorder="1" applyAlignment="1">
      <alignment horizontal="right"/>
    </xf>
    <xf numFmtId="49" fontId="6" fillId="6" borderId="56" xfId="0" applyNumberFormat="1" applyFont="1" applyFill="1" applyBorder="1" applyAlignment="1">
      <alignment horizontal="right"/>
    </xf>
    <xf numFmtId="0" fontId="6" fillId="6" borderId="52" xfId="0" applyFont="1" applyFill="1" applyBorder="1"/>
    <xf numFmtId="3" fontId="6" fillId="6" borderId="30" xfId="0" applyNumberFormat="1" applyFont="1" applyFill="1" applyBorder="1" applyAlignment="1">
      <alignment horizontal="right"/>
    </xf>
    <xf numFmtId="3" fontId="6" fillId="6" borderId="45" xfId="0" applyNumberFormat="1" applyFont="1" applyFill="1" applyBorder="1" applyAlignment="1">
      <alignment horizontal="right"/>
    </xf>
    <xf numFmtId="3" fontId="6" fillId="6" borderId="5" xfId="0" applyNumberFormat="1" applyFont="1" applyFill="1" applyBorder="1" applyAlignment="1">
      <alignment horizontal="right"/>
    </xf>
    <xf numFmtId="49" fontId="6" fillId="6" borderId="36" xfId="0" applyNumberFormat="1" applyFont="1" applyFill="1" applyBorder="1" applyAlignment="1">
      <alignment horizontal="right"/>
    </xf>
    <xf numFmtId="0" fontId="6" fillId="6" borderId="37" xfId="0" applyFont="1" applyFill="1" applyBorder="1"/>
    <xf numFmtId="3" fontId="6" fillId="6" borderId="23" xfId="0" applyNumberFormat="1" applyFont="1" applyFill="1" applyBorder="1" applyAlignment="1">
      <alignment horizontal="right"/>
    </xf>
    <xf numFmtId="3" fontId="6" fillId="6" borderId="49" xfId="0" applyNumberFormat="1" applyFont="1" applyFill="1" applyBorder="1" applyAlignment="1">
      <alignment horizontal="right"/>
    </xf>
    <xf numFmtId="3" fontId="6" fillId="6" borderId="24" xfId="0" applyNumberFormat="1" applyFont="1" applyFill="1" applyBorder="1" applyAlignment="1">
      <alignment horizontal="right"/>
    </xf>
    <xf numFmtId="49" fontId="6" fillId="6" borderId="60" xfId="0" applyNumberFormat="1" applyFont="1" applyFill="1" applyBorder="1" applyAlignment="1">
      <alignment horizontal="right"/>
    </xf>
    <xf numFmtId="0" fontId="6" fillId="6" borderId="39" xfId="0" applyFont="1" applyFill="1" applyBorder="1"/>
    <xf numFmtId="3" fontId="6" fillId="6" borderId="27" xfId="0" applyNumberFormat="1" applyFont="1" applyFill="1" applyBorder="1" applyAlignment="1">
      <alignment horizontal="right"/>
    </xf>
    <xf numFmtId="3" fontId="6" fillId="6" borderId="46" xfId="0" applyNumberFormat="1" applyFont="1" applyFill="1" applyBorder="1" applyAlignment="1">
      <alignment horizontal="right"/>
    </xf>
    <xf numFmtId="3" fontId="6" fillId="6" borderId="6" xfId="0" applyNumberFormat="1" applyFont="1" applyFill="1" applyBorder="1" applyAlignment="1">
      <alignment horizontal="right"/>
    </xf>
    <xf numFmtId="49" fontId="6" fillId="6" borderId="35" xfId="0" applyNumberFormat="1" applyFont="1" applyFill="1" applyBorder="1" applyAlignment="1">
      <alignment horizontal="right"/>
    </xf>
    <xf numFmtId="0" fontId="6" fillId="6" borderId="38" xfId="0" applyFont="1" applyFill="1" applyBorder="1"/>
    <xf numFmtId="3" fontId="6" fillId="6" borderId="19" xfId="0" applyNumberFormat="1" applyFont="1" applyFill="1" applyBorder="1" applyAlignment="1">
      <alignment horizontal="right"/>
    </xf>
    <xf numFmtId="3" fontId="6" fillId="6" borderId="48" xfId="0" applyNumberFormat="1" applyFont="1" applyFill="1" applyBorder="1" applyAlignment="1">
      <alignment horizontal="right"/>
    </xf>
    <xf numFmtId="3" fontId="6" fillId="6" borderId="20" xfId="0" applyNumberFormat="1" applyFont="1" applyFill="1" applyBorder="1" applyAlignment="1">
      <alignment horizontal="right"/>
    </xf>
    <xf numFmtId="3" fontId="3" fillId="7" borderId="16" xfId="0" applyNumberFormat="1" applyFont="1" applyFill="1" applyBorder="1" applyAlignment="1">
      <alignment horizontal="right"/>
    </xf>
    <xf numFmtId="3" fontId="3" fillId="7" borderId="8" xfId="0" applyNumberFormat="1" applyFont="1" applyFill="1" applyBorder="1" applyAlignment="1">
      <alignment horizontal="right"/>
    </xf>
    <xf numFmtId="3" fontId="3" fillId="7" borderId="9" xfId="0" applyNumberFormat="1" applyFont="1" applyFill="1" applyBorder="1" applyAlignment="1">
      <alignment horizontal="right"/>
    </xf>
    <xf numFmtId="49" fontId="4" fillId="4" borderId="56" xfId="0" applyNumberFormat="1" applyFont="1" applyFill="1" applyBorder="1" applyAlignment="1">
      <alignment horizontal="right"/>
    </xf>
    <xf numFmtId="0" fontId="6" fillId="4" borderId="52" xfId="0" applyFont="1" applyFill="1" applyBorder="1"/>
    <xf numFmtId="3" fontId="6" fillId="4" borderId="30" xfId="0" applyNumberFormat="1" applyFont="1" applyFill="1" applyBorder="1" applyAlignment="1">
      <alignment horizontal="right"/>
    </xf>
    <xf numFmtId="3" fontId="6" fillId="4" borderId="45" xfId="0" applyNumberFormat="1" applyFont="1" applyFill="1" applyBorder="1" applyAlignment="1">
      <alignment horizontal="right"/>
    </xf>
    <xf numFmtId="3" fontId="6" fillId="4" borderId="5" xfId="0" applyNumberFormat="1" applyFont="1" applyFill="1" applyBorder="1" applyAlignment="1">
      <alignment horizontal="right"/>
    </xf>
    <xf numFmtId="49" fontId="4" fillId="4" borderId="35" xfId="0" applyNumberFormat="1" applyFont="1" applyFill="1" applyBorder="1" applyAlignment="1">
      <alignment horizontal="right"/>
    </xf>
    <xf numFmtId="0" fontId="6" fillId="4" borderId="38" xfId="0" applyFont="1" applyFill="1" applyBorder="1"/>
    <xf numFmtId="3" fontId="6" fillId="4" borderId="19" xfId="0" applyNumberFormat="1" applyFont="1" applyFill="1" applyBorder="1" applyAlignment="1">
      <alignment horizontal="right"/>
    </xf>
    <xf numFmtId="3" fontId="6" fillId="4" borderId="48" xfId="0" applyNumberFormat="1" applyFont="1" applyFill="1" applyBorder="1" applyAlignment="1">
      <alignment horizontal="right"/>
    </xf>
    <xf numFmtId="3" fontId="11" fillId="4" borderId="50" xfId="0" applyNumberFormat="1" applyFont="1" applyFill="1" applyBorder="1" applyAlignment="1">
      <alignment horizontal="right"/>
    </xf>
    <xf numFmtId="3" fontId="11" fillId="4" borderId="4" xfId="0" applyNumberFormat="1" applyFont="1" applyFill="1" applyBorder="1" applyAlignment="1">
      <alignment horizontal="right"/>
    </xf>
    <xf numFmtId="3" fontId="11" fillId="4" borderId="51" xfId="0" applyNumberFormat="1" applyFont="1" applyFill="1" applyBorder="1" applyAlignment="1">
      <alignment horizontal="right"/>
    </xf>
    <xf numFmtId="3" fontId="3" fillId="8" borderId="16" xfId="0" applyNumberFormat="1" applyFont="1" applyFill="1" applyBorder="1" applyAlignment="1">
      <alignment horizontal="right"/>
    </xf>
    <xf numFmtId="3" fontId="3" fillId="8" borderId="8" xfId="0" applyNumberFormat="1" applyFont="1" applyFill="1" applyBorder="1" applyAlignment="1">
      <alignment horizontal="right"/>
    </xf>
    <xf numFmtId="3" fontId="3" fillId="8" borderId="9" xfId="0" applyNumberFormat="1" applyFont="1" applyFill="1" applyBorder="1" applyAlignment="1">
      <alignment horizontal="right"/>
    </xf>
    <xf numFmtId="0" fontId="10" fillId="5" borderId="14" xfId="0" applyFont="1" applyFill="1" applyBorder="1"/>
    <xf numFmtId="3" fontId="10" fillId="5" borderId="16" xfId="0" applyNumberFormat="1" applyFont="1" applyFill="1" applyBorder="1" applyAlignment="1">
      <alignment horizontal="right"/>
    </xf>
    <xf numFmtId="3" fontId="10" fillId="5" borderId="8" xfId="0" applyNumberFormat="1" applyFont="1" applyFill="1" applyBorder="1" applyAlignment="1">
      <alignment horizontal="right"/>
    </xf>
    <xf numFmtId="3" fontId="10" fillId="5" borderId="9" xfId="0" applyNumberFormat="1" applyFont="1" applyFill="1" applyBorder="1" applyAlignment="1">
      <alignment horizontal="right"/>
    </xf>
    <xf numFmtId="3" fontId="10" fillId="9" borderId="16" xfId="0" applyNumberFormat="1" applyFont="1" applyFill="1" applyBorder="1" applyAlignment="1"/>
    <xf numFmtId="3" fontId="4" fillId="0" borderId="27" xfId="0" applyNumberFormat="1" applyFont="1" applyBorder="1" applyAlignment="1"/>
    <xf numFmtId="3" fontId="4" fillId="0" borderId="27" xfId="0" applyNumberFormat="1" applyFont="1" applyFill="1" applyBorder="1" applyAlignment="1"/>
    <xf numFmtId="0" fontId="4" fillId="0" borderId="57" xfId="0" applyFont="1" applyFill="1" applyBorder="1"/>
    <xf numFmtId="3" fontId="4" fillId="0" borderId="58" xfId="0" applyNumberFormat="1" applyFont="1" applyBorder="1" applyAlignment="1"/>
    <xf numFmtId="3" fontId="4" fillId="0" borderId="58" xfId="0" applyNumberFormat="1" applyFont="1" applyFill="1" applyBorder="1" applyAlignment="1"/>
    <xf numFmtId="0" fontId="4" fillId="0" borderId="36" xfId="0" applyFont="1" applyFill="1" applyBorder="1"/>
    <xf numFmtId="3" fontId="4" fillId="0" borderId="23" xfId="0" applyNumberFormat="1" applyFont="1" applyBorder="1" applyAlignment="1"/>
    <xf numFmtId="3" fontId="4" fillId="0" borderId="23" xfId="0" applyNumberFormat="1" applyFont="1" applyFill="1" applyBorder="1" applyAlignment="1"/>
    <xf numFmtId="0" fontId="4" fillId="0" borderId="35" xfId="0" applyFont="1" applyFill="1" applyBorder="1"/>
    <xf numFmtId="3" fontId="4" fillId="0" borderId="19" xfId="0" applyNumberFormat="1" applyFont="1" applyBorder="1" applyAlignment="1"/>
    <xf numFmtId="3" fontId="4" fillId="0" borderId="19" xfId="0" applyNumberFormat="1" applyFont="1" applyFill="1" applyBorder="1" applyAlignment="1"/>
    <xf numFmtId="0" fontId="4" fillId="0" borderId="24" xfId="0" applyFont="1" applyBorder="1"/>
    <xf numFmtId="0" fontId="5" fillId="0" borderId="18" xfId="0" applyFont="1" applyBorder="1"/>
    <xf numFmtId="49" fontId="5" fillId="0" borderId="56" xfId="0" applyNumberFormat="1" applyFont="1" applyFill="1" applyBorder="1" applyAlignment="1">
      <alignment horizontal="right"/>
    </xf>
    <xf numFmtId="0" fontId="5" fillId="0" borderId="29" xfId="0" applyFont="1" applyBorder="1"/>
    <xf numFmtId="3" fontId="5" fillId="0" borderId="30" xfId="0" applyNumberFormat="1" applyFont="1" applyFill="1" applyBorder="1" applyAlignment="1"/>
    <xf numFmtId="49" fontId="5" fillId="0" borderId="21" xfId="0" applyNumberFormat="1" applyFont="1" applyFill="1" applyBorder="1" applyAlignment="1">
      <alignment horizontal="right"/>
    </xf>
    <xf numFmtId="0" fontId="5" fillId="0" borderId="22" xfId="0" applyFont="1" applyBorder="1"/>
    <xf numFmtId="3" fontId="5" fillId="0" borderId="23" xfId="0" applyNumberFormat="1" applyFont="1" applyFill="1" applyBorder="1" applyAlignment="1"/>
    <xf numFmtId="49" fontId="5" fillId="0" borderId="25" xfId="0" applyNumberFormat="1" applyFont="1" applyFill="1" applyBorder="1" applyAlignment="1">
      <alignment horizontal="right"/>
    </xf>
    <xf numFmtId="0" fontId="5" fillId="0" borderId="26" xfId="0" applyFont="1" applyBorder="1"/>
    <xf numFmtId="3" fontId="5" fillId="0" borderId="27" xfId="0" applyNumberFormat="1" applyFont="1" applyFill="1" applyBorder="1" applyAlignment="1"/>
    <xf numFmtId="3" fontId="5" fillId="0" borderId="12" xfId="0" applyNumberFormat="1" applyFont="1" applyFill="1" applyBorder="1" applyAlignment="1"/>
    <xf numFmtId="49" fontId="5" fillId="0" borderId="35" xfId="0" applyNumberFormat="1" applyFont="1" applyFill="1" applyBorder="1" applyAlignment="1">
      <alignment horizontal="right"/>
    </xf>
    <xf numFmtId="3" fontId="5" fillId="0" borderId="19" xfId="0" applyNumberFormat="1" applyFont="1" applyFill="1" applyBorder="1" applyAlignment="1"/>
    <xf numFmtId="49" fontId="5" fillId="0" borderId="61" xfId="0" applyNumberFormat="1" applyFont="1" applyFill="1" applyBorder="1" applyAlignment="1">
      <alignment horizontal="right"/>
    </xf>
    <xf numFmtId="0" fontId="5" fillId="0" borderId="44" xfId="0" applyFont="1" applyBorder="1"/>
    <xf numFmtId="3" fontId="5" fillId="0" borderId="53" xfId="0" applyNumberFormat="1" applyFont="1" applyFill="1" applyBorder="1" applyAlignment="1"/>
    <xf numFmtId="49" fontId="5" fillId="0" borderId="32" xfId="0" applyNumberFormat="1" applyFont="1" applyFill="1" applyBorder="1" applyAlignment="1">
      <alignment horizontal="right"/>
    </xf>
    <xf numFmtId="0" fontId="5" fillId="0" borderId="33" xfId="0" applyFont="1" applyBorder="1"/>
    <xf numFmtId="3" fontId="5" fillId="0" borderId="58" xfId="0" applyNumberFormat="1" applyFont="1" applyFill="1" applyBorder="1" applyAlignment="1"/>
    <xf numFmtId="49" fontId="5" fillId="0" borderId="22" xfId="0" applyNumberFormat="1" applyFont="1" applyFill="1" applyBorder="1" applyAlignment="1">
      <alignment horizontal="left"/>
    </xf>
    <xf numFmtId="49" fontId="5" fillId="0" borderId="10" xfId="0" applyNumberFormat="1" applyFont="1" applyFill="1" applyBorder="1" applyAlignment="1">
      <alignment horizontal="right"/>
    </xf>
    <xf numFmtId="49" fontId="5" fillId="0" borderId="11" xfId="0" applyNumberFormat="1" applyFont="1" applyFill="1" applyBorder="1" applyAlignment="1">
      <alignment horizontal="left"/>
    </xf>
    <xf numFmtId="49" fontId="5" fillId="0" borderId="36" xfId="0" applyNumberFormat="1" applyFont="1" applyBorder="1" applyAlignment="1">
      <alignment horizontal="right"/>
    </xf>
    <xf numFmtId="49" fontId="5" fillId="0" borderId="18" xfId="0" applyNumberFormat="1" applyFont="1" applyFill="1" applyBorder="1" applyAlignment="1">
      <alignment horizontal="left"/>
    </xf>
    <xf numFmtId="49" fontId="5" fillId="0" borderId="60" xfId="0" applyNumberFormat="1" applyFont="1" applyBorder="1" applyAlignment="1">
      <alignment horizontal="right"/>
    </xf>
    <xf numFmtId="49" fontId="5" fillId="0" borderId="35" xfId="0" applyNumberFormat="1" applyFont="1" applyBorder="1" applyAlignment="1">
      <alignment horizontal="right"/>
    </xf>
    <xf numFmtId="49" fontId="5" fillId="0" borderId="61" xfId="0" applyNumberFormat="1" applyFont="1" applyBorder="1" applyAlignment="1">
      <alignment horizontal="right"/>
    </xf>
    <xf numFmtId="49" fontId="5" fillId="0" borderId="44" xfId="0" applyNumberFormat="1" applyFont="1" applyFill="1" applyBorder="1" applyAlignment="1">
      <alignment horizontal="left"/>
    </xf>
    <xf numFmtId="49" fontId="5" fillId="0" borderId="57" xfId="0" applyNumberFormat="1" applyFont="1" applyBorder="1" applyAlignment="1">
      <alignment horizontal="right"/>
    </xf>
    <xf numFmtId="49" fontId="5" fillId="0" borderId="33" xfId="0" applyNumberFormat="1" applyFont="1" applyFill="1" applyBorder="1" applyAlignment="1">
      <alignment horizontal="left"/>
    </xf>
    <xf numFmtId="49" fontId="5" fillId="0" borderId="21" xfId="0" applyNumberFormat="1" applyFont="1" applyBorder="1" applyAlignment="1">
      <alignment horizontal="right"/>
    </xf>
    <xf numFmtId="49" fontId="5" fillId="0" borderId="10" xfId="0" applyNumberFormat="1" applyFont="1" applyBorder="1" applyAlignment="1">
      <alignment horizontal="right"/>
    </xf>
    <xf numFmtId="49" fontId="5" fillId="0" borderId="28" xfId="0" applyNumberFormat="1" applyFont="1" applyBorder="1" applyAlignment="1">
      <alignment horizontal="right"/>
    </xf>
    <xf numFmtId="49" fontId="5" fillId="0" borderId="17" xfId="0" applyNumberFormat="1" applyFont="1" applyBorder="1" applyAlignment="1">
      <alignment horizontal="right"/>
    </xf>
    <xf numFmtId="0" fontId="14" fillId="0" borderId="11" xfId="0" applyFont="1" applyBorder="1"/>
    <xf numFmtId="49" fontId="5" fillId="0" borderId="25" xfId="0" applyNumberFormat="1" applyFont="1" applyBorder="1" applyAlignment="1">
      <alignment horizontal="right"/>
    </xf>
    <xf numFmtId="49" fontId="2" fillId="0" borderId="0" xfId="0" applyNumberFormat="1" applyFont="1" applyBorder="1" applyAlignment="1">
      <alignment horizontal="right"/>
    </xf>
    <xf numFmtId="0" fontId="2" fillId="0" borderId="0" xfId="0" applyFont="1" applyFill="1" applyBorder="1"/>
    <xf numFmtId="3" fontId="5" fillId="0" borderId="0" xfId="0" applyNumberFormat="1" applyFont="1" applyBorder="1" applyAlignment="1"/>
    <xf numFmtId="0" fontId="2" fillId="0" borderId="0" xfId="0" applyFont="1" applyBorder="1"/>
    <xf numFmtId="0" fontId="3" fillId="0" borderId="0" xfId="0" applyFont="1" applyFill="1" applyBorder="1"/>
    <xf numFmtId="3" fontId="3" fillId="0" borderId="0" xfId="0" applyNumberFormat="1" applyFont="1" applyFill="1" applyBorder="1"/>
    <xf numFmtId="0" fontId="2" fillId="0" borderId="57" xfId="0" applyFont="1" applyBorder="1"/>
    <xf numFmtId="0" fontId="2" fillId="0" borderId="33" xfId="0" applyFont="1" applyFill="1" applyBorder="1"/>
    <xf numFmtId="3" fontId="7" fillId="0" borderId="31" xfId="0" applyNumberFormat="1" applyFont="1" applyFill="1" applyBorder="1" applyAlignment="1">
      <alignment horizontal="right"/>
    </xf>
    <xf numFmtId="0" fontId="2" fillId="0" borderId="60" xfId="0" applyFont="1" applyBorder="1"/>
    <xf numFmtId="0" fontId="2" fillId="0" borderId="26" xfId="0" applyFont="1" applyFill="1" applyBorder="1"/>
    <xf numFmtId="3" fontId="7" fillId="0" borderId="6" xfId="0" applyNumberFormat="1" applyFont="1" applyFill="1" applyBorder="1" applyAlignment="1">
      <alignment horizontal="right"/>
    </xf>
    <xf numFmtId="0" fontId="15" fillId="0" borderId="56" xfId="0" applyFont="1" applyFill="1" applyBorder="1" applyAlignment="1">
      <alignment horizontal="right"/>
    </xf>
    <xf numFmtId="0" fontId="6" fillId="0" borderId="29" xfId="0" applyFont="1" applyFill="1" applyBorder="1" applyAlignment="1">
      <alignment horizontal="left"/>
    </xf>
    <xf numFmtId="0" fontId="15" fillId="0" borderId="35" xfId="0" applyFont="1" applyFill="1" applyBorder="1" applyAlignment="1">
      <alignment horizontal="right"/>
    </xf>
    <xf numFmtId="0" fontId="6" fillId="0" borderId="18" xfId="0" applyFont="1" applyFill="1" applyBorder="1" applyAlignment="1">
      <alignment horizontal="left"/>
    </xf>
    <xf numFmtId="0" fontId="16" fillId="0" borderId="10" xfId="0" applyFont="1" applyBorder="1"/>
    <xf numFmtId="0" fontId="4" fillId="0" borderId="11" xfId="0" applyFont="1" applyBorder="1"/>
    <xf numFmtId="0" fontId="4" fillId="0" borderId="0" xfId="0" applyFont="1" applyBorder="1"/>
    <xf numFmtId="0" fontId="18" fillId="0" borderId="28" xfId="0" applyFont="1" applyBorder="1"/>
    <xf numFmtId="3" fontId="4" fillId="0" borderId="5" xfId="0" applyNumberFormat="1" applyFont="1" applyBorder="1"/>
    <xf numFmtId="0" fontId="18" fillId="0" borderId="21" xfId="0" applyFont="1" applyBorder="1"/>
    <xf numFmtId="0" fontId="2" fillId="0" borderId="22" xfId="0" applyFont="1" applyBorder="1" applyAlignment="1">
      <alignment horizontal="center"/>
    </xf>
    <xf numFmtId="3" fontId="4" fillId="0" borderId="24" xfId="0" applyNumberFormat="1" applyFont="1" applyBorder="1"/>
    <xf numFmtId="3" fontId="10" fillId="10" borderId="24" xfId="0" applyNumberFormat="1" applyFont="1" applyFill="1" applyBorder="1"/>
    <xf numFmtId="0" fontId="18" fillId="0" borderId="36" xfId="0" applyFont="1" applyBorder="1" applyAlignment="1">
      <alignment horizontal="left"/>
    </xf>
    <xf numFmtId="0" fontId="18" fillId="0" borderId="49" xfId="0" applyFont="1" applyBorder="1" applyAlignment="1">
      <alignment horizontal="left"/>
    </xf>
    <xf numFmtId="3" fontId="4" fillId="0" borderId="24" xfId="0" applyNumberFormat="1" applyFont="1" applyFill="1" applyBorder="1"/>
    <xf numFmtId="3" fontId="10" fillId="10" borderId="31" xfId="0" applyNumberFormat="1" applyFont="1" applyFill="1" applyBorder="1"/>
    <xf numFmtId="0" fontId="20" fillId="2" borderId="7" xfId="0" applyFont="1" applyFill="1" applyBorder="1" applyAlignment="1"/>
    <xf numFmtId="0" fontId="21" fillId="2" borderId="8" xfId="0" applyFont="1" applyFill="1" applyBorder="1" applyAlignment="1"/>
    <xf numFmtId="3" fontId="10" fillId="2" borderId="9" xfId="0" applyNumberFormat="1" applyFont="1" applyFill="1" applyBorder="1"/>
    <xf numFmtId="0" fontId="2" fillId="0" borderId="0" xfId="0" applyFont="1" applyAlignment="1">
      <alignment horizontal="right"/>
    </xf>
    <xf numFmtId="0" fontId="22" fillId="0" borderId="0" xfId="0" applyFont="1"/>
    <xf numFmtId="0" fontId="4" fillId="0" borderId="0" xfId="0" applyFont="1" applyFill="1" applyAlignment="1">
      <alignment horizontal="left"/>
    </xf>
    <xf numFmtId="0" fontId="7" fillId="0" borderId="0" xfId="0" applyFont="1"/>
    <xf numFmtId="0" fontId="7" fillId="0" borderId="0" xfId="0" applyFont="1" applyFill="1" applyAlignment="1">
      <alignment horizontal="left"/>
    </xf>
    <xf numFmtId="0" fontId="7" fillId="0" borderId="0" xfId="0" applyFont="1" applyAlignment="1">
      <alignment horizontal="left"/>
    </xf>
    <xf numFmtId="0" fontId="8" fillId="0" borderId="10" xfId="0" applyFont="1" applyFill="1" applyBorder="1"/>
    <xf numFmtId="3" fontId="8" fillId="0" borderId="13" xfId="0" applyNumberFormat="1" applyFont="1" applyFill="1" applyBorder="1"/>
    <xf numFmtId="0" fontId="2" fillId="0" borderId="47" xfId="0" applyFont="1" applyBorder="1"/>
    <xf numFmtId="0" fontId="2" fillId="0" borderId="38" xfId="0" applyFont="1" applyBorder="1"/>
    <xf numFmtId="0" fontId="2" fillId="0" borderId="37" xfId="0" applyFont="1" applyBorder="1"/>
    <xf numFmtId="0" fontId="2" fillId="0" borderId="39" xfId="0" applyFont="1" applyBorder="1"/>
    <xf numFmtId="3" fontId="3" fillId="2" borderId="16" xfId="0" applyNumberFormat="1" applyFont="1" applyFill="1" applyBorder="1" applyAlignment="1">
      <alignment horizontal="right"/>
    </xf>
    <xf numFmtId="3" fontId="3" fillId="2" borderId="64" xfId="0" applyNumberFormat="1" applyFont="1" applyFill="1" applyBorder="1" applyAlignment="1">
      <alignment horizontal="right"/>
    </xf>
    <xf numFmtId="0" fontId="2" fillId="0" borderId="2" xfId="0" applyFont="1" applyBorder="1"/>
    <xf numFmtId="0" fontId="2" fillId="0" borderId="12" xfId="0" applyFont="1" applyBorder="1"/>
    <xf numFmtId="0" fontId="4" fillId="2" borderId="47" xfId="0" applyFont="1" applyFill="1" applyBorder="1"/>
    <xf numFmtId="0" fontId="8" fillId="0" borderId="37" xfId="0" applyFont="1" applyFill="1" applyBorder="1"/>
    <xf numFmtId="0" fontId="8" fillId="0" borderId="34" xfId="0" applyFont="1" applyFill="1" applyBorder="1"/>
    <xf numFmtId="0" fontId="2" fillId="0" borderId="37" xfId="0" applyFont="1" applyFill="1" applyBorder="1"/>
    <xf numFmtId="0" fontId="6" fillId="0" borderId="37" xfId="0" applyFont="1" applyFill="1" applyBorder="1"/>
    <xf numFmtId="0" fontId="2" fillId="2" borderId="47" xfId="0" applyFont="1" applyFill="1" applyBorder="1"/>
    <xf numFmtId="0" fontId="8" fillId="0" borderId="46" xfId="0" applyFont="1" applyFill="1" applyBorder="1"/>
    <xf numFmtId="3" fontId="2" fillId="0" borderId="48" xfId="0" applyNumberFormat="1" applyFont="1" applyBorder="1"/>
    <xf numFmtId="0" fontId="4" fillId="0" borderId="48" xfId="0" applyFont="1" applyBorder="1"/>
    <xf numFmtId="0" fontId="9" fillId="4" borderId="49" xfId="0" applyFont="1" applyFill="1" applyBorder="1"/>
    <xf numFmtId="3" fontId="8" fillId="0" borderId="23" xfId="0" applyNumberFormat="1" applyFont="1" applyFill="1" applyBorder="1"/>
    <xf numFmtId="3" fontId="8" fillId="0" borderId="19" xfId="0" applyNumberFormat="1" applyFont="1" applyFill="1" applyBorder="1"/>
    <xf numFmtId="3" fontId="2" fillId="0" borderId="19" xfId="0" applyNumberFormat="1" applyFont="1" applyBorder="1"/>
    <xf numFmtId="3" fontId="4" fillId="0" borderId="19" xfId="0" applyNumberFormat="1" applyFont="1" applyBorder="1"/>
    <xf numFmtId="3" fontId="8" fillId="0" borderId="12" xfId="0" applyNumberFormat="1" applyFont="1" applyFill="1" applyBorder="1"/>
    <xf numFmtId="3" fontId="4" fillId="0" borderId="27" xfId="0" applyNumberFormat="1" applyFont="1" applyBorder="1"/>
    <xf numFmtId="3" fontId="8" fillId="0" borderId="27" xfId="0" applyNumberFormat="1" applyFont="1" applyFill="1" applyBorder="1"/>
    <xf numFmtId="3" fontId="2" fillId="0" borderId="23" xfId="0" applyNumberFormat="1" applyFont="1" applyFill="1" applyBorder="1"/>
    <xf numFmtId="3" fontId="6" fillId="0" borderId="23" xfId="0" applyNumberFormat="1" applyFont="1" applyFill="1" applyBorder="1"/>
    <xf numFmtId="3" fontId="9" fillId="4" borderId="23" xfId="0" applyNumberFormat="1" applyFont="1" applyFill="1" applyBorder="1"/>
    <xf numFmtId="3" fontId="10" fillId="2" borderId="16" xfId="0" applyNumberFormat="1" applyFont="1" applyFill="1" applyBorder="1" applyAlignment="1">
      <alignment horizontal="right"/>
    </xf>
    <xf numFmtId="3" fontId="3" fillId="2" borderId="8" xfId="0" applyNumberFormat="1" applyFont="1" applyFill="1" applyBorder="1" applyAlignment="1">
      <alignment horizontal="right"/>
    </xf>
    <xf numFmtId="3" fontId="6" fillId="0" borderId="49" xfId="0" applyNumberFormat="1" applyFont="1" applyFill="1" applyBorder="1"/>
    <xf numFmtId="3" fontId="8" fillId="0" borderId="49" xfId="0" applyNumberFormat="1" applyFont="1" applyFill="1" applyBorder="1"/>
    <xf numFmtId="3" fontId="8" fillId="0" borderId="48" xfId="0" applyNumberFormat="1" applyFont="1" applyFill="1" applyBorder="1"/>
    <xf numFmtId="3" fontId="5" fillId="0" borderId="48" xfId="0" applyNumberFormat="1" applyFont="1" applyBorder="1"/>
    <xf numFmtId="3" fontId="7" fillId="0" borderId="49" xfId="0" applyNumberFormat="1" applyFont="1" applyBorder="1"/>
    <xf numFmtId="3" fontId="7" fillId="0" borderId="2" xfId="0" applyNumberFormat="1" applyFont="1" applyBorder="1"/>
    <xf numFmtId="3" fontId="2" fillId="0" borderId="46" xfId="0" applyNumberFormat="1" applyFont="1" applyBorder="1"/>
    <xf numFmtId="3" fontId="7" fillId="0" borderId="48" xfId="0" applyNumberFormat="1" applyFont="1" applyBorder="1"/>
    <xf numFmtId="3" fontId="2" fillId="0" borderId="49" xfId="0" applyNumberFormat="1" applyFont="1" applyFill="1" applyBorder="1"/>
    <xf numFmtId="3" fontId="7" fillId="0" borderId="49" xfId="0" applyNumberFormat="1" applyFont="1" applyFill="1" applyBorder="1"/>
    <xf numFmtId="3" fontId="10" fillId="2" borderId="8" xfId="0" applyNumberFormat="1" applyFont="1" applyFill="1" applyBorder="1" applyAlignment="1">
      <alignment horizontal="right"/>
    </xf>
    <xf numFmtId="3" fontId="2" fillId="0" borderId="27" xfId="0" applyNumberFormat="1" applyFont="1" applyBorder="1"/>
    <xf numFmtId="3" fontId="7" fillId="0" borderId="19" xfId="0" applyNumberFormat="1" applyFont="1" applyFill="1" applyBorder="1"/>
    <xf numFmtId="3" fontId="7" fillId="0" borderId="23" xfId="0" applyNumberFormat="1" applyFont="1" applyFill="1" applyBorder="1"/>
    <xf numFmtId="3" fontId="2" fillId="0" borderId="19" xfId="0" applyNumberFormat="1" applyFont="1" applyFill="1" applyBorder="1"/>
    <xf numFmtId="3" fontId="6" fillId="6" borderId="52" xfId="0" applyNumberFormat="1" applyFont="1" applyFill="1" applyBorder="1" applyAlignment="1">
      <alignment horizontal="right"/>
    </xf>
    <xf numFmtId="3" fontId="6" fillId="6" borderId="36" xfId="0" applyNumberFormat="1" applyFont="1" applyFill="1" applyBorder="1" applyAlignment="1">
      <alignment horizontal="right"/>
    </xf>
    <xf numFmtId="3" fontId="6" fillId="6" borderId="60" xfId="0" applyNumberFormat="1" applyFont="1" applyFill="1" applyBorder="1" applyAlignment="1">
      <alignment horizontal="right"/>
    </xf>
    <xf numFmtId="3" fontId="6" fillId="6" borderId="35" xfId="0" applyNumberFormat="1" applyFont="1" applyFill="1" applyBorder="1" applyAlignment="1">
      <alignment horizontal="right"/>
    </xf>
    <xf numFmtId="3" fontId="3" fillId="7" borderId="7" xfId="0" applyNumberFormat="1" applyFont="1" applyFill="1" applyBorder="1" applyAlignment="1">
      <alignment horizontal="right"/>
    </xf>
    <xf numFmtId="0" fontId="2" fillId="0" borderId="18" xfId="0" applyFont="1" applyFill="1" applyBorder="1"/>
    <xf numFmtId="0" fontId="2" fillId="0" borderId="35" xfId="0" applyFont="1" applyBorder="1"/>
    <xf numFmtId="3" fontId="7" fillId="0" borderId="20" xfId="0" applyNumberFormat="1" applyFont="1" applyFill="1" applyBorder="1" applyAlignment="1">
      <alignment horizontal="right"/>
    </xf>
    <xf numFmtId="0" fontId="2" fillId="0" borderId="56" xfId="0" applyFont="1" applyBorder="1"/>
    <xf numFmtId="0" fontId="2" fillId="0" borderId="29" xfId="0" applyFont="1" applyFill="1" applyBorder="1"/>
    <xf numFmtId="3" fontId="7" fillId="0" borderId="5" xfId="0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 horizontal="right"/>
    </xf>
    <xf numFmtId="0" fontId="0" fillId="0" borderId="6" xfId="0" applyFill="1" applyBorder="1"/>
    <xf numFmtId="49" fontId="5" fillId="0" borderId="7" xfId="0" applyNumberFormat="1" applyFont="1" applyFill="1" applyBorder="1" applyAlignment="1">
      <alignment horizontal="right"/>
    </xf>
    <xf numFmtId="0" fontId="5" fillId="0" borderId="15" xfId="0" applyFont="1" applyBorder="1"/>
    <xf numFmtId="3" fontId="5" fillId="0" borderId="16" xfId="0" applyNumberFormat="1" applyFont="1" applyFill="1" applyBorder="1" applyAlignment="1"/>
    <xf numFmtId="3" fontId="4" fillId="0" borderId="53" xfId="0" applyNumberFormat="1" applyFont="1" applyFill="1" applyBorder="1" applyAlignment="1"/>
    <xf numFmtId="0" fontId="7" fillId="0" borderId="0" xfId="0" applyFont="1" applyFill="1"/>
    <xf numFmtId="0" fontId="3" fillId="3" borderId="30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11" borderId="5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30" xfId="0" applyFont="1" applyFill="1" applyBorder="1" applyAlignment="1">
      <alignment horizontal="center" vertical="center" wrapText="1"/>
    </xf>
    <xf numFmtId="3" fontId="8" fillId="0" borderId="65" xfId="0" applyNumberFormat="1" applyFont="1" applyFill="1" applyBorder="1"/>
    <xf numFmtId="3" fontId="8" fillId="0" borderId="66" xfId="0" applyNumberFormat="1" applyFont="1" applyFill="1" applyBorder="1"/>
    <xf numFmtId="3" fontId="2" fillId="0" borderId="66" xfId="0" applyNumberFormat="1" applyFont="1" applyBorder="1"/>
    <xf numFmtId="3" fontId="5" fillId="0" borderId="66" xfId="0" applyNumberFormat="1" applyFont="1" applyBorder="1"/>
    <xf numFmtId="3" fontId="8" fillId="0" borderId="67" xfId="0" applyNumberFormat="1" applyFont="1" applyFill="1" applyBorder="1"/>
    <xf numFmtId="3" fontId="8" fillId="0" borderId="68" xfId="0" applyNumberFormat="1" applyFont="1" applyFill="1" applyBorder="1"/>
    <xf numFmtId="3" fontId="2" fillId="0" borderId="66" xfId="0" applyNumberFormat="1" applyFont="1" applyFill="1" applyBorder="1"/>
    <xf numFmtId="3" fontId="9" fillId="4" borderId="65" xfId="0" applyNumberFormat="1" applyFont="1" applyFill="1" applyBorder="1"/>
    <xf numFmtId="3" fontId="4" fillId="0" borderId="67" xfId="0" applyNumberFormat="1" applyFont="1" applyFill="1" applyBorder="1" applyAlignment="1">
      <alignment horizontal="right"/>
    </xf>
    <xf numFmtId="3" fontId="6" fillId="4" borderId="70" xfId="0" applyNumberFormat="1" applyFont="1" applyFill="1" applyBorder="1" applyAlignment="1">
      <alignment horizontal="right"/>
    </xf>
    <xf numFmtId="3" fontId="6" fillId="4" borderId="66" xfId="0" applyNumberFormat="1" applyFont="1" applyFill="1" applyBorder="1" applyAlignment="1">
      <alignment horizontal="right"/>
    </xf>
    <xf numFmtId="3" fontId="7" fillId="0" borderId="46" xfId="0" applyNumberFormat="1" applyFont="1" applyBorder="1"/>
    <xf numFmtId="49" fontId="5" fillId="0" borderId="24" xfId="0" applyNumberFormat="1" applyFont="1" applyFill="1" applyBorder="1" applyAlignment="1">
      <alignment horizontal="left"/>
    </xf>
    <xf numFmtId="0" fontId="5" fillId="0" borderId="24" xfId="0" applyFont="1" applyFill="1" applyBorder="1"/>
    <xf numFmtId="49" fontId="5" fillId="0" borderId="32" xfId="0" applyNumberFormat="1" applyFont="1" applyBorder="1" applyAlignment="1">
      <alignment horizontal="right"/>
    </xf>
    <xf numFmtId="0" fontId="5" fillId="0" borderId="24" xfId="0" applyFont="1" applyBorder="1"/>
    <xf numFmtId="0" fontId="2" fillId="0" borderId="36" xfId="0" applyFont="1" applyBorder="1"/>
    <xf numFmtId="0" fontId="2" fillId="0" borderId="22" xfId="0" applyFont="1" applyFill="1" applyBorder="1"/>
    <xf numFmtId="3" fontId="4" fillId="0" borderId="42" xfId="0" applyNumberFormat="1" applyFont="1" applyFill="1" applyBorder="1" applyAlignment="1">
      <alignment horizontal="right"/>
    </xf>
    <xf numFmtId="3" fontId="4" fillId="0" borderId="6" xfId="0" applyNumberFormat="1" applyFont="1" applyBorder="1" applyAlignment="1">
      <alignment horizontal="right"/>
    </xf>
    <xf numFmtId="3" fontId="3" fillId="5" borderId="51" xfId="0" applyNumberFormat="1" applyFont="1" applyFill="1" applyBorder="1" applyAlignment="1">
      <alignment horizontal="right"/>
    </xf>
    <xf numFmtId="3" fontId="3" fillId="5" borderId="13" xfId="0" applyNumberFormat="1" applyFont="1" applyFill="1" applyBorder="1" applyAlignment="1">
      <alignment horizontal="right"/>
    </xf>
    <xf numFmtId="3" fontId="3" fillId="5" borderId="7" xfId="0" applyNumberFormat="1" applyFont="1" applyFill="1" applyBorder="1" applyAlignment="1">
      <alignment horizontal="right"/>
    </xf>
    <xf numFmtId="0" fontId="4" fillId="0" borderId="7" xfId="0" applyFont="1" applyFill="1" applyBorder="1"/>
    <xf numFmtId="0" fontId="4" fillId="0" borderId="15" xfId="0" applyFont="1" applyBorder="1"/>
    <xf numFmtId="49" fontId="5" fillId="0" borderId="36" xfId="0" applyNumberFormat="1" applyFont="1" applyFill="1" applyBorder="1" applyAlignment="1">
      <alignment horizontal="right"/>
    </xf>
    <xf numFmtId="49" fontId="5" fillId="0" borderId="39" xfId="0" applyNumberFormat="1" applyFont="1" applyFill="1" applyBorder="1" applyAlignment="1">
      <alignment horizontal="left"/>
    </xf>
    <xf numFmtId="0" fontId="5" fillId="0" borderId="11" xfId="0" applyFont="1" applyBorder="1"/>
    <xf numFmtId="0" fontId="10" fillId="12" borderId="7" xfId="0" applyFont="1" applyFill="1" applyBorder="1" applyAlignment="1">
      <alignment horizontal="left"/>
    </xf>
    <xf numFmtId="0" fontId="10" fillId="12" borderId="8" xfId="0" applyFont="1" applyFill="1" applyBorder="1" applyAlignment="1">
      <alignment horizontal="left"/>
    </xf>
    <xf numFmtId="3" fontId="10" fillId="12" borderId="9" xfId="0" applyNumberFormat="1" applyFont="1" applyFill="1" applyBorder="1" applyAlignment="1">
      <alignment horizontal="right"/>
    </xf>
    <xf numFmtId="0" fontId="8" fillId="0" borderId="38" xfId="0" applyFont="1" applyFill="1" applyBorder="1"/>
    <xf numFmtId="3" fontId="11" fillId="4" borderId="42" xfId="0" applyNumberFormat="1" applyFont="1" applyFill="1" applyBorder="1" applyAlignment="1">
      <alignment horizontal="right"/>
    </xf>
    <xf numFmtId="0" fontId="6" fillId="4" borderId="56" xfId="0" applyFont="1" applyFill="1" applyBorder="1" applyAlignment="1">
      <alignment horizontal="left"/>
    </xf>
    <xf numFmtId="3" fontId="11" fillId="4" borderId="5" xfId="0" applyNumberFormat="1" applyFont="1" applyFill="1" applyBorder="1" applyAlignment="1">
      <alignment horizontal="right"/>
    </xf>
    <xf numFmtId="3" fontId="6" fillId="4" borderId="27" xfId="0" applyNumberFormat="1" applyFont="1" applyFill="1" applyBorder="1" applyAlignment="1">
      <alignment horizontal="right"/>
    </xf>
    <xf numFmtId="3" fontId="6" fillId="4" borderId="6" xfId="0" applyNumberFormat="1" applyFont="1" applyFill="1" applyBorder="1" applyAlignment="1">
      <alignment horizontal="right"/>
    </xf>
    <xf numFmtId="3" fontId="4" fillId="0" borderId="53" xfId="0" applyNumberFormat="1" applyFont="1" applyBorder="1" applyAlignment="1"/>
    <xf numFmtId="3" fontId="4" fillId="0" borderId="16" xfId="0" applyNumberFormat="1" applyFont="1" applyBorder="1" applyAlignment="1"/>
    <xf numFmtId="3" fontId="4" fillId="0" borderId="16" xfId="0" applyNumberFormat="1" applyFont="1" applyFill="1" applyBorder="1" applyAlignment="1"/>
    <xf numFmtId="0" fontId="14" fillId="0" borderId="24" xfId="0" applyFont="1" applyFill="1" applyBorder="1"/>
    <xf numFmtId="0" fontId="2" fillId="13" borderId="1" xfId="0" applyFont="1" applyFill="1" applyBorder="1"/>
    <xf numFmtId="0" fontId="2" fillId="13" borderId="11" xfId="0" applyFont="1" applyFill="1" applyBorder="1"/>
    <xf numFmtId="3" fontId="7" fillId="13" borderId="13" xfId="0" applyNumberFormat="1" applyFont="1" applyFill="1" applyBorder="1" applyAlignment="1">
      <alignment horizontal="right"/>
    </xf>
    <xf numFmtId="0" fontId="2" fillId="0" borderId="46" xfId="0" applyFont="1" applyFill="1" applyBorder="1"/>
    <xf numFmtId="3" fontId="0" fillId="0" borderId="0" xfId="0" applyNumberFormat="1"/>
    <xf numFmtId="0" fontId="0" fillId="0" borderId="16" xfId="0" applyBorder="1"/>
    <xf numFmtId="3" fontId="5" fillId="14" borderId="23" xfId="0" applyNumberFormat="1" applyFont="1" applyFill="1" applyBorder="1" applyAlignment="1"/>
    <xf numFmtId="0" fontId="25" fillId="0" borderId="0" xfId="0" applyFont="1"/>
    <xf numFmtId="0" fontId="26" fillId="15" borderId="16" xfId="0" applyFont="1" applyFill="1" applyBorder="1" applyAlignment="1">
      <alignment horizontal="center" vertical="center"/>
    </xf>
    <xf numFmtId="3" fontId="26" fillId="15" borderId="16" xfId="0" applyNumberFormat="1" applyFont="1" applyFill="1" applyBorder="1" applyAlignment="1">
      <alignment horizontal="center" vertical="center" wrapText="1"/>
    </xf>
    <xf numFmtId="3" fontId="26" fillId="15" borderId="16" xfId="0" applyNumberFormat="1" applyFont="1" applyFill="1" applyBorder="1" applyAlignment="1">
      <alignment horizontal="center" vertical="center"/>
    </xf>
    <xf numFmtId="3" fontId="27" fillId="16" borderId="16" xfId="0" applyNumberFormat="1" applyFont="1" applyFill="1" applyBorder="1" applyAlignment="1">
      <alignment horizontal="center" vertical="center"/>
    </xf>
    <xf numFmtId="49" fontId="5" fillId="0" borderId="19" xfId="0" applyNumberFormat="1" applyFont="1" applyFill="1" applyBorder="1" applyAlignment="1">
      <alignment horizontal="right"/>
    </xf>
    <xf numFmtId="0" fontId="5" fillId="0" borderId="19" xfId="0" applyFont="1" applyBorder="1"/>
    <xf numFmtId="3" fontId="29" fillId="16" borderId="19" xfId="0" applyNumberFormat="1" applyFont="1" applyFill="1" applyBorder="1"/>
    <xf numFmtId="3" fontId="30" fillId="0" borderId="0" xfId="0" applyNumberFormat="1" applyFont="1"/>
    <xf numFmtId="0" fontId="28" fillId="0" borderId="14" xfId="0" applyFont="1" applyBorder="1"/>
    <xf numFmtId="0" fontId="28" fillId="0" borderId="15" xfId="0" applyFont="1" applyBorder="1"/>
    <xf numFmtId="0" fontId="28" fillId="0" borderId="9" xfId="0" applyFont="1" applyBorder="1"/>
    <xf numFmtId="49" fontId="5" fillId="0" borderId="23" xfId="0" applyNumberFormat="1" applyFont="1" applyFill="1" applyBorder="1" applyAlignment="1">
      <alignment horizontal="right"/>
    </xf>
    <xf numFmtId="0" fontId="0" fillId="0" borderId="65" xfId="0" applyFont="1" applyFill="1" applyBorder="1"/>
    <xf numFmtId="0" fontId="31" fillId="0" borderId="21" xfId="0" applyFont="1" applyBorder="1"/>
    <xf numFmtId="3" fontId="32" fillId="0" borderId="22" xfId="0" applyNumberFormat="1" applyFont="1" applyFill="1" applyBorder="1" applyAlignment="1">
      <alignment horizontal="right"/>
    </xf>
    <xf numFmtId="43" fontId="28" fillId="0" borderId="24" xfId="1" applyNumberFormat="1" applyFont="1" applyBorder="1"/>
    <xf numFmtId="49" fontId="5" fillId="0" borderId="30" xfId="0" applyNumberFormat="1" applyFont="1" applyFill="1" applyBorder="1" applyAlignment="1">
      <alignment horizontal="right"/>
    </xf>
    <xf numFmtId="0" fontId="5" fillId="0" borderId="5" xfId="0" applyFont="1" applyBorder="1"/>
    <xf numFmtId="3" fontId="0" fillId="0" borderId="30" xfId="0" applyNumberFormat="1" applyFill="1" applyBorder="1"/>
    <xf numFmtId="3" fontId="29" fillId="16" borderId="30" xfId="0" applyNumberFormat="1" applyFont="1" applyFill="1" applyBorder="1"/>
    <xf numFmtId="0" fontId="31" fillId="0" borderId="21" xfId="0" applyFont="1" applyFill="1" applyBorder="1"/>
    <xf numFmtId="3" fontId="29" fillId="16" borderId="23" xfId="0" applyNumberFormat="1" applyFont="1" applyFill="1" applyBorder="1"/>
    <xf numFmtId="49" fontId="5" fillId="0" borderId="53" xfId="0" applyNumberFormat="1" applyFont="1" applyFill="1" applyBorder="1" applyAlignment="1">
      <alignment horizontal="right"/>
    </xf>
    <xf numFmtId="49" fontId="5" fillId="0" borderId="27" xfId="0" applyNumberFormat="1" applyFont="1" applyFill="1" applyBorder="1" applyAlignment="1">
      <alignment horizontal="right"/>
    </xf>
    <xf numFmtId="3" fontId="5" fillId="17" borderId="27" xfId="0" applyNumberFormat="1" applyFont="1" applyFill="1" applyBorder="1" applyAlignment="1"/>
    <xf numFmtId="3" fontId="29" fillId="16" borderId="27" xfId="0" applyNumberFormat="1" applyFont="1" applyFill="1" applyBorder="1"/>
    <xf numFmtId="3" fontId="31" fillId="0" borderId="22" xfId="0" applyNumberFormat="1" applyFont="1" applyFill="1" applyBorder="1" applyAlignment="1">
      <alignment horizontal="right"/>
    </xf>
    <xf numFmtId="164" fontId="28" fillId="0" borderId="24" xfId="1" applyNumberFormat="1" applyFont="1" applyBorder="1"/>
    <xf numFmtId="49" fontId="5" fillId="14" borderId="23" xfId="0" applyNumberFormat="1" applyFont="1" applyFill="1" applyBorder="1" applyAlignment="1">
      <alignment horizontal="right"/>
    </xf>
    <xf numFmtId="49" fontId="5" fillId="14" borderId="23" xfId="0" applyNumberFormat="1" applyFont="1" applyFill="1" applyBorder="1" applyAlignment="1">
      <alignment horizontal="left"/>
    </xf>
    <xf numFmtId="0" fontId="0" fillId="14" borderId="0" xfId="0" applyFill="1"/>
    <xf numFmtId="49" fontId="5" fillId="0" borderId="58" xfId="0" applyNumberFormat="1" applyFont="1" applyFill="1" applyBorder="1" applyAlignment="1">
      <alignment horizontal="right"/>
    </xf>
    <xf numFmtId="49" fontId="5" fillId="0" borderId="23" xfId="0" applyNumberFormat="1" applyFont="1" applyFill="1" applyBorder="1" applyAlignment="1">
      <alignment horizontal="left"/>
    </xf>
    <xf numFmtId="3" fontId="29" fillId="16" borderId="58" xfId="0" applyNumberFormat="1" applyFont="1" applyFill="1" applyBorder="1"/>
    <xf numFmtId="49" fontId="5" fillId="0" borderId="27" xfId="0" applyNumberFormat="1" applyFont="1" applyFill="1" applyBorder="1" applyAlignment="1">
      <alignment horizontal="left"/>
    </xf>
    <xf numFmtId="3" fontId="29" fillId="16" borderId="12" xfId="0" applyNumberFormat="1" applyFont="1" applyFill="1" applyBorder="1"/>
    <xf numFmtId="49" fontId="5" fillId="0" borderId="19" xfId="0" applyNumberFormat="1" applyFont="1" applyFill="1" applyBorder="1" applyAlignment="1">
      <alignment horizontal="left"/>
    </xf>
    <xf numFmtId="49" fontId="5" fillId="0" borderId="58" xfId="0" applyNumberFormat="1" applyFont="1" applyFill="1" applyBorder="1" applyAlignment="1">
      <alignment horizontal="left"/>
    </xf>
    <xf numFmtId="49" fontId="5" fillId="0" borderId="46" xfId="0" applyNumberFormat="1" applyFont="1" applyFill="1" applyBorder="1" applyAlignment="1">
      <alignment horizontal="left"/>
    </xf>
    <xf numFmtId="0" fontId="5" fillId="0" borderId="53" xfId="0" applyFont="1" applyFill="1" applyBorder="1"/>
    <xf numFmtId="0" fontId="5" fillId="0" borderId="11" xfId="0" applyFont="1" applyFill="1" applyBorder="1"/>
    <xf numFmtId="3" fontId="36" fillId="15" borderId="64" xfId="0" applyNumberFormat="1" applyFont="1" applyFill="1" applyBorder="1"/>
    <xf numFmtId="3" fontId="29" fillId="16" borderId="64" xfId="0" applyNumberFormat="1" applyFont="1" applyFill="1" applyBorder="1"/>
    <xf numFmtId="3" fontId="35" fillId="0" borderId="19" xfId="0" applyNumberFormat="1" applyFont="1" applyFill="1" applyBorder="1" applyAlignment="1"/>
    <xf numFmtId="0" fontId="5" fillId="0" borderId="20" xfId="0" applyFont="1" applyBorder="1"/>
    <xf numFmtId="3" fontId="0" fillId="0" borderId="19" xfId="0" applyNumberFormat="1" applyFill="1" applyBorder="1"/>
    <xf numFmtId="49" fontId="35" fillId="0" borderId="0" xfId="0" applyNumberFormat="1" applyFont="1" applyFill="1" applyBorder="1" applyAlignment="1">
      <alignment horizontal="center"/>
    </xf>
    <xf numFmtId="3" fontId="37" fillId="0" borderId="0" xfId="0" applyNumberFormat="1" applyFont="1" applyFill="1" applyBorder="1"/>
    <xf numFmtId="3" fontId="36" fillId="0" borderId="0" xfId="0" applyNumberFormat="1" applyFont="1" applyFill="1" applyBorder="1"/>
    <xf numFmtId="3" fontId="38" fillId="0" borderId="0" xfId="0" applyNumberFormat="1" applyFont="1"/>
    <xf numFmtId="3" fontId="12" fillId="0" borderId="0" xfId="0" applyNumberFormat="1" applyFont="1" applyFill="1" applyBorder="1"/>
    <xf numFmtId="3" fontId="30" fillId="0" borderId="0" xfId="0" applyNumberFormat="1" applyFont="1" applyFill="1"/>
    <xf numFmtId="0" fontId="0" fillId="0" borderId="0" xfId="0" applyFill="1"/>
    <xf numFmtId="3" fontId="39" fillId="0" borderId="48" xfId="0" applyNumberFormat="1" applyFont="1" applyBorder="1"/>
    <xf numFmtId="3" fontId="25" fillId="0" borderId="0" xfId="0" applyNumberFormat="1" applyFont="1"/>
    <xf numFmtId="3" fontId="40" fillId="0" borderId="0" xfId="0" applyNumberFormat="1" applyFont="1"/>
    <xf numFmtId="3" fontId="35" fillId="0" borderId="0" xfId="0" applyNumberFormat="1" applyFont="1"/>
    <xf numFmtId="0" fontId="25" fillId="0" borderId="0" xfId="0" applyFont="1" applyFill="1"/>
    <xf numFmtId="0" fontId="33" fillId="0" borderId="32" xfId="0" applyFont="1" applyFill="1" applyBorder="1"/>
    <xf numFmtId="3" fontId="33" fillId="0" borderId="33" xfId="0" applyNumberFormat="1" applyFont="1" applyFill="1" applyBorder="1" applyAlignment="1">
      <alignment horizontal="right"/>
    </xf>
    <xf numFmtId="43" fontId="28" fillId="0" borderId="31" xfId="1" applyNumberFormat="1" applyFont="1" applyFill="1" applyBorder="1"/>
    <xf numFmtId="0" fontId="28" fillId="14" borderId="14" xfId="0" applyFont="1" applyFill="1" applyBorder="1"/>
    <xf numFmtId="3" fontId="34" fillId="14" borderId="15" xfId="0" applyNumberFormat="1" applyFont="1" applyFill="1" applyBorder="1" applyAlignment="1">
      <alignment horizontal="right"/>
    </xf>
    <xf numFmtId="43" fontId="28" fillId="14" borderId="9" xfId="1" applyNumberFormat="1" applyFont="1" applyFill="1" applyBorder="1"/>
    <xf numFmtId="3" fontId="39" fillId="0" borderId="0" xfId="0" applyNumberFormat="1" applyFont="1" applyBorder="1"/>
    <xf numFmtId="49" fontId="5" fillId="0" borderId="16" xfId="0" applyNumberFormat="1" applyFont="1" applyFill="1" applyBorder="1" applyAlignment="1">
      <alignment horizontal="right"/>
    </xf>
    <xf numFmtId="0" fontId="5" fillId="0" borderId="16" xfId="0" applyFont="1" applyFill="1" applyBorder="1"/>
    <xf numFmtId="3" fontId="29" fillId="16" borderId="16" xfId="0" applyNumberFormat="1" applyFont="1" applyFill="1" applyBorder="1"/>
    <xf numFmtId="49" fontId="5" fillId="17" borderId="26" xfId="0" applyNumberFormat="1" applyFont="1" applyFill="1" applyBorder="1" applyAlignment="1">
      <alignment horizontal="left"/>
    </xf>
    <xf numFmtId="0" fontId="4" fillId="0" borderId="46" xfId="0" applyFont="1" applyBorder="1"/>
    <xf numFmtId="3" fontId="2" fillId="0" borderId="27" xfId="0" applyNumberFormat="1" applyFont="1" applyFill="1" applyBorder="1"/>
    <xf numFmtId="0" fontId="9" fillId="4" borderId="17" xfId="0" applyFont="1" applyFill="1" applyBorder="1"/>
    <xf numFmtId="0" fontId="9" fillId="4" borderId="18" xfId="0" applyFont="1" applyFill="1" applyBorder="1"/>
    <xf numFmtId="0" fontId="9" fillId="4" borderId="48" xfId="0" applyFont="1" applyFill="1" applyBorder="1"/>
    <xf numFmtId="3" fontId="9" fillId="4" borderId="19" xfId="0" applyNumberFormat="1" applyFont="1" applyFill="1" applyBorder="1"/>
    <xf numFmtId="3" fontId="9" fillId="4" borderId="66" xfId="0" applyNumberFormat="1" applyFont="1" applyFill="1" applyBorder="1"/>
    <xf numFmtId="3" fontId="9" fillId="4" borderId="20" xfId="0" applyNumberFormat="1" applyFont="1" applyFill="1" applyBorder="1"/>
    <xf numFmtId="3" fontId="2" fillId="0" borderId="68" xfId="0" applyNumberFormat="1" applyFont="1" applyFill="1" applyBorder="1"/>
    <xf numFmtId="0" fontId="3" fillId="3" borderId="3" xfId="0" applyFont="1" applyFill="1" applyBorder="1" applyAlignment="1">
      <alignment horizontal="center" vertical="center"/>
    </xf>
    <xf numFmtId="0" fontId="3" fillId="3" borderId="69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left"/>
    </xf>
    <xf numFmtId="0" fontId="3" fillId="2" borderId="8" xfId="0" applyFont="1" applyFill="1" applyBorder="1" applyAlignment="1">
      <alignment horizontal="left"/>
    </xf>
    <xf numFmtId="0" fontId="11" fillId="4" borderId="7" xfId="0" applyFont="1" applyFill="1" applyBorder="1" applyAlignment="1">
      <alignment horizontal="left"/>
    </xf>
    <xf numFmtId="0" fontId="11" fillId="4" borderId="43" xfId="0" applyFont="1" applyFill="1" applyBorder="1" applyAlignment="1">
      <alignment horizontal="left"/>
    </xf>
    <xf numFmtId="0" fontId="19" fillId="10" borderId="36" xfId="0" applyFont="1" applyFill="1" applyBorder="1" applyAlignment="1">
      <alignment horizontal="center"/>
    </xf>
    <xf numFmtId="0" fontId="19" fillId="10" borderId="62" xfId="0" applyFont="1" applyFill="1" applyBorder="1" applyAlignment="1">
      <alignment horizontal="center"/>
    </xf>
    <xf numFmtId="0" fontId="10" fillId="10" borderId="60" xfId="0" applyFont="1" applyFill="1" applyBorder="1" applyAlignment="1">
      <alignment horizontal="center"/>
    </xf>
    <xf numFmtId="0" fontId="10" fillId="10" borderId="63" xfId="0" applyFont="1" applyFill="1" applyBorder="1" applyAlignment="1">
      <alignment horizontal="center"/>
    </xf>
    <xf numFmtId="0" fontId="13" fillId="9" borderId="7" xfId="0" applyFont="1" applyFill="1" applyBorder="1" applyAlignment="1">
      <alignment horizontal="center"/>
    </xf>
    <xf numFmtId="0" fontId="13" fillId="9" borderId="43" xfId="0" applyFont="1" applyFill="1" applyBorder="1" applyAlignment="1">
      <alignment horizontal="center"/>
    </xf>
    <xf numFmtId="0" fontId="1" fillId="12" borderId="1" xfId="0" applyFont="1" applyFill="1" applyBorder="1" applyAlignment="1">
      <alignment horizontal="center"/>
    </xf>
    <xf numFmtId="0" fontId="1" fillId="12" borderId="2" xfId="0" applyFont="1" applyFill="1" applyBorder="1" applyAlignment="1">
      <alignment horizontal="center"/>
    </xf>
    <xf numFmtId="0" fontId="17" fillId="10" borderId="1" xfId="0" applyFont="1" applyFill="1" applyBorder="1" applyAlignment="1">
      <alignment horizontal="center"/>
    </xf>
    <xf numFmtId="0" fontId="17" fillId="10" borderId="2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 vertical="center"/>
    </xf>
    <xf numFmtId="0" fontId="3" fillId="3" borderId="64" xfId="0" applyFont="1" applyFill="1" applyBorder="1" applyAlignment="1">
      <alignment horizontal="center" vertical="center"/>
    </xf>
    <xf numFmtId="0" fontId="3" fillId="3" borderId="43" xfId="0" applyFont="1" applyFill="1" applyBorder="1" applyAlignment="1">
      <alignment horizontal="center" vertical="center"/>
    </xf>
    <xf numFmtId="49" fontId="3" fillId="8" borderId="7" xfId="0" applyNumberFormat="1" applyFont="1" applyFill="1" applyBorder="1" applyAlignment="1">
      <alignment horizontal="center"/>
    </xf>
    <xf numFmtId="49" fontId="3" fillId="8" borderId="8" xfId="0" applyNumberFormat="1" applyFont="1" applyFill="1" applyBorder="1" applyAlignment="1">
      <alignment horizontal="center"/>
    </xf>
    <xf numFmtId="0" fontId="1" fillId="9" borderId="1" xfId="0" applyFont="1" applyFill="1" applyBorder="1" applyAlignment="1">
      <alignment horizontal="center"/>
    </xf>
    <xf numFmtId="0" fontId="1" fillId="9" borderId="2" xfId="0" applyFont="1" applyFill="1" applyBorder="1" applyAlignment="1">
      <alignment horizontal="center"/>
    </xf>
    <xf numFmtId="0" fontId="3" fillId="5" borderId="7" xfId="0" applyFont="1" applyFill="1" applyBorder="1" applyAlignment="1"/>
    <xf numFmtId="0" fontId="2" fillId="0" borderId="8" xfId="0" applyFont="1" applyBorder="1" applyAlignment="1"/>
    <xf numFmtId="0" fontId="3" fillId="7" borderId="7" xfId="0" applyFont="1" applyFill="1" applyBorder="1" applyAlignment="1">
      <alignment horizontal="center"/>
    </xf>
    <xf numFmtId="0" fontId="3" fillId="7" borderId="8" xfId="0" applyFont="1" applyFill="1" applyBorder="1" applyAlignment="1">
      <alignment horizontal="center"/>
    </xf>
    <xf numFmtId="49" fontId="11" fillId="4" borderId="3" xfId="0" applyNumberFormat="1" applyFont="1" applyFill="1" applyBorder="1" applyAlignment="1">
      <alignment horizontal="center"/>
    </xf>
    <xf numFmtId="49" fontId="11" fillId="4" borderId="4" xfId="0" applyNumberFormat="1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5" borderId="2" xfId="0" applyFont="1" applyFill="1" applyBorder="1" applyAlignment="1">
      <alignment horizontal="center"/>
    </xf>
    <xf numFmtId="0" fontId="3" fillId="4" borderId="7" xfId="0" applyFont="1" applyFill="1" applyBorder="1" applyAlignment="1">
      <alignment horizontal="center"/>
    </xf>
    <xf numFmtId="0" fontId="3" fillId="4" borderId="43" xfId="0" applyFont="1" applyFill="1" applyBorder="1" applyAlignment="1">
      <alignment horizontal="center"/>
    </xf>
    <xf numFmtId="0" fontId="24" fillId="0" borderId="0" xfId="0" applyFont="1" applyAlignment="1">
      <alignment horizontal="center"/>
    </xf>
    <xf numFmtId="0" fontId="28" fillId="14" borderId="7" xfId="0" applyFont="1" applyFill="1" applyBorder="1" applyAlignment="1">
      <alignment horizontal="center"/>
    </xf>
    <xf numFmtId="0" fontId="28" fillId="14" borderId="8" xfId="0" applyFont="1" applyFill="1" applyBorder="1" applyAlignment="1">
      <alignment horizontal="center"/>
    </xf>
    <xf numFmtId="0" fontId="28" fillId="14" borderId="64" xfId="0" applyFont="1" applyFill="1" applyBorder="1" applyAlignment="1">
      <alignment horizontal="center"/>
    </xf>
    <xf numFmtId="49" fontId="35" fillId="15" borderId="7" xfId="0" applyNumberFormat="1" applyFont="1" applyFill="1" applyBorder="1" applyAlignment="1">
      <alignment horizontal="center"/>
    </xf>
    <xf numFmtId="49" fontId="35" fillId="15" borderId="64" xfId="0" applyNumberFormat="1" applyFont="1" applyFill="1" applyBorder="1" applyAlignment="1">
      <alignment horizontal="center"/>
    </xf>
  </cellXfs>
  <cellStyles count="2">
    <cellStyle name="Čiarka" xfId="1" builtinId="3"/>
    <cellStyle name="Normálne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275"/>
  <sheetViews>
    <sheetView tabSelected="1" zoomScale="91" zoomScaleNormal="91" workbookViewId="0">
      <selection sqref="A1:K1"/>
    </sheetView>
  </sheetViews>
  <sheetFormatPr defaultRowHeight="15" x14ac:dyDescent="0.25"/>
  <cols>
    <col min="1" max="1" width="6.42578125" customWidth="1"/>
    <col min="2" max="2" width="60.140625" customWidth="1"/>
    <col min="3" max="3" width="0.5703125" customWidth="1"/>
    <col min="4" max="4" width="12.42578125" customWidth="1"/>
    <col min="5" max="5" width="12.140625" customWidth="1"/>
    <col min="6" max="6" width="11.28515625" customWidth="1"/>
    <col min="7" max="7" width="12.5703125" customWidth="1"/>
    <col min="8" max="8" width="11.28515625" customWidth="1"/>
    <col min="9" max="9" width="12" customWidth="1"/>
    <col min="10" max="10" width="11.5703125" customWidth="1"/>
    <col min="11" max="11" width="12.85546875" customWidth="1"/>
  </cols>
  <sheetData>
    <row r="1" spans="1:20" ht="18.75" thickBot="1" x14ac:dyDescent="0.3">
      <c r="A1" s="548" t="s">
        <v>0</v>
      </c>
      <c r="B1" s="549"/>
      <c r="C1" s="549"/>
      <c r="D1" s="549"/>
      <c r="E1" s="549"/>
      <c r="F1" s="549"/>
      <c r="G1" s="549"/>
      <c r="H1" s="549"/>
      <c r="I1" s="549"/>
      <c r="J1" s="549"/>
      <c r="K1" s="549"/>
      <c r="L1" s="1"/>
    </row>
    <row r="2" spans="1:20" ht="46.5" customHeight="1" thickBot="1" x14ac:dyDescent="0.3">
      <c r="A2" s="546" t="s">
        <v>1</v>
      </c>
      <c r="B2" s="547"/>
      <c r="C2" s="414" t="s">
        <v>2</v>
      </c>
      <c r="D2" s="415" t="s">
        <v>3</v>
      </c>
      <c r="E2" s="415" t="s">
        <v>223</v>
      </c>
      <c r="F2" s="415" t="s">
        <v>253</v>
      </c>
      <c r="G2" s="415" t="s">
        <v>254</v>
      </c>
      <c r="H2" s="415" t="s">
        <v>334</v>
      </c>
      <c r="I2" s="416">
        <v>2022</v>
      </c>
      <c r="J2" s="416">
        <v>2023</v>
      </c>
      <c r="K2" s="416">
        <v>2024</v>
      </c>
      <c r="L2" s="1"/>
    </row>
    <row r="3" spans="1:20" ht="15.75" thickBot="1" x14ac:dyDescent="0.3">
      <c r="A3" s="550" t="s">
        <v>4</v>
      </c>
      <c r="B3" s="551"/>
      <c r="C3" s="355">
        <f t="shared" ref="C3:K3" si="0">SUM(C4:C10)</f>
        <v>1027468</v>
      </c>
      <c r="D3" s="2">
        <f t="shared" si="0"/>
        <v>1080198</v>
      </c>
      <c r="E3" s="2">
        <f t="shared" si="0"/>
        <v>1187235</v>
      </c>
      <c r="F3" s="2">
        <f t="shared" si="0"/>
        <v>1227590</v>
      </c>
      <c r="G3" s="2">
        <f t="shared" si="0"/>
        <v>1241080</v>
      </c>
      <c r="H3" s="2">
        <f t="shared" ref="H3" si="1">SUM(H4:H10)</f>
        <v>1210198</v>
      </c>
      <c r="I3" s="2">
        <f t="shared" si="0"/>
        <v>1289980</v>
      </c>
      <c r="J3" s="2">
        <f t="shared" si="0"/>
        <v>1311580</v>
      </c>
      <c r="K3" s="2">
        <f t="shared" si="0"/>
        <v>1338580</v>
      </c>
      <c r="L3" s="1"/>
    </row>
    <row r="4" spans="1:20" ht="15.75" thickBot="1" x14ac:dyDescent="0.3">
      <c r="A4" s="3">
        <v>111</v>
      </c>
      <c r="B4" s="124" t="s">
        <v>5</v>
      </c>
      <c r="C4" s="4">
        <v>972038</v>
      </c>
      <c r="D4" s="5">
        <v>1022504</v>
      </c>
      <c r="E4" s="6">
        <v>1127294</v>
      </c>
      <c r="F4" s="6">
        <v>1165143</v>
      </c>
      <c r="G4" s="6">
        <v>1158000</v>
      </c>
      <c r="H4" s="6">
        <v>1139118</v>
      </c>
      <c r="I4" s="6">
        <v>1214000</v>
      </c>
      <c r="J4" s="6">
        <f>1220000+15600</f>
        <v>1235600</v>
      </c>
      <c r="K4" s="6">
        <f>1250000+12600</f>
        <v>1262600</v>
      </c>
      <c r="L4" s="1"/>
    </row>
    <row r="5" spans="1:20" ht="15.75" thickBot="1" x14ac:dyDescent="0.3">
      <c r="A5" s="7">
        <v>121</v>
      </c>
      <c r="B5" s="351" t="s">
        <v>6</v>
      </c>
      <c r="C5" s="9">
        <v>31944</v>
      </c>
      <c r="D5" s="10">
        <v>32263</v>
      </c>
      <c r="E5" s="10">
        <v>32335</v>
      </c>
      <c r="F5" s="11">
        <v>34337</v>
      </c>
      <c r="G5" s="11">
        <f>36980+4000</f>
        <v>40980</v>
      </c>
      <c r="H5" s="11">
        <f t="shared" ref="H5" si="2">40980-4000</f>
        <v>36980</v>
      </c>
      <c r="I5" s="11">
        <v>40080</v>
      </c>
      <c r="J5" s="11">
        <v>40080</v>
      </c>
      <c r="K5" s="11">
        <v>40080</v>
      </c>
      <c r="L5" s="1"/>
    </row>
    <row r="6" spans="1:20" x14ac:dyDescent="0.25">
      <c r="A6" s="12">
        <v>133</v>
      </c>
      <c r="B6" s="352" t="s">
        <v>7</v>
      </c>
      <c r="C6" s="14">
        <v>894</v>
      </c>
      <c r="D6" s="15">
        <v>882</v>
      </c>
      <c r="E6" s="15">
        <v>837</v>
      </c>
      <c r="F6" s="16">
        <v>807</v>
      </c>
      <c r="G6" s="16">
        <f>1000+200</f>
        <v>1200</v>
      </c>
      <c r="H6" s="16">
        <v>1200</v>
      </c>
      <c r="I6" s="16">
        <v>1000</v>
      </c>
      <c r="J6" s="16">
        <v>1000</v>
      </c>
      <c r="K6" s="16">
        <v>1000</v>
      </c>
      <c r="L6" s="1"/>
    </row>
    <row r="7" spans="1:20" x14ac:dyDescent="0.25">
      <c r="A7" s="17">
        <v>133</v>
      </c>
      <c r="B7" s="353" t="s">
        <v>8</v>
      </c>
      <c r="C7" s="19">
        <v>280</v>
      </c>
      <c r="D7" s="20">
        <v>280</v>
      </c>
      <c r="E7" s="20">
        <v>520</v>
      </c>
      <c r="F7" s="21">
        <v>160</v>
      </c>
      <c r="G7" s="21">
        <v>400</v>
      </c>
      <c r="H7" s="21">
        <v>400</v>
      </c>
      <c r="I7" s="21">
        <v>400</v>
      </c>
      <c r="J7" s="21">
        <v>400</v>
      </c>
      <c r="K7" s="21">
        <v>400</v>
      </c>
      <c r="L7" s="1"/>
    </row>
    <row r="8" spans="1:20" x14ac:dyDescent="0.25">
      <c r="A8" s="17">
        <v>133</v>
      </c>
      <c r="B8" s="353" t="s">
        <v>9</v>
      </c>
      <c r="C8" s="19">
        <v>1454</v>
      </c>
      <c r="D8" s="20">
        <v>1587</v>
      </c>
      <c r="E8" s="20">
        <v>2465</v>
      </c>
      <c r="F8" s="21">
        <v>1486</v>
      </c>
      <c r="G8" s="21">
        <v>3000</v>
      </c>
      <c r="H8" s="21">
        <v>3000</v>
      </c>
      <c r="I8" s="21">
        <v>2000</v>
      </c>
      <c r="J8" s="21">
        <v>2000</v>
      </c>
      <c r="K8" s="21">
        <v>2000</v>
      </c>
      <c r="L8" s="1"/>
    </row>
    <row r="9" spans="1:20" x14ac:dyDescent="0.25">
      <c r="A9" s="17">
        <v>133</v>
      </c>
      <c r="B9" s="353" t="s">
        <v>10</v>
      </c>
      <c r="C9" s="19">
        <v>3624</v>
      </c>
      <c r="D9" s="20">
        <v>3468</v>
      </c>
      <c r="E9" s="20">
        <v>5114</v>
      </c>
      <c r="F9" s="21">
        <v>1386</v>
      </c>
      <c r="G9" s="21">
        <v>2500</v>
      </c>
      <c r="H9" s="21">
        <v>2500</v>
      </c>
      <c r="I9" s="21">
        <v>2500</v>
      </c>
      <c r="J9" s="21">
        <v>2500</v>
      </c>
      <c r="K9" s="21">
        <v>2500</v>
      </c>
      <c r="L9" s="1"/>
    </row>
    <row r="10" spans="1:20" ht="15.75" thickBot="1" x14ac:dyDescent="0.3">
      <c r="A10" s="22">
        <v>133</v>
      </c>
      <c r="B10" s="354" t="s">
        <v>11</v>
      </c>
      <c r="C10" s="24">
        <v>17234</v>
      </c>
      <c r="D10" s="25">
        <v>19214</v>
      </c>
      <c r="E10" s="26">
        <v>18670</v>
      </c>
      <c r="F10" s="26">
        <v>24271</v>
      </c>
      <c r="G10" s="26">
        <f>30000+5000</f>
        <v>35000</v>
      </c>
      <c r="H10" s="26">
        <f t="shared" ref="H10" si="3">35000-8000</f>
        <v>27000</v>
      </c>
      <c r="I10" s="26">
        <v>30000</v>
      </c>
      <c r="J10" s="26">
        <v>30000</v>
      </c>
      <c r="K10" s="26">
        <v>30000</v>
      </c>
      <c r="L10" s="27">
        <f>SUM(I6:I10)</f>
        <v>35900</v>
      </c>
    </row>
    <row r="11" spans="1:20" ht="15.75" thickBot="1" x14ac:dyDescent="0.3">
      <c r="A11" s="550" t="s">
        <v>12</v>
      </c>
      <c r="B11" s="551"/>
      <c r="C11" s="355">
        <f t="shared" ref="C11:K11" si="4">SUM(C12:C34)</f>
        <v>161813</v>
      </c>
      <c r="D11" s="355">
        <f t="shared" si="4"/>
        <v>218601</v>
      </c>
      <c r="E11" s="355">
        <f t="shared" si="4"/>
        <v>202091</v>
      </c>
      <c r="F11" s="355">
        <f t="shared" si="4"/>
        <v>130051</v>
      </c>
      <c r="G11" s="355">
        <f t="shared" si="4"/>
        <v>193181</v>
      </c>
      <c r="H11" s="355">
        <f t="shared" si="4"/>
        <v>188671</v>
      </c>
      <c r="I11" s="355">
        <f t="shared" si="4"/>
        <v>208158</v>
      </c>
      <c r="J11" s="355">
        <f t="shared" si="4"/>
        <v>207758</v>
      </c>
      <c r="K11" s="355">
        <f t="shared" si="4"/>
        <v>207758</v>
      </c>
      <c r="L11" s="1"/>
    </row>
    <row r="12" spans="1:20" x14ac:dyDescent="0.25">
      <c r="A12" s="28">
        <v>212</v>
      </c>
      <c r="B12" s="29" t="s">
        <v>13</v>
      </c>
      <c r="C12" s="30">
        <v>2027</v>
      </c>
      <c r="D12" s="31">
        <v>2117</v>
      </c>
      <c r="E12" s="32">
        <v>2105</v>
      </c>
      <c r="F12" s="32">
        <v>1874</v>
      </c>
      <c r="G12" s="32">
        <v>2174</v>
      </c>
      <c r="H12" s="32">
        <v>2174</v>
      </c>
      <c r="I12" s="32">
        <v>1893</v>
      </c>
      <c r="J12" s="32">
        <v>1593</v>
      </c>
      <c r="K12" s="32">
        <v>1593</v>
      </c>
      <c r="L12" s="1"/>
    </row>
    <row r="13" spans="1:20" x14ac:dyDescent="0.25">
      <c r="A13" s="12">
        <v>212</v>
      </c>
      <c r="B13" s="13" t="s">
        <v>14</v>
      </c>
      <c r="C13" s="14">
        <v>189</v>
      </c>
      <c r="D13" s="15">
        <v>23970</v>
      </c>
      <c r="E13" s="16">
        <v>7680</v>
      </c>
      <c r="F13" s="16">
        <v>2530</v>
      </c>
      <c r="G13" s="16">
        <v>1000</v>
      </c>
      <c r="H13" s="16">
        <v>1500</v>
      </c>
      <c r="I13" s="16">
        <v>500</v>
      </c>
      <c r="J13" s="16">
        <v>500</v>
      </c>
      <c r="K13" s="16">
        <v>500</v>
      </c>
      <c r="L13" s="27"/>
    </row>
    <row r="14" spans="1:20" x14ac:dyDescent="0.25">
      <c r="A14" s="17">
        <v>212</v>
      </c>
      <c r="B14" s="18" t="s">
        <v>15</v>
      </c>
      <c r="C14" s="19">
        <v>3975</v>
      </c>
      <c r="D14" s="20">
        <v>3731</v>
      </c>
      <c r="E14" s="33">
        <v>3649</v>
      </c>
      <c r="F14" s="33">
        <v>3815</v>
      </c>
      <c r="G14" s="33">
        <v>3812</v>
      </c>
      <c r="H14" s="33">
        <v>3812</v>
      </c>
      <c r="I14" s="33">
        <v>3712</v>
      </c>
      <c r="J14" s="33">
        <v>3712</v>
      </c>
      <c r="K14" s="33">
        <v>3712</v>
      </c>
      <c r="L14" s="1"/>
    </row>
    <row r="15" spans="1:20" x14ac:dyDescent="0.25">
      <c r="A15" s="17">
        <v>212</v>
      </c>
      <c r="B15" s="18" t="s">
        <v>16</v>
      </c>
      <c r="C15" s="34">
        <v>17332</v>
      </c>
      <c r="D15" s="21">
        <v>17507</v>
      </c>
      <c r="E15" s="21">
        <v>17433</v>
      </c>
      <c r="F15" s="21">
        <v>15521</v>
      </c>
      <c r="G15" s="21">
        <v>16985</v>
      </c>
      <c r="H15" s="21">
        <f>16985+390+4000</f>
        <v>21375</v>
      </c>
      <c r="I15" s="21">
        <v>21393</v>
      </c>
      <c r="J15" s="21">
        <v>20993</v>
      </c>
      <c r="K15" s="21">
        <v>20993</v>
      </c>
      <c r="L15" s="27"/>
    </row>
    <row r="16" spans="1:20" ht="15.75" thickBot="1" x14ac:dyDescent="0.3">
      <c r="A16" s="35">
        <v>212</v>
      </c>
      <c r="B16" s="36" t="s">
        <v>17</v>
      </c>
      <c r="C16" s="37">
        <v>5</v>
      </c>
      <c r="D16" s="38">
        <v>400</v>
      </c>
      <c r="E16" s="39">
        <v>1280</v>
      </c>
      <c r="F16" s="39">
        <v>0</v>
      </c>
      <c r="G16" s="39">
        <v>0</v>
      </c>
      <c r="H16" s="39">
        <v>0</v>
      </c>
      <c r="I16" s="39">
        <v>0</v>
      </c>
      <c r="J16" s="39">
        <v>0</v>
      </c>
      <c r="K16" s="39">
        <v>0</v>
      </c>
      <c r="L16" s="464">
        <f>SUM(I12:I16)</f>
        <v>27498</v>
      </c>
      <c r="M16" s="464">
        <f t="shared" ref="M16:N16" si="5">SUM(J12:J16)</f>
        <v>26798</v>
      </c>
      <c r="N16" s="464">
        <f t="shared" si="5"/>
        <v>26798</v>
      </c>
      <c r="S16" s="27"/>
      <c r="T16" s="464"/>
    </row>
    <row r="17" spans="1:12" ht="15.75" thickBot="1" x14ac:dyDescent="0.3">
      <c r="A17" s="7">
        <v>221</v>
      </c>
      <c r="B17" s="8" t="s">
        <v>18</v>
      </c>
      <c r="C17" s="9">
        <v>4093</v>
      </c>
      <c r="D17" s="40">
        <v>4796</v>
      </c>
      <c r="E17" s="41">
        <v>5069</v>
      </c>
      <c r="F17" s="41">
        <v>3283</v>
      </c>
      <c r="G17" s="41">
        <v>5100</v>
      </c>
      <c r="H17" s="41">
        <v>5100</v>
      </c>
      <c r="I17" s="41">
        <v>5100</v>
      </c>
      <c r="J17" s="41">
        <v>5100</v>
      </c>
      <c r="K17" s="41">
        <v>5100</v>
      </c>
      <c r="L17" s="1"/>
    </row>
    <row r="18" spans="1:12" ht="15.75" thickBot="1" x14ac:dyDescent="0.3">
      <c r="A18" s="35">
        <v>222</v>
      </c>
      <c r="B18" s="36" t="s">
        <v>19</v>
      </c>
      <c r="C18" s="37">
        <v>0</v>
      </c>
      <c r="D18" s="38">
        <v>90</v>
      </c>
      <c r="E18" s="39">
        <v>400</v>
      </c>
      <c r="F18" s="39">
        <v>0</v>
      </c>
      <c r="G18" s="39">
        <v>0</v>
      </c>
      <c r="H18" s="39">
        <v>0</v>
      </c>
      <c r="I18" s="39">
        <v>0</v>
      </c>
      <c r="J18" s="39">
        <v>0</v>
      </c>
      <c r="K18" s="39">
        <v>0</v>
      </c>
      <c r="L18" s="1"/>
    </row>
    <row r="19" spans="1:12" x14ac:dyDescent="0.25">
      <c r="A19" s="12">
        <v>223</v>
      </c>
      <c r="B19" s="13" t="s">
        <v>20</v>
      </c>
      <c r="C19" s="14">
        <v>713</v>
      </c>
      <c r="D19" s="15">
        <v>671</v>
      </c>
      <c r="E19" s="16">
        <v>503</v>
      </c>
      <c r="F19" s="16">
        <v>143</v>
      </c>
      <c r="G19" s="16">
        <v>350</v>
      </c>
      <c r="H19" s="16">
        <v>550</v>
      </c>
      <c r="I19" s="16">
        <v>650</v>
      </c>
      <c r="J19" s="16">
        <v>650</v>
      </c>
      <c r="K19" s="16">
        <v>650</v>
      </c>
      <c r="L19" s="1"/>
    </row>
    <row r="20" spans="1:12" x14ac:dyDescent="0.25">
      <c r="A20" s="17">
        <v>223</v>
      </c>
      <c r="B20" s="18" t="s">
        <v>21</v>
      </c>
      <c r="C20" s="19">
        <v>16518</v>
      </c>
      <c r="D20" s="20">
        <v>17452</v>
      </c>
      <c r="E20" s="21">
        <v>15427</v>
      </c>
      <c r="F20" s="21">
        <v>15517</v>
      </c>
      <c r="G20" s="21">
        <v>22000</v>
      </c>
      <c r="H20" s="21">
        <v>22000</v>
      </c>
      <c r="I20" s="21">
        <f>19000+3000</f>
        <v>22000</v>
      </c>
      <c r="J20" s="21">
        <f t="shared" ref="J20:K20" si="6">19000+3000</f>
        <v>22000</v>
      </c>
      <c r="K20" s="21">
        <f t="shared" si="6"/>
        <v>22000</v>
      </c>
      <c r="L20" s="1"/>
    </row>
    <row r="21" spans="1:12" x14ac:dyDescent="0.25">
      <c r="A21" s="17">
        <v>223</v>
      </c>
      <c r="B21" s="18" t="s">
        <v>22</v>
      </c>
      <c r="C21" s="19">
        <v>0</v>
      </c>
      <c r="D21" s="20">
        <v>0</v>
      </c>
      <c r="E21" s="21">
        <v>0</v>
      </c>
      <c r="F21" s="21">
        <v>0</v>
      </c>
      <c r="G21" s="21">
        <v>100</v>
      </c>
      <c r="H21" s="21">
        <v>0</v>
      </c>
      <c r="I21" s="21">
        <v>50</v>
      </c>
      <c r="J21" s="21">
        <v>50</v>
      </c>
      <c r="K21" s="21">
        <v>50</v>
      </c>
      <c r="L21" s="1"/>
    </row>
    <row r="22" spans="1:12" x14ac:dyDescent="0.25">
      <c r="A22" s="17">
        <v>223</v>
      </c>
      <c r="B22" s="18" t="s">
        <v>23</v>
      </c>
      <c r="C22" s="19">
        <v>34491</v>
      </c>
      <c r="D22" s="20">
        <v>32466</v>
      </c>
      <c r="E22" s="21">
        <v>31823</v>
      </c>
      <c r="F22" s="21">
        <v>630</v>
      </c>
      <c r="G22" s="21">
        <v>15500</v>
      </c>
      <c r="H22" s="21">
        <v>500</v>
      </c>
      <c r="I22" s="21">
        <v>1500</v>
      </c>
      <c r="J22" s="21">
        <v>1500</v>
      </c>
      <c r="K22" s="21">
        <v>1500</v>
      </c>
      <c r="L22" s="1"/>
    </row>
    <row r="23" spans="1:12" x14ac:dyDescent="0.25">
      <c r="A23" s="17">
        <v>223</v>
      </c>
      <c r="B23" s="18" t="s">
        <v>24</v>
      </c>
      <c r="C23" s="19">
        <v>519</v>
      </c>
      <c r="D23" s="20">
        <v>342</v>
      </c>
      <c r="E23" s="21">
        <v>255</v>
      </c>
      <c r="F23" s="21">
        <v>257</v>
      </c>
      <c r="G23" s="21">
        <v>500</v>
      </c>
      <c r="H23" s="21">
        <v>1000</v>
      </c>
      <c r="I23" s="21">
        <v>1000</v>
      </c>
      <c r="J23" s="21">
        <v>1000</v>
      </c>
      <c r="K23" s="21">
        <v>1000</v>
      </c>
      <c r="L23" s="1"/>
    </row>
    <row r="24" spans="1:12" x14ac:dyDescent="0.25">
      <c r="A24" s="17">
        <v>223</v>
      </c>
      <c r="B24" s="18" t="s">
        <v>25</v>
      </c>
      <c r="C24" s="19">
        <v>5000</v>
      </c>
      <c r="D24" s="20">
        <v>1000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1"/>
    </row>
    <row r="25" spans="1:12" x14ac:dyDescent="0.25">
      <c r="A25" s="17">
        <v>223</v>
      </c>
      <c r="B25" s="18" t="s">
        <v>26</v>
      </c>
      <c r="C25" s="19">
        <v>490</v>
      </c>
      <c r="D25" s="20">
        <v>597</v>
      </c>
      <c r="E25" s="21">
        <v>913</v>
      </c>
      <c r="F25" s="21">
        <v>1080</v>
      </c>
      <c r="G25" s="21">
        <v>1200</v>
      </c>
      <c r="H25" s="21">
        <v>1200</v>
      </c>
      <c r="I25" s="21">
        <v>1000</v>
      </c>
      <c r="J25" s="21">
        <v>1000</v>
      </c>
      <c r="K25" s="21">
        <v>1000</v>
      </c>
      <c r="L25" s="1"/>
    </row>
    <row r="26" spans="1:12" x14ac:dyDescent="0.25">
      <c r="A26" s="17">
        <v>223</v>
      </c>
      <c r="B26" s="18" t="s">
        <v>27</v>
      </c>
      <c r="C26" s="19">
        <v>33709</v>
      </c>
      <c r="D26" s="20">
        <v>32850</v>
      </c>
      <c r="E26" s="21">
        <v>30304</v>
      </c>
      <c r="F26" s="21">
        <v>33431</v>
      </c>
      <c r="G26" s="21">
        <v>40000</v>
      </c>
      <c r="H26" s="21">
        <v>40000</v>
      </c>
      <c r="I26" s="21">
        <v>40000</v>
      </c>
      <c r="J26" s="21">
        <v>40000</v>
      </c>
      <c r="K26" s="21">
        <v>40000</v>
      </c>
      <c r="L26" s="1"/>
    </row>
    <row r="27" spans="1:12" x14ac:dyDescent="0.25">
      <c r="A27" s="17">
        <v>223</v>
      </c>
      <c r="B27" s="18" t="s">
        <v>28</v>
      </c>
      <c r="C27" s="19">
        <v>18990</v>
      </c>
      <c r="D27" s="20">
        <v>15782</v>
      </c>
      <c r="E27" s="21">
        <v>17085</v>
      </c>
      <c r="F27" s="21">
        <v>0</v>
      </c>
      <c r="G27" s="21">
        <v>0</v>
      </c>
      <c r="H27" s="21">
        <v>0</v>
      </c>
      <c r="I27" s="21">
        <v>0</v>
      </c>
      <c r="J27" s="21">
        <v>0</v>
      </c>
      <c r="K27" s="21">
        <v>0</v>
      </c>
      <c r="L27" s="1"/>
    </row>
    <row r="28" spans="1:12" x14ac:dyDescent="0.25">
      <c r="A28" s="17">
        <v>223</v>
      </c>
      <c r="B28" s="18" t="s">
        <v>29</v>
      </c>
      <c r="C28" s="19">
        <f>17009</f>
        <v>17009</v>
      </c>
      <c r="D28" s="20">
        <v>17553</v>
      </c>
      <c r="E28" s="21">
        <v>24783</v>
      </c>
      <c r="F28" s="21">
        <v>26360</v>
      </c>
      <c r="G28" s="21">
        <v>46600</v>
      </c>
      <c r="H28" s="21">
        <v>46600</v>
      </c>
      <c r="I28" s="21">
        <v>44100</v>
      </c>
      <c r="J28" s="21">
        <v>44100</v>
      </c>
      <c r="K28" s="21">
        <v>44100</v>
      </c>
      <c r="L28" s="1"/>
    </row>
    <row r="29" spans="1:12" x14ac:dyDescent="0.25">
      <c r="A29" s="17">
        <v>223</v>
      </c>
      <c r="B29" s="18" t="s">
        <v>30</v>
      </c>
      <c r="C29" s="19">
        <v>4</v>
      </c>
      <c r="D29" s="20">
        <v>87</v>
      </c>
      <c r="E29" s="21">
        <v>43</v>
      </c>
      <c r="F29" s="21">
        <v>27</v>
      </c>
      <c r="G29" s="21">
        <v>60</v>
      </c>
      <c r="H29" s="21">
        <v>60</v>
      </c>
      <c r="I29" s="21">
        <v>60</v>
      </c>
      <c r="J29" s="21">
        <v>60</v>
      </c>
      <c r="K29" s="21">
        <v>60</v>
      </c>
      <c r="L29" s="27"/>
    </row>
    <row r="30" spans="1:12" x14ac:dyDescent="0.25">
      <c r="A30" s="17">
        <v>223</v>
      </c>
      <c r="B30" s="18" t="s">
        <v>275</v>
      </c>
      <c r="C30" s="19"/>
      <c r="D30" s="20">
        <v>0</v>
      </c>
      <c r="E30" s="46">
        <v>0</v>
      </c>
      <c r="F30" s="46">
        <v>0</v>
      </c>
      <c r="G30" s="46">
        <v>0</v>
      </c>
      <c r="H30" s="21">
        <v>2000</v>
      </c>
      <c r="I30" s="21">
        <v>2000</v>
      </c>
      <c r="J30" s="21">
        <v>2000</v>
      </c>
      <c r="K30" s="21">
        <v>2000</v>
      </c>
      <c r="L30" s="27"/>
    </row>
    <row r="31" spans="1:12" x14ac:dyDescent="0.25">
      <c r="A31" s="17">
        <v>223</v>
      </c>
      <c r="B31" s="18" t="s">
        <v>31</v>
      </c>
      <c r="C31" s="19">
        <v>5175</v>
      </c>
      <c r="D31" s="20">
        <v>1650</v>
      </c>
      <c r="E31" s="46">
        <v>0</v>
      </c>
      <c r="F31" s="46">
        <v>0</v>
      </c>
      <c r="G31" s="46">
        <v>0</v>
      </c>
      <c r="H31" s="21">
        <v>0</v>
      </c>
      <c r="I31" s="21">
        <v>0</v>
      </c>
      <c r="J31" s="21">
        <v>0</v>
      </c>
      <c r="K31" s="21">
        <v>0</v>
      </c>
      <c r="L31" s="1"/>
    </row>
    <row r="32" spans="1:12" x14ac:dyDescent="0.25">
      <c r="A32" s="17">
        <v>223</v>
      </c>
      <c r="B32" s="18" t="s">
        <v>32</v>
      </c>
      <c r="C32" s="19">
        <v>1568</v>
      </c>
      <c r="D32" s="42">
        <v>45540</v>
      </c>
      <c r="E32" s="45">
        <v>2057</v>
      </c>
      <c r="F32" s="20">
        <v>1746</v>
      </c>
      <c r="G32" s="20">
        <v>2400</v>
      </c>
      <c r="H32" s="21">
        <v>2400</v>
      </c>
      <c r="I32" s="21">
        <v>2100</v>
      </c>
      <c r="J32" s="21">
        <v>2400</v>
      </c>
      <c r="K32" s="21">
        <v>2400</v>
      </c>
      <c r="L32" s="1"/>
    </row>
    <row r="33" spans="1:20" x14ac:dyDescent="0.25">
      <c r="A33" s="43">
        <v>223</v>
      </c>
      <c r="B33" s="44" t="s">
        <v>33</v>
      </c>
      <c r="C33" s="19">
        <v>0</v>
      </c>
      <c r="D33" s="45">
        <v>0</v>
      </c>
      <c r="E33" s="81">
        <v>41282</v>
      </c>
      <c r="F33" s="81">
        <v>23837</v>
      </c>
      <c r="G33" s="81">
        <v>35300</v>
      </c>
      <c r="H33" s="46">
        <v>38300</v>
      </c>
      <c r="I33" s="46">
        <v>61000</v>
      </c>
      <c r="J33" s="46">
        <v>61000</v>
      </c>
      <c r="K33" s="46">
        <v>61000</v>
      </c>
      <c r="L33" s="27"/>
    </row>
    <row r="34" spans="1:20" ht="15.75" thickBot="1" x14ac:dyDescent="0.3">
      <c r="A34" s="22">
        <v>223</v>
      </c>
      <c r="B34" s="23" t="s">
        <v>34</v>
      </c>
      <c r="C34" s="24">
        <v>6</v>
      </c>
      <c r="D34" s="47">
        <v>0</v>
      </c>
      <c r="E34" s="48">
        <v>0</v>
      </c>
      <c r="F34" s="48">
        <v>0</v>
      </c>
      <c r="G34" s="48">
        <v>100</v>
      </c>
      <c r="H34" s="48">
        <v>100</v>
      </c>
      <c r="I34" s="48">
        <v>100</v>
      </c>
      <c r="J34" s="48">
        <v>100</v>
      </c>
      <c r="K34" s="48">
        <v>100</v>
      </c>
      <c r="L34" s="27">
        <f>SUM(I19:I34)</f>
        <v>175560</v>
      </c>
      <c r="M34" s="27">
        <f t="shared" ref="M34:N34" si="7">SUM(J19:J34)</f>
        <v>175860</v>
      </c>
      <c r="N34" s="27">
        <f t="shared" si="7"/>
        <v>175860</v>
      </c>
      <c r="S34" s="464"/>
      <c r="T34" s="464"/>
    </row>
    <row r="35" spans="1:20" ht="15.75" thickBot="1" x14ac:dyDescent="0.3">
      <c r="A35" s="49" t="s">
        <v>35</v>
      </c>
      <c r="B35" s="50"/>
      <c r="C35" s="355">
        <f t="shared" ref="C35:K35" si="8">SUM(C36)</f>
        <v>363</v>
      </c>
      <c r="D35" s="356">
        <f t="shared" si="8"/>
        <v>258</v>
      </c>
      <c r="E35" s="2">
        <f t="shared" si="8"/>
        <v>396</v>
      </c>
      <c r="F35" s="2">
        <f t="shared" si="8"/>
        <v>52</v>
      </c>
      <c r="G35" s="2">
        <f t="shared" si="8"/>
        <v>70</v>
      </c>
      <c r="H35" s="2">
        <f t="shared" si="8"/>
        <v>70</v>
      </c>
      <c r="I35" s="2">
        <f t="shared" si="8"/>
        <v>50</v>
      </c>
      <c r="J35" s="2">
        <f t="shared" si="8"/>
        <v>50</v>
      </c>
      <c r="K35" s="2">
        <f t="shared" si="8"/>
        <v>50</v>
      </c>
      <c r="L35" s="1"/>
    </row>
    <row r="36" spans="1:20" ht="15.75" thickBot="1" x14ac:dyDescent="0.3">
      <c r="A36" s="51">
        <v>240</v>
      </c>
      <c r="B36" s="47" t="s">
        <v>36</v>
      </c>
      <c r="C36" s="358">
        <v>363</v>
      </c>
      <c r="D36" s="357">
        <v>258</v>
      </c>
      <c r="E36" s="38">
        <v>396</v>
      </c>
      <c r="F36" s="38">
        <v>52</v>
      </c>
      <c r="G36" s="38">
        <v>70</v>
      </c>
      <c r="H36" s="38">
        <v>70</v>
      </c>
      <c r="I36" s="38">
        <v>50</v>
      </c>
      <c r="J36" s="38">
        <v>50</v>
      </c>
      <c r="K36" s="38">
        <v>50</v>
      </c>
      <c r="L36" s="1"/>
    </row>
    <row r="37" spans="1:20" ht="15.75" thickBot="1" x14ac:dyDescent="0.3">
      <c r="A37" s="49" t="s">
        <v>37</v>
      </c>
      <c r="B37" s="50"/>
      <c r="C37" s="355">
        <f t="shared" ref="C37:K37" si="9">SUM(C38:C44)</f>
        <v>36541</v>
      </c>
      <c r="D37" s="355">
        <f t="shared" si="9"/>
        <v>32063</v>
      </c>
      <c r="E37" s="355">
        <f t="shared" si="9"/>
        <v>24990</v>
      </c>
      <c r="F37" s="355">
        <f t="shared" si="9"/>
        <v>28915</v>
      </c>
      <c r="G37" s="355">
        <f t="shared" si="9"/>
        <v>35158</v>
      </c>
      <c r="H37" s="355">
        <f t="shared" si="9"/>
        <v>54799</v>
      </c>
      <c r="I37" s="355">
        <f t="shared" si="9"/>
        <v>47400</v>
      </c>
      <c r="J37" s="355">
        <f t="shared" si="9"/>
        <v>45900</v>
      </c>
      <c r="K37" s="355">
        <f t="shared" si="9"/>
        <v>45900</v>
      </c>
      <c r="L37" s="1"/>
    </row>
    <row r="38" spans="1:20" x14ac:dyDescent="0.25">
      <c r="A38" s="52">
        <v>292</v>
      </c>
      <c r="B38" s="53" t="s">
        <v>38</v>
      </c>
      <c r="C38" s="54">
        <v>1054</v>
      </c>
      <c r="D38" s="55">
        <v>0</v>
      </c>
      <c r="E38" s="55">
        <v>0</v>
      </c>
      <c r="F38" s="55">
        <v>0</v>
      </c>
      <c r="G38" s="55">
        <v>0</v>
      </c>
      <c r="H38" s="55">
        <v>0</v>
      </c>
      <c r="I38" s="55">
        <v>0</v>
      </c>
      <c r="J38" s="55">
        <v>0</v>
      </c>
      <c r="K38" s="55">
        <v>0</v>
      </c>
      <c r="L38" s="1"/>
    </row>
    <row r="39" spans="1:20" x14ac:dyDescent="0.25">
      <c r="A39" s="52">
        <v>292</v>
      </c>
      <c r="B39" s="53" t="s">
        <v>39</v>
      </c>
      <c r="C39" s="54">
        <v>326</v>
      </c>
      <c r="D39" s="56">
        <v>279</v>
      </c>
      <c r="E39" s="55">
        <v>241</v>
      </c>
      <c r="F39" s="55">
        <v>247</v>
      </c>
      <c r="G39" s="55">
        <v>300</v>
      </c>
      <c r="H39" s="55">
        <v>300</v>
      </c>
      <c r="I39" s="55">
        <v>300</v>
      </c>
      <c r="J39" s="55">
        <v>300</v>
      </c>
      <c r="K39" s="55">
        <v>300</v>
      </c>
      <c r="L39" s="1"/>
    </row>
    <row r="40" spans="1:20" x14ac:dyDescent="0.25">
      <c r="A40" s="57">
        <v>292</v>
      </c>
      <c r="B40" s="58" t="s">
        <v>40</v>
      </c>
      <c r="C40" s="59">
        <v>1998</v>
      </c>
      <c r="D40" s="60">
        <v>3206</v>
      </c>
      <c r="E40" s="61">
        <v>2949</v>
      </c>
      <c r="F40" s="61">
        <v>441</v>
      </c>
      <c r="G40" s="61">
        <v>1000</v>
      </c>
      <c r="H40" s="61">
        <f t="shared" ref="H40" si="10">1000+10000</f>
        <v>11000</v>
      </c>
      <c r="I40" s="61">
        <v>5000</v>
      </c>
      <c r="J40" s="61">
        <v>5000</v>
      </c>
      <c r="K40" s="61">
        <v>5000</v>
      </c>
      <c r="L40" s="1"/>
    </row>
    <row r="41" spans="1:20" x14ac:dyDescent="0.25">
      <c r="A41" s="57">
        <v>292</v>
      </c>
      <c r="B41" s="58" t="s">
        <v>41</v>
      </c>
      <c r="C41" s="59">
        <v>16161</v>
      </c>
      <c r="D41" s="60">
        <v>7460</v>
      </c>
      <c r="E41" s="60">
        <v>308</v>
      </c>
      <c r="F41" s="60">
        <v>19</v>
      </c>
      <c r="G41" s="60">
        <v>500</v>
      </c>
      <c r="H41" s="60">
        <f>500</f>
        <v>500</v>
      </c>
      <c r="I41" s="60">
        <v>500</v>
      </c>
      <c r="J41" s="60">
        <v>500</v>
      </c>
      <c r="K41" s="60">
        <v>500</v>
      </c>
      <c r="L41" s="1"/>
    </row>
    <row r="42" spans="1:20" x14ac:dyDescent="0.25">
      <c r="A42" s="57">
        <v>292</v>
      </c>
      <c r="B42" s="18" t="s">
        <v>42</v>
      </c>
      <c r="C42" s="62">
        <v>210</v>
      </c>
      <c r="D42" s="63">
        <v>232</v>
      </c>
      <c r="E42" s="64">
        <v>252</v>
      </c>
      <c r="F42" s="64">
        <v>280</v>
      </c>
      <c r="G42" s="64">
        <v>300</v>
      </c>
      <c r="H42" s="64">
        <f t="shared" ref="H42" si="11">300+1</f>
        <v>301</v>
      </c>
      <c r="I42" s="64">
        <v>310</v>
      </c>
      <c r="J42" s="64">
        <v>310</v>
      </c>
      <c r="K42" s="64">
        <v>310</v>
      </c>
      <c r="L42" s="1"/>
    </row>
    <row r="43" spans="1:20" x14ac:dyDescent="0.25">
      <c r="A43" s="57">
        <v>292</v>
      </c>
      <c r="B43" s="58" t="s">
        <v>225</v>
      </c>
      <c r="C43" s="59">
        <f>16422-C42</f>
        <v>16212</v>
      </c>
      <c r="D43" s="61">
        <f>21118-D42</f>
        <v>20886</v>
      </c>
      <c r="E43" s="60">
        <v>21100</v>
      </c>
      <c r="F43" s="60">
        <v>27928</v>
      </c>
      <c r="G43" s="60">
        <v>33058</v>
      </c>
      <c r="H43" s="60">
        <v>42698</v>
      </c>
      <c r="I43" s="60">
        <f>41600-I42</f>
        <v>41290</v>
      </c>
      <c r="J43" s="60">
        <f>40100-J42</f>
        <v>39790</v>
      </c>
      <c r="K43" s="60">
        <f>40100-K42</f>
        <v>39790</v>
      </c>
      <c r="L43" s="1"/>
    </row>
    <row r="44" spans="1:20" ht="15.75" thickBot="1" x14ac:dyDescent="0.3">
      <c r="A44" s="57">
        <v>292</v>
      </c>
      <c r="B44" s="58" t="s">
        <v>43</v>
      </c>
      <c r="C44" s="59">
        <v>580</v>
      </c>
      <c r="D44" s="60">
        <v>0</v>
      </c>
      <c r="E44" s="60">
        <v>140</v>
      </c>
      <c r="F44" s="60">
        <v>0</v>
      </c>
      <c r="G44" s="60">
        <v>0</v>
      </c>
      <c r="H44" s="60">
        <v>0</v>
      </c>
      <c r="I44" s="60">
        <v>0</v>
      </c>
      <c r="J44" s="60">
        <v>0</v>
      </c>
      <c r="K44" s="60">
        <v>0</v>
      </c>
      <c r="L44" s="1"/>
    </row>
    <row r="45" spans="1:20" ht="15.75" thickBot="1" x14ac:dyDescent="0.3">
      <c r="A45" s="65" t="s">
        <v>44</v>
      </c>
      <c r="B45" s="359"/>
      <c r="C45" s="355">
        <f>SUM(C46:C81)</f>
        <v>548443</v>
      </c>
      <c r="D45" s="380">
        <f>SUM(D46:D81)</f>
        <v>573732</v>
      </c>
      <c r="E45" s="355">
        <f>SUM(E46:E81)</f>
        <v>688399</v>
      </c>
      <c r="F45" s="355">
        <f t="shared" ref="F45:K45" si="12">SUM(F46:F81)</f>
        <v>814828</v>
      </c>
      <c r="G45" s="355">
        <f t="shared" si="12"/>
        <v>749000</v>
      </c>
      <c r="H45" s="355">
        <f t="shared" si="12"/>
        <v>872475</v>
      </c>
      <c r="I45" s="355">
        <f t="shared" si="12"/>
        <v>686340</v>
      </c>
      <c r="J45" s="355">
        <f t="shared" si="12"/>
        <v>739690</v>
      </c>
      <c r="K45" s="355">
        <f t="shared" si="12"/>
        <v>747690</v>
      </c>
      <c r="L45" s="1"/>
    </row>
    <row r="46" spans="1:20" x14ac:dyDescent="0.25">
      <c r="A46" s="67">
        <v>311</v>
      </c>
      <c r="B46" s="360" t="s">
        <v>45</v>
      </c>
      <c r="C46" s="369">
        <v>2000</v>
      </c>
      <c r="D46" s="381">
        <v>8000</v>
      </c>
      <c r="E46" s="369">
        <v>3000</v>
      </c>
      <c r="F46" s="419">
        <v>0</v>
      </c>
      <c r="G46" s="68">
        <v>0</v>
      </c>
      <c r="H46" s="68">
        <v>0</v>
      </c>
      <c r="I46" s="68">
        <v>0</v>
      </c>
      <c r="J46" s="68">
        <v>0</v>
      </c>
      <c r="K46" s="68">
        <v>0</v>
      </c>
      <c r="L46" s="1"/>
    </row>
    <row r="47" spans="1:20" x14ac:dyDescent="0.25">
      <c r="A47" s="67">
        <v>311</v>
      </c>
      <c r="B47" s="360" t="s">
        <v>46</v>
      </c>
      <c r="C47" s="369">
        <v>0</v>
      </c>
      <c r="D47" s="381">
        <v>4840</v>
      </c>
      <c r="E47" s="369">
        <v>460</v>
      </c>
      <c r="F47" s="419">
        <v>0</v>
      </c>
      <c r="G47" s="68">
        <v>0</v>
      </c>
      <c r="H47" s="68">
        <v>0</v>
      </c>
      <c r="I47" s="68">
        <v>0</v>
      </c>
      <c r="J47" s="68">
        <v>0</v>
      </c>
      <c r="K47" s="68">
        <v>0</v>
      </c>
      <c r="L47" s="1"/>
    </row>
    <row r="48" spans="1:20" x14ac:dyDescent="0.25">
      <c r="A48" s="71">
        <v>312</v>
      </c>
      <c r="B48" s="76" t="s">
        <v>256</v>
      </c>
      <c r="C48" s="370"/>
      <c r="D48" s="381">
        <v>0</v>
      </c>
      <c r="E48" s="370">
        <v>0</v>
      </c>
      <c r="F48" s="420">
        <v>8895</v>
      </c>
      <c r="G48" s="70">
        <v>0</v>
      </c>
      <c r="H48" s="70">
        <v>0</v>
      </c>
      <c r="I48" s="70">
        <v>0</v>
      </c>
      <c r="J48" s="70">
        <v>0</v>
      </c>
      <c r="K48" s="70">
        <v>0</v>
      </c>
      <c r="L48" s="1"/>
    </row>
    <row r="49" spans="1:12" x14ac:dyDescent="0.25">
      <c r="A49" s="69">
        <v>312</v>
      </c>
      <c r="B49" s="360" t="s">
        <v>47</v>
      </c>
      <c r="C49" s="370">
        <v>0</v>
      </c>
      <c r="D49" s="382">
        <v>0</v>
      </c>
      <c r="E49" s="370">
        <v>6000</v>
      </c>
      <c r="F49" s="420">
        <v>0</v>
      </c>
      <c r="G49" s="70">
        <v>0</v>
      </c>
      <c r="H49" s="70">
        <v>0</v>
      </c>
      <c r="I49" s="70">
        <v>0</v>
      </c>
      <c r="J49" s="70">
        <v>0</v>
      </c>
      <c r="K49" s="70">
        <v>0</v>
      </c>
      <c r="L49" s="1"/>
    </row>
    <row r="50" spans="1:12" x14ac:dyDescent="0.25">
      <c r="A50" s="67">
        <v>312</v>
      </c>
      <c r="B50" s="360" t="s">
        <v>48</v>
      </c>
      <c r="C50" s="369">
        <v>0</v>
      </c>
      <c r="D50" s="383">
        <v>0</v>
      </c>
      <c r="E50" s="369">
        <v>5392</v>
      </c>
      <c r="F50" s="419">
        <v>0</v>
      </c>
      <c r="G50" s="68">
        <v>0</v>
      </c>
      <c r="H50" s="68">
        <v>0</v>
      </c>
      <c r="I50" s="68">
        <v>0</v>
      </c>
      <c r="J50" s="68">
        <v>0</v>
      </c>
      <c r="K50" s="68">
        <v>0</v>
      </c>
      <c r="L50" s="1"/>
    </row>
    <row r="51" spans="1:12" x14ac:dyDescent="0.25">
      <c r="A51" s="67">
        <v>312</v>
      </c>
      <c r="B51" s="360" t="s">
        <v>283</v>
      </c>
      <c r="C51" s="369">
        <v>2089</v>
      </c>
      <c r="D51" s="366">
        <v>2072</v>
      </c>
      <c r="E51" s="369">
        <v>6211</v>
      </c>
      <c r="F51" s="419">
        <v>3420</v>
      </c>
      <c r="G51" s="68">
        <v>4000</v>
      </c>
      <c r="H51" s="68">
        <v>0</v>
      </c>
      <c r="I51" s="68">
        <v>4000</v>
      </c>
      <c r="J51" s="68">
        <v>0</v>
      </c>
      <c r="K51" s="68">
        <v>8000</v>
      </c>
      <c r="L51" s="1"/>
    </row>
    <row r="52" spans="1:12" x14ac:dyDescent="0.25">
      <c r="A52" s="67">
        <v>312</v>
      </c>
      <c r="B52" s="360" t="s">
        <v>276</v>
      </c>
      <c r="C52" s="370"/>
      <c r="D52" s="366">
        <v>0</v>
      </c>
      <c r="E52" s="370">
        <v>0</v>
      </c>
      <c r="F52" s="420">
        <v>0</v>
      </c>
      <c r="G52" s="70">
        <v>0</v>
      </c>
      <c r="H52" s="70">
        <v>17600</v>
      </c>
      <c r="I52" s="70">
        <v>4750</v>
      </c>
      <c r="J52" s="70">
        <v>0</v>
      </c>
      <c r="K52" s="70">
        <v>0</v>
      </c>
      <c r="L52" s="1"/>
    </row>
    <row r="53" spans="1:12" x14ac:dyDescent="0.25">
      <c r="A53" s="69">
        <v>312</v>
      </c>
      <c r="B53" s="450" t="s">
        <v>277</v>
      </c>
      <c r="C53" s="370"/>
      <c r="D53" s="366">
        <v>0</v>
      </c>
      <c r="E53" s="370">
        <v>0</v>
      </c>
      <c r="F53" s="420">
        <v>0</v>
      </c>
      <c r="G53" s="70">
        <v>0</v>
      </c>
      <c r="H53" s="70">
        <v>78000</v>
      </c>
      <c r="I53" s="70">
        <v>2000</v>
      </c>
      <c r="J53" s="70">
        <v>0</v>
      </c>
      <c r="K53" s="70">
        <v>0</v>
      </c>
      <c r="L53" s="1"/>
    </row>
    <row r="54" spans="1:12" x14ac:dyDescent="0.25">
      <c r="A54" s="69">
        <v>312</v>
      </c>
      <c r="B54" s="360" t="s">
        <v>49</v>
      </c>
      <c r="C54" s="370"/>
      <c r="D54" s="366">
        <v>3500</v>
      </c>
      <c r="E54" s="370">
        <v>0</v>
      </c>
      <c r="F54" s="420">
        <v>0</v>
      </c>
      <c r="G54" s="70">
        <v>0</v>
      </c>
      <c r="H54" s="70">
        <v>0</v>
      </c>
      <c r="I54" s="70"/>
      <c r="J54" s="70"/>
      <c r="K54" s="70"/>
      <c r="L54" s="1"/>
    </row>
    <row r="55" spans="1:12" x14ac:dyDescent="0.25">
      <c r="A55" s="71">
        <v>312</v>
      </c>
      <c r="B55" s="353" t="s">
        <v>235</v>
      </c>
      <c r="C55" s="371">
        <v>5791</v>
      </c>
      <c r="D55" s="366">
        <v>2899</v>
      </c>
      <c r="E55" s="371">
        <v>27030</v>
      </c>
      <c r="F55" s="421">
        <v>39080</v>
      </c>
      <c r="G55" s="16">
        <v>34900</v>
      </c>
      <c r="H55" s="16">
        <v>34900</v>
      </c>
      <c r="I55" s="16">
        <v>7900</v>
      </c>
      <c r="J55" s="16">
        <v>7900</v>
      </c>
      <c r="K55" s="16">
        <v>7900</v>
      </c>
      <c r="L55" s="1"/>
    </row>
    <row r="56" spans="1:12" x14ac:dyDescent="0.25">
      <c r="A56" s="71">
        <v>312</v>
      </c>
      <c r="B56" s="353" t="s">
        <v>236</v>
      </c>
      <c r="C56" s="371">
        <v>645</v>
      </c>
      <c r="D56" s="366">
        <v>739</v>
      </c>
      <c r="E56" s="371">
        <v>227</v>
      </c>
      <c r="F56" s="421">
        <v>225</v>
      </c>
      <c r="G56" s="16">
        <v>320</v>
      </c>
      <c r="H56" s="16">
        <v>320</v>
      </c>
      <c r="I56" s="16">
        <v>150</v>
      </c>
      <c r="J56" s="16">
        <v>150</v>
      </c>
      <c r="K56" s="16">
        <v>150</v>
      </c>
      <c r="L56" s="1"/>
    </row>
    <row r="57" spans="1:12" x14ac:dyDescent="0.25">
      <c r="A57" s="71">
        <v>312</v>
      </c>
      <c r="B57" s="118" t="s">
        <v>51</v>
      </c>
      <c r="C57" s="372">
        <v>13737</v>
      </c>
      <c r="D57" s="366">
        <v>15058</v>
      </c>
      <c r="E57" s="14">
        <v>3305</v>
      </c>
      <c r="F57" s="422">
        <v>3082</v>
      </c>
      <c r="G57" s="73">
        <v>6280</v>
      </c>
      <c r="H57" s="73">
        <v>6280</v>
      </c>
      <c r="I57" s="73">
        <v>2950</v>
      </c>
      <c r="J57" s="73">
        <v>2950</v>
      </c>
      <c r="K57" s="73">
        <v>2950</v>
      </c>
      <c r="L57" s="1"/>
    </row>
    <row r="58" spans="1:12" x14ac:dyDescent="0.25">
      <c r="A58" s="71">
        <v>312</v>
      </c>
      <c r="B58" s="352" t="s">
        <v>228</v>
      </c>
      <c r="C58" s="372">
        <v>0</v>
      </c>
      <c r="D58" s="366">
        <v>0</v>
      </c>
      <c r="E58" s="14">
        <v>0</v>
      </c>
      <c r="F58" s="422">
        <v>18563</v>
      </c>
      <c r="G58" s="73">
        <v>0</v>
      </c>
      <c r="H58" s="73">
        <v>0</v>
      </c>
      <c r="I58" s="73">
        <v>0</v>
      </c>
      <c r="J58" s="73">
        <v>0</v>
      </c>
      <c r="K58" s="73">
        <v>0</v>
      </c>
      <c r="L58" s="27"/>
    </row>
    <row r="59" spans="1:12" x14ac:dyDescent="0.25">
      <c r="A59" s="71">
        <v>312</v>
      </c>
      <c r="B59" s="76" t="s">
        <v>257</v>
      </c>
      <c r="C59" s="372"/>
      <c r="D59" s="366">
        <v>0</v>
      </c>
      <c r="E59" s="14">
        <v>0</v>
      </c>
      <c r="F59" s="422">
        <v>12159</v>
      </c>
      <c r="G59" s="73">
        <v>0</v>
      </c>
      <c r="H59" s="73">
        <v>12200</v>
      </c>
      <c r="I59" s="73">
        <v>0</v>
      </c>
      <c r="J59" s="73">
        <v>0</v>
      </c>
      <c r="K59" s="73">
        <v>0</v>
      </c>
      <c r="L59" s="27"/>
    </row>
    <row r="60" spans="1:12" x14ac:dyDescent="0.25">
      <c r="A60" s="67">
        <v>312</v>
      </c>
      <c r="B60" s="360" t="s">
        <v>50</v>
      </c>
      <c r="C60" s="369">
        <v>0</v>
      </c>
      <c r="D60" s="384">
        <v>0</v>
      </c>
      <c r="E60" s="369">
        <v>300</v>
      </c>
      <c r="F60" s="419">
        <v>0</v>
      </c>
      <c r="G60" s="68">
        <v>0</v>
      </c>
      <c r="H60" s="68">
        <v>0</v>
      </c>
      <c r="I60" s="68">
        <v>0</v>
      </c>
      <c r="J60" s="68">
        <v>0</v>
      </c>
      <c r="K60" s="68">
        <v>0</v>
      </c>
      <c r="L60" s="1"/>
    </row>
    <row r="61" spans="1:12" x14ac:dyDescent="0.25">
      <c r="A61" s="71">
        <v>312</v>
      </c>
      <c r="B61" s="118" t="s">
        <v>52</v>
      </c>
      <c r="C61" s="372">
        <v>0</v>
      </c>
      <c r="D61" s="366">
        <v>0</v>
      </c>
      <c r="E61" s="14">
        <v>0</v>
      </c>
      <c r="F61" s="422">
        <v>3669</v>
      </c>
      <c r="G61" s="73">
        <v>0</v>
      </c>
      <c r="H61" s="73">
        <v>0</v>
      </c>
      <c r="I61" s="73">
        <v>0</v>
      </c>
      <c r="J61" s="73">
        <v>0</v>
      </c>
      <c r="K61" s="73">
        <v>0</v>
      </c>
      <c r="L61" s="1"/>
    </row>
    <row r="62" spans="1:12" x14ac:dyDescent="0.25">
      <c r="A62" s="71">
        <v>312</v>
      </c>
      <c r="B62" s="118" t="s">
        <v>53</v>
      </c>
      <c r="C62" s="372">
        <v>0</v>
      </c>
      <c r="D62" s="366">
        <v>0</v>
      </c>
      <c r="E62" s="14">
        <v>0</v>
      </c>
      <c r="F62" s="422">
        <v>0</v>
      </c>
      <c r="G62" s="73">
        <v>280</v>
      </c>
      <c r="H62" s="73">
        <v>280</v>
      </c>
      <c r="I62" s="73">
        <v>0</v>
      </c>
      <c r="J62" s="73">
        <v>0</v>
      </c>
      <c r="K62" s="73">
        <v>0</v>
      </c>
      <c r="L62" s="1"/>
    </row>
    <row r="63" spans="1:12" ht="15.75" thickBot="1" x14ac:dyDescent="0.3">
      <c r="A63" s="74">
        <v>312</v>
      </c>
      <c r="B63" s="82" t="s">
        <v>54</v>
      </c>
      <c r="C63" s="375">
        <v>0</v>
      </c>
      <c r="D63" s="430">
        <v>0</v>
      </c>
      <c r="E63" s="375">
        <v>30</v>
      </c>
      <c r="F63" s="424">
        <v>33</v>
      </c>
      <c r="G63" s="75">
        <v>1540</v>
      </c>
      <c r="H63" s="75">
        <v>1540</v>
      </c>
      <c r="I63" s="75">
        <v>40</v>
      </c>
      <c r="J63" s="75">
        <v>40</v>
      </c>
      <c r="K63" s="75">
        <v>40</v>
      </c>
      <c r="L63" s="27"/>
    </row>
    <row r="64" spans="1:12" ht="15.75" thickBot="1" x14ac:dyDescent="0.3">
      <c r="A64" s="349">
        <v>312</v>
      </c>
      <c r="B64" s="361" t="s">
        <v>226</v>
      </c>
      <c r="C64" s="373">
        <v>0</v>
      </c>
      <c r="D64" s="386">
        <v>0</v>
      </c>
      <c r="E64" s="373">
        <v>0</v>
      </c>
      <c r="F64" s="423">
        <v>4439</v>
      </c>
      <c r="G64" s="350">
        <v>0</v>
      </c>
      <c r="H64" s="350">
        <v>4030</v>
      </c>
      <c r="I64" s="350">
        <v>4100</v>
      </c>
      <c r="J64" s="350">
        <v>4100</v>
      </c>
      <c r="K64" s="350">
        <v>4100</v>
      </c>
      <c r="L64" s="27"/>
    </row>
    <row r="65" spans="1:13" x14ac:dyDescent="0.25">
      <c r="A65" s="71">
        <v>312</v>
      </c>
      <c r="B65" s="85" t="s">
        <v>55</v>
      </c>
      <c r="C65" s="372">
        <v>12616</v>
      </c>
      <c r="D65" s="366">
        <v>16521</v>
      </c>
      <c r="E65" s="371">
        <v>19278</v>
      </c>
      <c r="F65" s="16">
        <v>14249</v>
      </c>
      <c r="G65" s="16">
        <v>24400</v>
      </c>
      <c r="H65" s="16">
        <v>24400</v>
      </c>
      <c r="I65" s="16">
        <v>19100</v>
      </c>
      <c r="J65" s="16">
        <v>19100</v>
      </c>
      <c r="K65" s="16">
        <v>19100</v>
      </c>
      <c r="L65" s="1"/>
    </row>
    <row r="66" spans="1:13" x14ac:dyDescent="0.25">
      <c r="A66" s="71">
        <v>312</v>
      </c>
      <c r="B66" s="118" t="s">
        <v>56</v>
      </c>
      <c r="C66" s="372">
        <v>22490</v>
      </c>
      <c r="D66" s="366">
        <v>18300</v>
      </c>
      <c r="E66" s="371">
        <v>8700</v>
      </c>
      <c r="F66" s="15">
        <v>10200</v>
      </c>
      <c r="G66" s="15">
        <v>10200</v>
      </c>
      <c r="H66" s="16">
        <v>10200</v>
      </c>
      <c r="I66" s="16">
        <v>11000</v>
      </c>
      <c r="J66" s="16">
        <v>11000</v>
      </c>
      <c r="K66" s="16">
        <v>11000</v>
      </c>
      <c r="L66" s="1"/>
    </row>
    <row r="67" spans="1:13" ht="15.75" thickBot="1" x14ac:dyDescent="0.3">
      <c r="A67" s="77">
        <v>312</v>
      </c>
      <c r="B67" s="165" t="s">
        <v>57</v>
      </c>
      <c r="C67" s="374">
        <v>7511</v>
      </c>
      <c r="D67" s="387">
        <v>7851</v>
      </c>
      <c r="E67" s="392">
        <v>8430</v>
      </c>
      <c r="F67" s="79">
        <v>9770</v>
      </c>
      <c r="G67" s="79">
        <v>11800</v>
      </c>
      <c r="H67" s="79">
        <v>12300</v>
      </c>
      <c r="I67" s="79">
        <v>8600</v>
      </c>
      <c r="J67" s="79">
        <v>8600</v>
      </c>
      <c r="K67" s="79">
        <v>8600</v>
      </c>
      <c r="L67" s="27"/>
      <c r="M67" s="464"/>
    </row>
    <row r="68" spans="1:13" x14ac:dyDescent="0.25">
      <c r="A68" s="71">
        <v>312</v>
      </c>
      <c r="B68" s="85" t="s">
        <v>241</v>
      </c>
      <c r="C68" s="372">
        <v>2100</v>
      </c>
      <c r="D68" s="388">
        <v>2000</v>
      </c>
      <c r="E68" s="371">
        <v>3500</v>
      </c>
      <c r="F68" s="421">
        <v>0</v>
      </c>
      <c r="G68" s="16">
        <v>12000</v>
      </c>
      <c r="H68" s="16">
        <v>0</v>
      </c>
      <c r="I68" s="16"/>
      <c r="J68" s="16"/>
      <c r="K68" s="16"/>
      <c r="L68" s="1"/>
    </row>
    <row r="69" spans="1:13" x14ac:dyDescent="0.25">
      <c r="A69" s="71">
        <v>312</v>
      </c>
      <c r="B69" s="85" t="s">
        <v>58</v>
      </c>
      <c r="C69" s="372">
        <v>10000</v>
      </c>
      <c r="D69" s="389">
        <v>10000</v>
      </c>
      <c r="E69" s="371">
        <v>0</v>
      </c>
      <c r="F69" s="421">
        <v>0</v>
      </c>
      <c r="G69" s="16">
        <v>0</v>
      </c>
      <c r="H69" s="16">
        <v>0</v>
      </c>
      <c r="I69" s="16"/>
      <c r="J69" s="16"/>
      <c r="K69" s="16"/>
      <c r="L69" s="1"/>
    </row>
    <row r="70" spans="1:13" x14ac:dyDescent="0.25">
      <c r="A70" s="71">
        <v>312</v>
      </c>
      <c r="B70" s="118" t="s">
        <v>59</v>
      </c>
      <c r="C70" s="372">
        <v>1400</v>
      </c>
      <c r="D70" s="390">
        <v>1400</v>
      </c>
      <c r="E70" s="371">
        <v>3000</v>
      </c>
      <c r="F70" s="421">
        <v>0</v>
      </c>
      <c r="G70" s="16">
        <v>3000</v>
      </c>
      <c r="H70" s="16">
        <v>0</v>
      </c>
      <c r="I70" s="16"/>
      <c r="J70" s="16"/>
      <c r="K70" s="16"/>
      <c r="L70" s="1"/>
    </row>
    <row r="71" spans="1:13" ht="15.75" thickBot="1" x14ac:dyDescent="0.3">
      <c r="A71" s="74">
        <v>312</v>
      </c>
      <c r="B71" s="82" t="s">
        <v>60</v>
      </c>
      <c r="C71" s="375">
        <v>8000</v>
      </c>
      <c r="D71" s="365">
        <v>11300</v>
      </c>
      <c r="E71" s="375">
        <v>13785</v>
      </c>
      <c r="F71" s="424">
        <v>0</v>
      </c>
      <c r="G71" s="75">
        <v>0</v>
      </c>
      <c r="H71" s="75">
        <v>7000</v>
      </c>
      <c r="I71" s="75">
        <v>0</v>
      </c>
      <c r="J71" s="75">
        <v>0</v>
      </c>
      <c r="K71" s="75">
        <v>0</v>
      </c>
      <c r="L71" s="27"/>
    </row>
    <row r="72" spans="1:13" x14ac:dyDescent="0.25">
      <c r="A72" s="71">
        <v>312</v>
      </c>
      <c r="B72" s="352" t="s">
        <v>61</v>
      </c>
      <c r="C72" s="371">
        <v>3966</v>
      </c>
      <c r="D72" s="385">
        <v>4139</v>
      </c>
      <c r="E72" s="393">
        <v>4569</v>
      </c>
      <c r="F72" s="83">
        <v>4904</v>
      </c>
      <c r="G72" s="83">
        <v>4980</v>
      </c>
      <c r="H72" s="83">
        <v>4980</v>
      </c>
      <c r="I72" s="83">
        <v>5000</v>
      </c>
      <c r="J72" s="83">
        <v>5000</v>
      </c>
      <c r="K72" s="83">
        <v>5000</v>
      </c>
      <c r="L72" s="1"/>
    </row>
    <row r="73" spans="1:13" x14ac:dyDescent="0.25">
      <c r="A73" s="84">
        <v>312</v>
      </c>
      <c r="B73" s="362" t="s">
        <v>62</v>
      </c>
      <c r="C73" s="376">
        <v>3018</v>
      </c>
      <c r="D73" s="389">
        <v>3476</v>
      </c>
      <c r="E73" s="376">
        <v>3771</v>
      </c>
      <c r="F73" s="21">
        <v>4169</v>
      </c>
      <c r="G73" s="21">
        <v>4200</v>
      </c>
      <c r="H73" s="21">
        <v>3700</v>
      </c>
      <c r="I73" s="21">
        <v>3700</v>
      </c>
      <c r="J73" s="21">
        <v>3700</v>
      </c>
      <c r="K73" s="21">
        <v>3700</v>
      </c>
      <c r="L73" s="1"/>
    </row>
    <row r="74" spans="1:13" x14ac:dyDescent="0.25">
      <c r="A74" s="84">
        <v>312</v>
      </c>
      <c r="B74" s="363" t="s">
        <v>331</v>
      </c>
      <c r="C74" s="377">
        <v>2774</v>
      </c>
      <c r="D74" s="390">
        <v>2919</v>
      </c>
      <c r="E74" s="394">
        <v>2837</v>
      </c>
      <c r="F74" s="33">
        <v>3186</v>
      </c>
      <c r="G74" s="33">
        <v>3000</v>
      </c>
      <c r="H74" s="33">
        <v>5559</v>
      </c>
      <c r="I74" s="33">
        <v>3000</v>
      </c>
      <c r="J74" s="33">
        <v>3000</v>
      </c>
      <c r="K74" s="33">
        <v>3000</v>
      </c>
      <c r="L74" s="1"/>
    </row>
    <row r="75" spans="1:13" x14ac:dyDescent="0.25">
      <c r="A75" s="71">
        <v>312</v>
      </c>
      <c r="B75" s="118" t="s">
        <v>63</v>
      </c>
      <c r="C75" s="372">
        <v>12162</v>
      </c>
      <c r="D75" s="366">
        <v>12162</v>
      </c>
      <c r="E75" s="395">
        <v>50858</v>
      </c>
      <c r="F75" s="16">
        <v>84215</v>
      </c>
      <c r="G75" s="16">
        <v>46400</v>
      </c>
      <c r="H75" s="16">
        <v>46400</v>
      </c>
      <c r="I75" s="16">
        <f>89800-64300</f>
        <v>25500</v>
      </c>
      <c r="J75" s="16">
        <v>89800</v>
      </c>
      <c r="K75" s="16">
        <v>89800</v>
      </c>
      <c r="L75" s="1"/>
    </row>
    <row r="76" spans="1:13" x14ac:dyDescent="0.25">
      <c r="A76" s="71">
        <v>312</v>
      </c>
      <c r="B76" s="352" t="s">
        <v>227</v>
      </c>
      <c r="C76" s="372">
        <v>0</v>
      </c>
      <c r="D76" s="366">
        <v>0</v>
      </c>
      <c r="E76" s="395">
        <v>0</v>
      </c>
      <c r="F76" s="83">
        <v>4640</v>
      </c>
      <c r="G76" s="16">
        <v>5200</v>
      </c>
      <c r="H76" s="16">
        <v>5210</v>
      </c>
      <c r="I76" s="16">
        <v>0</v>
      </c>
      <c r="J76" s="16">
        <v>0</v>
      </c>
      <c r="K76" s="16">
        <v>0</v>
      </c>
      <c r="L76" s="1"/>
    </row>
    <row r="77" spans="1:13" ht="15.75" thickBot="1" x14ac:dyDescent="0.3">
      <c r="A77" s="77">
        <v>312</v>
      </c>
      <c r="B77" s="165" t="s">
        <v>64</v>
      </c>
      <c r="C77" s="374">
        <v>0</v>
      </c>
      <c r="D77" s="537"/>
      <c r="E77" s="538">
        <v>31104</v>
      </c>
      <c r="F77" s="79">
        <v>33696</v>
      </c>
      <c r="G77" s="79">
        <v>20000</v>
      </c>
      <c r="H77" s="79">
        <v>40390</v>
      </c>
      <c r="I77" s="79">
        <v>46400</v>
      </c>
      <c r="J77" s="79">
        <v>46400</v>
      </c>
      <c r="K77" s="79">
        <v>46400</v>
      </c>
      <c r="L77" s="27"/>
    </row>
    <row r="78" spans="1:13" x14ac:dyDescent="0.25">
      <c r="A78" s="71">
        <v>315</v>
      </c>
      <c r="B78" s="76" t="s">
        <v>59</v>
      </c>
      <c r="C78" s="372"/>
      <c r="D78" s="367">
        <v>0</v>
      </c>
      <c r="E78" s="395">
        <v>0</v>
      </c>
      <c r="F78" s="425">
        <v>3000</v>
      </c>
      <c r="G78" s="16">
        <v>0</v>
      </c>
      <c r="H78" s="16">
        <v>3000</v>
      </c>
      <c r="I78" s="16">
        <v>3000</v>
      </c>
      <c r="J78" s="16">
        <v>3000</v>
      </c>
      <c r="K78" s="16">
        <v>3000</v>
      </c>
      <c r="L78" s="27"/>
    </row>
    <row r="79" spans="1:13" ht="15.75" thickBot="1" x14ac:dyDescent="0.3">
      <c r="A79" s="77">
        <v>315</v>
      </c>
      <c r="B79" s="78" t="s">
        <v>330</v>
      </c>
      <c r="C79" s="374"/>
      <c r="D79" s="537">
        <v>0</v>
      </c>
      <c r="E79" s="538">
        <v>0</v>
      </c>
      <c r="F79" s="545">
        <v>0</v>
      </c>
      <c r="G79" s="79">
        <v>0</v>
      </c>
      <c r="H79" s="79">
        <v>100</v>
      </c>
      <c r="I79" s="79">
        <v>200</v>
      </c>
      <c r="J79" s="79">
        <v>0</v>
      </c>
      <c r="K79" s="79">
        <v>0</v>
      </c>
      <c r="L79" s="27"/>
    </row>
    <row r="80" spans="1:13" ht="15.75" x14ac:dyDescent="0.25">
      <c r="A80" s="539">
        <v>312</v>
      </c>
      <c r="B80" s="540" t="s">
        <v>258</v>
      </c>
      <c r="C80" s="372"/>
      <c r="D80" s="541">
        <v>0</v>
      </c>
      <c r="E80" s="542">
        <v>0</v>
      </c>
      <c r="F80" s="543">
        <v>38</v>
      </c>
      <c r="G80" s="544">
        <v>0</v>
      </c>
      <c r="H80" s="544">
        <v>0</v>
      </c>
      <c r="I80" s="544">
        <v>0</v>
      </c>
      <c r="J80" s="544">
        <v>0</v>
      </c>
      <c r="K80" s="544">
        <v>0</v>
      </c>
      <c r="L80" s="27"/>
    </row>
    <row r="81" spans="1:19" ht="16.5" thickBot="1" x14ac:dyDescent="0.3">
      <c r="A81" s="86">
        <v>312</v>
      </c>
      <c r="B81" s="87" t="s">
        <v>65</v>
      </c>
      <c r="C81" s="378">
        <v>438144</v>
      </c>
      <c r="D81" s="368">
        <v>446556</v>
      </c>
      <c r="E81" s="378">
        <v>486612</v>
      </c>
      <c r="F81" s="426">
        <v>549196</v>
      </c>
      <c r="G81" s="88">
        <v>556500</v>
      </c>
      <c r="H81" s="88">
        <v>554086</v>
      </c>
      <c r="I81" s="88">
        <v>534950</v>
      </c>
      <c r="J81" s="88">
        <v>534950</v>
      </c>
      <c r="K81" s="88">
        <v>534950</v>
      </c>
      <c r="L81" s="27">
        <f>SUM(I72:I81)</f>
        <v>621750</v>
      </c>
    </row>
    <row r="82" spans="1:19" ht="16.5" thickBot="1" x14ac:dyDescent="0.3">
      <c r="A82" s="89" t="s">
        <v>66</v>
      </c>
      <c r="B82" s="364"/>
      <c r="C82" s="379">
        <f t="shared" ref="C82:K82" si="13">SUM(C3+C11+C35+C37+C45)</f>
        <v>1774628</v>
      </c>
      <c r="D82" s="391">
        <f t="shared" si="13"/>
        <v>1904852</v>
      </c>
      <c r="E82" s="379">
        <f t="shared" si="13"/>
        <v>2103111</v>
      </c>
      <c r="F82" s="379">
        <f t="shared" si="13"/>
        <v>2201436</v>
      </c>
      <c r="G82" s="90">
        <f t="shared" si="13"/>
        <v>2218489</v>
      </c>
      <c r="H82" s="90">
        <f t="shared" si="13"/>
        <v>2326213</v>
      </c>
      <c r="I82" s="90">
        <f t="shared" si="13"/>
        <v>2231928</v>
      </c>
      <c r="J82" s="90">
        <f t="shared" si="13"/>
        <v>2304978</v>
      </c>
      <c r="K82" s="90">
        <f t="shared" si="13"/>
        <v>2339978</v>
      </c>
      <c r="L82" s="1"/>
    </row>
    <row r="83" spans="1:19" x14ac:dyDescent="0.25">
      <c r="A83" s="91" t="s">
        <v>67</v>
      </c>
      <c r="B83" s="92" t="s">
        <v>68</v>
      </c>
      <c r="C83" s="93">
        <v>5446</v>
      </c>
      <c r="D83" s="93">
        <v>7593</v>
      </c>
      <c r="E83" s="93">
        <v>7551</v>
      </c>
      <c r="F83" s="93">
        <v>355</v>
      </c>
      <c r="G83" s="93">
        <v>1450</v>
      </c>
      <c r="H83" s="93">
        <v>2364</v>
      </c>
      <c r="I83" s="93">
        <v>2450</v>
      </c>
      <c r="J83" s="93">
        <v>2450</v>
      </c>
      <c r="K83" s="93">
        <v>2450</v>
      </c>
      <c r="L83" s="1"/>
    </row>
    <row r="84" spans="1:19" x14ac:dyDescent="0.25">
      <c r="A84" s="94" t="s">
        <v>67</v>
      </c>
      <c r="B84" s="92" t="s">
        <v>69</v>
      </c>
      <c r="C84" s="95">
        <v>1300</v>
      </c>
      <c r="D84" s="95">
        <v>1300</v>
      </c>
      <c r="E84" s="95">
        <v>1308</v>
      </c>
      <c r="F84" s="95">
        <v>1250</v>
      </c>
      <c r="G84" s="95">
        <v>2000</v>
      </c>
      <c r="H84" s="95">
        <v>2000</v>
      </c>
      <c r="I84" s="95">
        <v>2000</v>
      </c>
      <c r="J84" s="95">
        <v>2000</v>
      </c>
      <c r="K84" s="95">
        <v>2000</v>
      </c>
      <c r="L84" s="1"/>
      <c r="M84" s="464">
        <f>SUM(E83:E84)</f>
        <v>8859</v>
      </c>
      <c r="N84" s="464">
        <f t="shared" ref="N84:R84" si="14">SUM(F83:F84)</f>
        <v>1605</v>
      </c>
      <c r="O84" s="464">
        <f t="shared" si="14"/>
        <v>3450</v>
      </c>
      <c r="P84" s="464">
        <f t="shared" si="14"/>
        <v>4364</v>
      </c>
      <c r="Q84" s="464">
        <f t="shared" si="14"/>
        <v>4450</v>
      </c>
      <c r="R84" s="464">
        <f t="shared" si="14"/>
        <v>4450</v>
      </c>
      <c r="S84" s="464">
        <f>SUM(K83:K84)</f>
        <v>4450</v>
      </c>
    </row>
    <row r="85" spans="1:19" ht="15.75" thickBot="1" x14ac:dyDescent="0.3">
      <c r="A85" s="96" t="s">
        <v>67</v>
      </c>
      <c r="B85" s="97" t="s">
        <v>70</v>
      </c>
      <c r="C85" s="98">
        <v>0</v>
      </c>
      <c r="D85" s="98">
        <v>0</v>
      </c>
      <c r="E85" s="98">
        <v>50402</v>
      </c>
      <c r="F85" s="98">
        <v>28608</v>
      </c>
      <c r="G85" s="98">
        <v>27000</v>
      </c>
      <c r="H85" s="98">
        <v>18903</v>
      </c>
      <c r="I85" s="98">
        <v>0</v>
      </c>
      <c r="J85" s="98">
        <v>0</v>
      </c>
      <c r="K85" s="98">
        <v>0</v>
      </c>
      <c r="L85" s="1"/>
    </row>
    <row r="86" spans="1:19" ht="15.75" thickBot="1" x14ac:dyDescent="0.3">
      <c r="A86" s="552" t="s">
        <v>71</v>
      </c>
      <c r="B86" s="553"/>
      <c r="C86" s="99">
        <f t="shared" ref="C86:D86" si="15">SUM(C83:C85)</f>
        <v>6746</v>
      </c>
      <c r="D86" s="99">
        <f t="shared" si="15"/>
        <v>8893</v>
      </c>
      <c r="E86" s="99">
        <f t="shared" ref="E86:K86" si="16">SUM(E83:E85)</f>
        <v>59261</v>
      </c>
      <c r="F86" s="99">
        <f t="shared" si="16"/>
        <v>30213</v>
      </c>
      <c r="G86" s="99">
        <f t="shared" si="16"/>
        <v>30450</v>
      </c>
      <c r="H86" s="99">
        <f t="shared" si="16"/>
        <v>23267</v>
      </c>
      <c r="I86" s="99">
        <f t="shared" si="16"/>
        <v>4450</v>
      </c>
      <c r="J86" s="99">
        <f t="shared" ref="J86" si="17">SUM(J83:J85)</f>
        <v>4450</v>
      </c>
      <c r="K86" s="99">
        <f t="shared" si="16"/>
        <v>4450</v>
      </c>
      <c r="L86" s="1"/>
    </row>
    <row r="87" spans="1:19" x14ac:dyDescent="0.25">
      <c r="A87" s="452" t="s">
        <v>67</v>
      </c>
      <c r="B87" s="244" t="s">
        <v>278</v>
      </c>
      <c r="C87" s="453"/>
      <c r="D87" s="247">
        <v>0</v>
      </c>
      <c r="E87" s="247">
        <v>0</v>
      </c>
      <c r="F87" s="247">
        <v>0</v>
      </c>
      <c r="G87" s="247">
        <v>0</v>
      </c>
      <c r="H87" s="247">
        <v>35982</v>
      </c>
      <c r="I87" s="247">
        <v>0</v>
      </c>
      <c r="J87" s="247">
        <v>0</v>
      </c>
      <c r="K87" s="247">
        <v>0</v>
      </c>
      <c r="L87" s="1"/>
    </row>
    <row r="88" spans="1:19" ht="15.75" thickBot="1" x14ac:dyDescent="0.3">
      <c r="A88" s="100" t="s">
        <v>67</v>
      </c>
      <c r="B88" s="101" t="s">
        <v>72</v>
      </c>
      <c r="C88" s="102">
        <v>4930</v>
      </c>
      <c r="D88" s="454">
        <v>10244</v>
      </c>
      <c r="E88" s="455">
        <v>11710</v>
      </c>
      <c r="F88" s="455">
        <v>11266</v>
      </c>
      <c r="G88" s="455">
        <v>13690</v>
      </c>
      <c r="H88" s="455">
        <v>11470</v>
      </c>
      <c r="I88" s="455">
        <v>11470</v>
      </c>
      <c r="J88" s="455">
        <v>11470</v>
      </c>
      <c r="K88" s="455">
        <v>11470</v>
      </c>
      <c r="L88" s="1"/>
    </row>
    <row r="89" spans="1:19" ht="15.75" thickBot="1" x14ac:dyDescent="0.3">
      <c r="A89" s="552" t="s">
        <v>279</v>
      </c>
      <c r="B89" s="553"/>
      <c r="C89" s="102"/>
      <c r="D89" s="451">
        <f>SUM(D87:D88)</f>
        <v>10244</v>
      </c>
      <c r="E89" s="451">
        <f t="shared" ref="E89:K89" si="18">SUM(E87:E88)</f>
        <v>11710</v>
      </c>
      <c r="F89" s="451">
        <f t="shared" si="18"/>
        <v>11266</v>
      </c>
      <c r="G89" s="451">
        <f t="shared" si="18"/>
        <v>13690</v>
      </c>
      <c r="H89" s="451">
        <f t="shared" si="18"/>
        <v>47452</v>
      </c>
      <c r="I89" s="451">
        <f t="shared" si="18"/>
        <v>11470</v>
      </c>
      <c r="J89" s="451">
        <f t="shared" si="18"/>
        <v>11470</v>
      </c>
      <c r="K89" s="451">
        <f t="shared" si="18"/>
        <v>11470</v>
      </c>
      <c r="L89" s="1"/>
    </row>
    <row r="90" spans="1:19" ht="16.5" thickBot="1" x14ac:dyDescent="0.3">
      <c r="A90" s="579" t="s">
        <v>73</v>
      </c>
      <c r="B90" s="580"/>
      <c r="C90" s="103">
        <f t="shared" ref="C90" si="19">C86+C88</f>
        <v>11676</v>
      </c>
      <c r="D90" s="103">
        <f>D86+D89</f>
        <v>19137</v>
      </c>
      <c r="E90" s="103">
        <f t="shared" ref="E90:K90" si="20">E86+E89</f>
        <v>70971</v>
      </c>
      <c r="F90" s="103">
        <f t="shared" si="20"/>
        <v>41479</v>
      </c>
      <c r="G90" s="103">
        <f t="shared" si="20"/>
        <v>44140</v>
      </c>
      <c r="H90" s="103">
        <f t="shared" si="20"/>
        <v>70719</v>
      </c>
      <c r="I90" s="103">
        <f t="shared" si="20"/>
        <v>15920</v>
      </c>
      <c r="J90" s="103">
        <f t="shared" si="20"/>
        <v>15920</v>
      </c>
      <c r="K90" s="103">
        <f t="shared" si="20"/>
        <v>15920</v>
      </c>
      <c r="L90" s="1"/>
    </row>
    <row r="91" spans="1:19" ht="16.5" thickBot="1" x14ac:dyDescent="0.3">
      <c r="A91" s="89" t="s">
        <v>74</v>
      </c>
      <c r="B91" s="66"/>
      <c r="C91" s="90">
        <f t="shared" ref="C91:K91" si="21">C82+C90</f>
        <v>1786304</v>
      </c>
      <c r="D91" s="90">
        <f t="shared" si="21"/>
        <v>1923989</v>
      </c>
      <c r="E91" s="90">
        <f t="shared" si="21"/>
        <v>2174082</v>
      </c>
      <c r="F91" s="90">
        <f t="shared" ref="F91" si="22">F82+F90</f>
        <v>2242915</v>
      </c>
      <c r="G91" s="90">
        <f t="shared" si="21"/>
        <v>2262629</v>
      </c>
      <c r="H91" s="90">
        <f t="shared" si="21"/>
        <v>2396932</v>
      </c>
      <c r="I91" s="90">
        <f t="shared" si="21"/>
        <v>2247848</v>
      </c>
      <c r="J91" s="90">
        <f t="shared" si="21"/>
        <v>2320898</v>
      </c>
      <c r="K91" s="90">
        <f t="shared" si="21"/>
        <v>2355898</v>
      </c>
      <c r="L91" s="1"/>
    </row>
    <row r="92" spans="1:19" x14ac:dyDescent="0.25">
      <c r="A92" s="1"/>
      <c r="B92" s="1"/>
      <c r="C92" s="1"/>
      <c r="D92" s="1"/>
      <c r="E92" s="104"/>
      <c r="F92" s="104"/>
      <c r="G92" s="104"/>
      <c r="H92" s="104"/>
      <c r="I92" s="104"/>
      <c r="J92" s="104"/>
      <c r="K92" s="104"/>
      <c r="L92" s="104"/>
    </row>
    <row r="93" spans="1:19" ht="15.75" x14ac:dyDescent="0.25">
      <c r="A93" s="105"/>
      <c r="B93" s="106"/>
      <c r="C93" s="106"/>
      <c r="D93" s="106"/>
      <c r="E93" s="107"/>
      <c r="F93" s="107"/>
      <c r="G93" s="107"/>
      <c r="H93" s="107"/>
      <c r="I93" s="107"/>
      <c r="J93" s="107"/>
      <c r="K93" s="107"/>
      <c r="L93" s="107"/>
    </row>
    <row r="94" spans="1:19" ht="18.75" thickBot="1" x14ac:dyDescent="0.3">
      <c r="A94" s="577" t="s">
        <v>75</v>
      </c>
      <c r="B94" s="578"/>
      <c r="C94" s="578"/>
      <c r="D94" s="578"/>
      <c r="E94" s="578"/>
      <c r="F94" s="578"/>
      <c r="G94" s="578"/>
      <c r="H94" s="578"/>
      <c r="I94" s="578"/>
      <c r="J94" s="578"/>
      <c r="K94" s="578"/>
      <c r="L94" s="1"/>
    </row>
    <row r="95" spans="1:19" ht="35.25" customHeight="1" thickBot="1" x14ac:dyDescent="0.3">
      <c r="A95" s="564" t="s">
        <v>1</v>
      </c>
      <c r="B95" s="565"/>
      <c r="C95" s="418" t="s">
        <v>2</v>
      </c>
      <c r="D95" s="417" t="s">
        <v>3</v>
      </c>
      <c r="E95" s="417" t="s">
        <v>223</v>
      </c>
      <c r="F95" s="417" t="s">
        <v>253</v>
      </c>
      <c r="G95" s="417" t="s">
        <v>254</v>
      </c>
      <c r="H95" s="417" t="s">
        <v>255</v>
      </c>
      <c r="I95" s="416">
        <v>2022</v>
      </c>
      <c r="J95" s="416">
        <v>2023</v>
      </c>
      <c r="K95" s="416">
        <v>2024</v>
      </c>
      <c r="L95" s="1"/>
    </row>
    <row r="96" spans="1:19" ht="15.75" thickBot="1" x14ac:dyDescent="0.3">
      <c r="A96" s="108" t="s">
        <v>76</v>
      </c>
      <c r="B96" s="109"/>
      <c r="C96" s="110">
        <f t="shared" ref="C96:K96" si="23">SUM(C97:C101)</f>
        <v>156377</v>
      </c>
      <c r="D96" s="111">
        <f t="shared" si="23"/>
        <v>174936</v>
      </c>
      <c r="E96" s="110">
        <f t="shared" si="23"/>
        <v>231640</v>
      </c>
      <c r="F96" s="112">
        <f t="shared" si="23"/>
        <v>231049</v>
      </c>
      <c r="G96" s="112">
        <f t="shared" si="23"/>
        <v>264930</v>
      </c>
      <c r="H96" s="112">
        <f t="shared" si="23"/>
        <v>267890</v>
      </c>
      <c r="I96" s="112">
        <f t="shared" si="23"/>
        <v>290310</v>
      </c>
      <c r="J96" s="112">
        <f t="shared" ref="J96" si="24">SUM(J97:J101)</f>
        <v>273670</v>
      </c>
      <c r="K96" s="112">
        <f t="shared" si="23"/>
        <v>280360</v>
      </c>
      <c r="L96" s="1"/>
    </row>
    <row r="97" spans="1:12" x14ac:dyDescent="0.25">
      <c r="A97" s="113" t="s">
        <v>77</v>
      </c>
      <c r="B97" s="85" t="s">
        <v>78</v>
      </c>
      <c r="C97" s="114">
        <v>80991</v>
      </c>
      <c r="D97" s="115">
        <v>85746</v>
      </c>
      <c r="E97" s="116">
        <v>107957</v>
      </c>
      <c r="F97" s="56">
        <v>109255</v>
      </c>
      <c r="G97" s="56">
        <v>115400</v>
      </c>
      <c r="H97" s="56">
        <v>122350</v>
      </c>
      <c r="I97" s="56">
        <f>143650</f>
        <v>143650</v>
      </c>
      <c r="J97" s="56">
        <v>134550</v>
      </c>
      <c r="K97" s="56">
        <v>133250</v>
      </c>
      <c r="L97" s="1"/>
    </row>
    <row r="98" spans="1:12" x14ac:dyDescent="0.25">
      <c r="A98" s="117" t="s">
        <v>79</v>
      </c>
      <c r="B98" s="118" t="s">
        <v>80</v>
      </c>
      <c r="C98" s="62">
        <v>43743</v>
      </c>
      <c r="D98" s="119">
        <v>51946</v>
      </c>
      <c r="E98" s="120">
        <v>68901</v>
      </c>
      <c r="F98" s="61">
        <v>68993</v>
      </c>
      <c r="G98" s="61">
        <f>78530-1000+5500</f>
        <v>83030</v>
      </c>
      <c r="H98" s="61">
        <v>83030</v>
      </c>
      <c r="I98" s="61">
        <v>83740</v>
      </c>
      <c r="J98" s="61">
        <v>83200</v>
      </c>
      <c r="K98" s="61">
        <v>83190</v>
      </c>
      <c r="L98" s="1"/>
    </row>
    <row r="99" spans="1:12" x14ac:dyDescent="0.25">
      <c r="A99" s="117" t="s">
        <v>81</v>
      </c>
      <c r="B99" s="118" t="s">
        <v>82</v>
      </c>
      <c r="C99" s="62">
        <v>1742</v>
      </c>
      <c r="D99" s="119">
        <v>3680</v>
      </c>
      <c r="E99" s="120">
        <v>4907</v>
      </c>
      <c r="F99" s="61">
        <v>538</v>
      </c>
      <c r="G99" s="61">
        <f>3700+1000</f>
        <v>4700</v>
      </c>
      <c r="H99" s="61">
        <v>4700</v>
      </c>
      <c r="I99" s="61">
        <f>4000-1000</f>
        <v>3000</v>
      </c>
      <c r="J99" s="61">
        <v>4000</v>
      </c>
      <c r="K99" s="61">
        <v>4000</v>
      </c>
      <c r="L99" s="1"/>
    </row>
    <row r="100" spans="1:12" x14ac:dyDescent="0.25">
      <c r="A100" s="121" t="s">
        <v>83</v>
      </c>
      <c r="B100" s="118" t="s">
        <v>84</v>
      </c>
      <c r="C100" s="59">
        <v>27812</v>
      </c>
      <c r="D100" s="122">
        <v>31492</v>
      </c>
      <c r="E100" s="120">
        <v>43664</v>
      </c>
      <c r="F100" s="61">
        <v>44203</v>
      </c>
      <c r="G100" s="61">
        <f>52600</f>
        <v>52600</v>
      </c>
      <c r="H100" s="61">
        <f>52600</f>
        <v>52600</v>
      </c>
      <c r="I100" s="61">
        <v>55920</v>
      </c>
      <c r="J100" s="61">
        <v>51920</v>
      </c>
      <c r="K100" s="61">
        <v>51920</v>
      </c>
      <c r="L100" s="1"/>
    </row>
    <row r="101" spans="1:12" ht="15.75" thickBot="1" x14ac:dyDescent="0.3">
      <c r="A101" s="123" t="s">
        <v>85</v>
      </c>
      <c r="B101" s="124" t="s">
        <v>240</v>
      </c>
      <c r="C101" s="125">
        <v>2089</v>
      </c>
      <c r="D101" s="126">
        <v>2072</v>
      </c>
      <c r="E101" s="127">
        <v>6211</v>
      </c>
      <c r="F101" s="128">
        <v>8060</v>
      </c>
      <c r="G101" s="128">
        <f>6100+3100</f>
        <v>9200</v>
      </c>
      <c r="H101" s="128">
        <f>9200-4000+10</f>
        <v>5210</v>
      </c>
      <c r="I101" s="128">
        <v>4000</v>
      </c>
      <c r="J101" s="128">
        <v>0</v>
      </c>
      <c r="K101" s="128">
        <v>8000</v>
      </c>
      <c r="L101" s="1"/>
    </row>
    <row r="102" spans="1:12" ht="15.75" thickBot="1" x14ac:dyDescent="0.3">
      <c r="A102" s="129" t="s">
        <v>86</v>
      </c>
      <c r="B102" s="130"/>
      <c r="C102" s="110">
        <f t="shared" ref="C102:K102" si="25">SUM(C103)</f>
        <v>1395</v>
      </c>
      <c r="D102" s="111">
        <f t="shared" si="25"/>
        <v>1431</v>
      </c>
      <c r="E102" s="110">
        <f t="shared" si="25"/>
        <v>1635</v>
      </c>
      <c r="F102" s="112">
        <f t="shared" ref="F102" si="26">SUM(F103)</f>
        <v>15024.4</v>
      </c>
      <c r="G102" s="112">
        <f t="shared" ref="G102:H102" si="27">SUM(G103)</f>
        <v>11300</v>
      </c>
      <c r="H102" s="112">
        <f t="shared" si="27"/>
        <v>31701</v>
      </c>
      <c r="I102" s="112">
        <f t="shared" si="25"/>
        <v>14610</v>
      </c>
      <c r="J102" s="112">
        <f t="shared" si="25"/>
        <v>6560</v>
      </c>
      <c r="K102" s="112">
        <f t="shared" si="25"/>
        <v>6560</v>
      </c>
      <c r="L102" s="1"/>
    </row>
    <row r="103" spans="1:12" ht="15.75" thickBot="1" x14ac:dyDescent="0.3">
      <c r="A103" s="131" t="s">
        <v>87</v>
      </c>
      <c r="B103" s="106" t="s">
        <v>285</v>
      </c>
      <c r="C103" s="132">
        <v>1395</v>
      </c>
      <c r="D103" s="133">
        <v>1431</v>
      </c>
      <c r="E103" s="132">
        <v>1635</v>
      </c>
      <c r="F103" s="134">
        <v>15024.4</v>
      </c>
      <c r="G103" s="134">
        <f>11300</f>
        <v>11300</v>
      </c>
      <c r="H103" s="134">
        <v>31701</v>
      </c>
      <c r="I103" s="134">
        <v>14610</v>
      </c>
      <c r="J103" s="134">
        <v>6560</v>
      </c>
      <c r="K103" s="134">
        <v>6560</v>
      </c>
      <c r="L103" s="1"/>
    </row>
    <row r="104" spans="1:12" ht="15.75" thickBot="1" x14ac:dyDescent="0.3">
      <c r="A104" s="129" t="s">
        <v>88</v>
      </c>
      <c r="B104" s="130"/>
      <c r="C104" s="110">
        <f t="shared" ref="C104:K104" si="28">SUM(C105:C106)</f>
        <v>9689</v>
      </c>
      <c r="D104" s="111">
        <f t="shared" si="28"/>
        <v>8988</v>
      </c>
      <c r="E104" s="110">
        <f t="shared" si="28"/>
        <v>11263</v>
      </c>
      <c r="F104" s="112">
        <f t="shared" ref="F104" si="29">SUM(F105:F106)</f>
        <v>11779</v>
      </c>
      <c r="G104" s="112">
        <f t="shared" ref="G104" si="30">SUM(G105:G106)</f>
        <v>15200</v>
      </c>
      <c r="H104" s="112">
        <f t="shared" ref="H104" si="31">SUM(H105:H106)</f>
        <v>14700</v>
      </c>
      <c r="I104" s="112">
        <f t="shared" si="28"/>
        <v>16500</v>
      </c>
      <c r="J104" s="112">
        <f t="shared" ref="J104" si="32">SUM(J105:J106)</f>
        <v>15300</v>
      </c>
      <c r="K104" s="112">
        <f t="shared" si="28"/>
        <v>15300</v>
      </c>
      <c r="L104" s="1"/>
    </row>
    <row r="105" spans="1:12" x14ac:dyDescent="0.25">
      <c r="A105" s="135" t="s">
        <v>89</v>
      </c>
      <c r="B105" s="136" t="s">
        <v>90</v>
      </c>
      <c r="C105" s="137">
        <v>8907</v>
      </c>
      <c r="D105" s="138">
        <v>8297</v>
      </c>
      <c r="E105" s="137">
        <v>10063</v>
      </c>
      <c r="F105" s="139">
        <v>10579</v>
      </c>
      <c r="G105" s="139">
        <v>13600</v>
      </c>
      <c r="H105" s="139">
        <f t="shared" ref="H105" si="33">13600-1000</f>
        <v>12600</v>
      </c>
      <c r="I105" s="139">
        <v>14900</v>
      </c>
      <c r="J105" s="139">
        <v>13400</v>
      </c>
      <c r="K105" s="139">
        <v>13400</v>
      </c>
      <c r="L105" s="1"/>
    </row>
    <row r="106" spans="1:12" ht="15.75" thickBot="1" x14ac:dyDescent="0.3">
      <c r="A106" s="140" t="s">
        <v>91</v>
      </c>
      <c r="B106" s="141" t="s">
        <v>92</v>
      </c>
      <c r="C106" s="142">
        <v>782</v>
      </c>
      <c r="D106" s="143">
        <v>691</v>
      </c>
      <c r="E106" s="142">
        <v>1200</v>
      </c>
      <c r="F106" s="128">
        <v>1200</v>
      </c>
      <c r="G106" s="128">
        <v>1600</v>
      </c>
      <c r="H106" s="128">
        <f t="shared" ref="H106" si="34">1600+500</f>
        <v>2100</v>
      </c>
      <c r="I106" s="128">
        <v>1600</v>
      </c>
      <c r="J106" s="128">
        <v>1900</v>
      </c>
      <c r="K106" s="128">
        <v>1900</v>
      </c>
      <c r="L106" s="1"/>
    </row>
    <row r="107" spans="1:12" ht="15.75" thickBot="1" x14ac:dyDescent="0.3">
      <c r="A107" s="108" t="s">
        <v>93</v>
      </c>
      <c r="B107" s="144"/>
      <c r="C107" s="110">
        <f t="shared" ref="C107:K107" si="35">SUM(C108:C110)</f>
        <v>56288</v>
      </c>
      <c r="D107" s="111">
        <f t="shared" si="35"/>
        <v>63855</v>
      </c>
      <c r="E107" s="110">
        <f t="shared" si="35"/>
        <v>56565</v>
      </c>
      <c r="F107" s="112">
        <f t="shared" ref="F107" si="36">SUM(F108:F110)</f>
        <v>56275</v>
      </c>
      <c r="G107" s="112">
        <f t="shared" ref="G107:H107" si="37">SUM(G108:G110)</f>
        <v>95600</v>
      </c>
      <c r="H107" s="112">
        <f t="shared" si="37"/>
        <v>140300</v>
      </c>
      <c r="I107" s="112">
        <f t="shared" si="35"/>
        <v>71400</v>
      </c>
      <c r="J107" s="112">
        <f t="shared" si="35"/>
        <v>91500</v>
      </c>
      <c r="K107" s="112">
        <f t="shared" si="35"/>
        <v>91500</v>
      </c>
      <c r="L107" s="1"/>
    </row>
    <row r="108" spans="1:12" x14ac:dyDescent="0.25">
      <c r="A108" s="145" t="s">
        <v>94</v>
      </c>
      <c r="B108" s="146" t="s">
        <v>95</v>
      </c>
      <c r="C108" s="54">
        <v>19779</v>
      </c>
      <c r="D108" s="147">
        <v>23803</v>
      </c>
      <c r="E108" s="148">
        <v>22533</v>
      </c>
      <c r="F108" s="55">
        <v>17512</v>
      </c>
      <c r="G108" s="55">
        <f>26800-700</f>
        <v>26100</v>
      </c>
      <c r="H108" s="55">
        <v>24500</v>
      </c>
      <c r="I108" s="55">
        <v>25300</v>
      </c>
      <c r="J108" s="55">
        <v>25200</v>
      </c>
      <c r="K108" s="55">
        <v>25200</v>
      </c>
      <c r="L108" s="1"/>
    </row>
    <row r="109" spans="1:12" x14ac:dyDescent="0.25">
      <c r="A109" s="121" t="s">
        <v>96</v>
      </c>
      <c r="B109" s="118" t="s">
        <v>97</v>
      </c>
      <c r="C109" s="62">
        <v>17838</v>
      </c>
      <c r="D109" s="149">
        <v>18459</v>
      </c>
      <c r="E109" s="150">
        <v>23593</v>
      </c>
      <c r="F109" s="60">
        <v>24873</v>
      </c>
      <c r="G109" s="60">
        <f>35000-3000+2000</f>
        <v>34000</v>
      </c>
      <c r="H109" s="60">
        <f>34000+200-200+1000</f>
        <v>35000</v>
      </c>
      <c r="I109" s="60">
        <v>24300</v>
      </c>
      <c r="J109" s="60">
        <v>30000</v>
      </c>
      <c r="K109" s="60">
        <v>30000</v>
      </c>
      <c r="L109" s="1"/>
    </row>
    <row r="110" spans="1:12" ht="15.75" thickBot="1" x14ac:dyDescent="0.3">
      <c r="A110" s="121" t="s">
        <v>98</v>
      </c>
      <c r="B110" s="118" t="s">
        <v>99</v>
      </c>
      <c r="C110" s="59">
        <v>18671</v>
      </c>
      <c r="D110" s="151">
        <v>21593</v>
      </c>
      <c r="E110" s="152">
        <v>10439</v>
      </c>
      <c r="F110" s="60">
        <v>13890</v>
      </c>
      <c r="G110" s="60">
        <f>17000+20000-1500</f>
        <v>35500</v>
      </c>
      <c r="H110" s="60">
        <v>80800</v>
      </c>
      <c r="I110" s="60">
        <v>21800</v>
      </c>
      <c r="J110" s="60">
        <v>36300</v>
      </c>
      <c r="K110" s="60">
        <v>36300</v>
      </c>
      <c r="L110" s="1"/>
    </row>
    <row r="111" spans="1:12" ht="15.75" thickBot="1" x14ac:dyDescent="0.3">
      <c r="A111" s="571" t="s">
        <v>100</v>
      </c>
      <c r="B111" s="572"/>
      <c r="C111" s="110">
        <f t="shared" ref="C111:K111" si="38">SUM(C112:C115)</f>
        <v>78137</v>
      </c>
      <c r="D111" s="111">
        <f t="shared" si="38"/>
        <v>81463</v>
      </c>
      <c r="E111" s="110">
        <f t="shared" si="38"/>
        <v>90857</v>
      </c>
      <c r="F111" s="112">
        <f t="shared" ref="F111" si="39">SUM(F112:F115)</f>
        <v>85176</v>
      </c>
      <c r="G111" s="112">
        <f t="shared" ref="G111" si="40">SUM(G112:G115)</f>
        <v>118000</v>
      </c>
      <c r="H111" s="112">
        <f t="shared" ref="H111" si="41">SUM(H112:H115)</f>
        <v>116430</v>
      </c>
      <c r="I111" s="112">
        <f t="shared" si="38"/>
        <v>124900</v>
      </c>
      <c r="J111" s="112">
        <f t="shared" ref="J111" si="42">SUM(J112:J115)</f>
        <v>124000</v>
      </c>
      <c r="K111" s="112">
        <f t="shared" si="38"/>
        <v>122200</v>
      </c>
      <c r="L111" s="1"/>
    </row>
    <row r="112" spans="1:12" x14ac:dyDescent="0.25">
      <c r="A112" s="153" t="s">
        <v>101</v>
      </c>
      <c r="B112" s="154" t="s">
        <v>102</v>
      </c>
      <c r="C112" s="155">
        <v>41225</v>
      </c>
      <c r="D112" s="156">
        <v>46871</v>
      </c>
      <c r="E112" s="157">
        <v>55351</v>
      </c>
      <c r="F112" s="139">
        <v>53221</v>
      </c>
      <c r="G112" s="139">
        <v>76900</v>
      </c>
      <c r="H112" s="139">
        <f>76900-12000+4030</f>
        <v>68930</v>
      </c>
      <c r="I112" s="139">
        <v>76800</v>
      </c>
      <c r="J112" s="139">
        <v>77900</v>
      </c>
      <c r="K112" s="139">
        <v>77500</v>
      </c>
      <c r="L112" s="1"/>
    </row>
    <row r="113" spans="1:12" x14ac:dyDescent="0.25">
      <c r="A113" s="121" t="s">
        <v>103</v>
      </c>
      <c r="B113" s="118" t="s">
        <v>104</v>
      </c>
      <c r="C113" s="158">
        <v>33622</v>
      </c>
      <c r="D113" s="149">
        <v>29509</v>
      </c>
      <c r="E113" s="150">
        <v>30304</v>
      </c>
      <c r="F113" s="152">
        <v>27431</v>
      </c>
      <c r="G113" s="60">
        <v>32500</v>
      </c>
      <c r="H113" s="152">
        <f>32500-1000+2000+4900</f>
        <v>38400</v>
      </c>
      <c r="I113" s="152">
        <v>36500</v>
      </c>
      <c r="J113" s="152">
        <v>37100</v>
      </c>
      <c r="K113" s="152">
        <v>35700</v>
      </c>
      <c r="L113" s="1"/>
    </row>
    <row r="114" spans="1:12" x14ac:dyDescent="0.25">
      <c r="A114" s="131" t="s">
        <v>105</v>
      </c>
      <c r="B114" s="159" t="s">
        <v>106</v>
      </c>
      <c r="C114" s="160">
        <v>746</v>
      </c>
      <c r="D114" s="161">
        <v>1245</v>
      </c>
      <c r="E114" s="162">
        <v>1073</v>
      </c>
      <c r="F114" s="163">
        <v>1299</v>
      </c>
      <c r="G114" s="437">
        <v>1500</v>
      </c>
      <c r="H114" s="163">
        <v>1500</v>
      </c>
      <c r="I114" s="163">
        <v>1500</v>
      </c>
      <c r="J114" s="163">
        <v>1500</v>
      </c>
      <c r="K114" s="163">
        <v>1500</v>
      </c>
      <c r="L114" s="1"/>
    </row>
    <row r="115" spans="1:12" ht="15.75" thickBot="1" x14ac:dyDescent="0.3">
      <c r="A115" s="164" t="s">
        <v>107</v>
      </c>
      <c r="B115" s="165" t="s">
        <v>108</v>
      </c>
      <c r="C115" s="166">
        <v>2544</v>
      </c>
      <c r="D115" s="167">
        <v>3838</v>
      </c>
      <c r="E115" s="168">
        <v>4129</v>
      </c>
      <c r="F115" s="168">
        <v>3225</v>
      </c>
      <c r="G115" s="438">
        <v>7100</v>
      </c>
      <c r="H115" s="174">
        <v>7600</v>
      </c>
      <c r="I115" s="168">
        <v>10100</v>
      </c>
      <c r="J115" s="168">
        <v>7500</v>
      </c>
      <c r="K115" s="168">
        <v>7500</v>
      </c>
      <c r="L115" s="1"/>
    </row>
    <row r="116" spans="1:12" ht="15.75" thickBot="1" x14ac:dyDescent="0.3">
      <c r="A116" s="108" t="s">
        <v>109</v>
      </c>
      <c r="B116" s="144"/>
      <c r="C116" s="110">
        <f t="shared" ref="C116:K116" si="43">SUM(C117:C119)</f>
        <v>107398</v>
      </c>
      <c r="D116" s="111">
        <f t="shared" si="43"/>
        <v>124762</v>
      </c>
      <c r="E116" s="110">
        <f t="shared" si="43"/>
        <v>130822</v>
      </c>
      <c r="F116" s="110">
        <f t="shared" ref="F116" si="44">SUM(F117:F119)</f>
        <v>125647</v>
      </c>
      <c r="G116" s="112">
        <f t="shared" ref="G116" si="45">SUM(G117:G119)</f>
        <v>168579</v>
      </c>
      <c r="H116" s="110">
        <f t="shared" ref="H116" si="46">SUM(H117:H119)</f>
        <v>156079</v>
      </c>
      <c r="I116" s="110">
        <f t="shared" si="43"/>
        <v>204648</v>
      </c>
      <c r="J116" s="110">
        <f t="shared" ref="J116" si="47">SUM(J117:J119)</f>
        <v>205518</v>
      </c>
      <c r="K116" s="110">
        <f t="shared" si="43"/>
        <v>210358</v>
      </c>
      <c r="L116" s="1"/>
    </row>
    <row r="117" spans="1:12" x14ac:dyDescent="0.25">
      <c r="A117" s="145" t="s">
        <v>110</v>
      </c>
      <c r="B117" s="85" t="s">
        <v>111</v>
      </c>
      <c r="C117" s="114">
        <v>78470</v>
      </c>
      <c r="D117" s="115">
        <v>88196</v>
      </c>
      <c r="E117" s="169">
        <v>96103</v>
      </c>
      <c r="F117" s="116">
        <v>81828</v>
      </c>
      <c r="G117" s="56">
        <f>139479-10000</f>
        <v>129479</v>
      </c>
      <c r="H117" s="116">
        <f>129479-600+1000-4000-4900</f>
        <v>120979</v>
      </c>
      <c r="I117" s="116">
        <v>156748</v>
      </c>
      <c r="J117" s="116">
        <v>158118</v>
      </c>
      <c r="K117" s="116">
        <v>162958</v>
      </c>
      <c r="L117" s="1"/>
    </row>
    <row r="118" spans="1:12" x14ac:dyDescent="0.25">
      <c r="A118" s="170" t="s">
        <v>112</v>
      </c>
      <c r="B118" s="118" t="s">
        <v>113</v>
      </c>
      <c r="C118" s="62">
        <v>18042</v>
      </c>
      <c r="D118" s="149">
        <v>16953</v>
      </c>
      <c r="E118" s="150">
        <v>17218</v>
      </c>
      <c r="F118" s="152">
        <v>27299</v>
      </c>
      <c r="G118" s="60">
        <f>20500+300+300</f>
        <v>21100</v>
      </c>
      <c r="H118" s="152">
        <v>19100</v>
      </c>
      <c r="I118" s="152">
        <v>29700</v>
      </c>
      <c r="J118" s="152">
        <v>29200</v>
      </c>
      <c r="K118" s="152">
        <v>29200</v>
      </c>
      <c r="L118" s="1"/>
    </row>
    <row r="119" spans="1:12" ht="15.75" thickBot="1" x14ac:dyDescent="0.3">
      <c r="A119" s="171" t="s">
        <v>114</v>
      </c>
      <c r="B119" s="165" t="s">
        <v>115</v>
      </c>
      <c r="C119" s="172">
        <v>10886</v>
      </c>
      <c r="D119" s="173">
        <v>19613</v>
      </c>
      <c r="E119" s="174">
        <v>17501</v>
      </c>
      <c r="F119" s="174">
        <v>16520</v>
      </c>
      <c r="G119" s="186">
        <v>18000</v>
      </c>
      <c r="H119" s="174">
        <f t="shared" ref="H119" si="48">18000-1000-1000</f>
        <v>16000</v>
      </c>
      <c r="I119" s="174">
        <v>18200</v>
      </c>
      <c r="J119" s="174">
        <v>18200</v>
      </c>
      <c r="K119" s="174">
        <v>18200</v>
      </c>
      <c r="L119" s="1"/>
    </row>
    <row r="120" spans="1:12" ht="15.75" thickBot="1" x14ac:dyDescent="0.3">
      <c r="A120" s="175" t="s">
        <v>116</v>
      </c>
      <c r="B120" s="176"/>
      <c r="C120" s="177">
        <f t="shared" ref="C120:I120" si="49">SUM(C121:C124)</f>
        <v>462</v>
      </c>
      <c r="D120" s="178">
        <f t="shared" si="49"/>
        <v>115</v>
      </c>
      <c r="E120" s="177">
        <f t="shared" si="49"/>
        <v>855</v>
      </c>
      <c r="F120" s="177">
        <f t="shared" ref="F120" si="50">SUM(F121:F124)</f>
        <v>216</v>
      </c>
      <c r="G120" s="439">
        <f>SUM(G121:G124)</f>
        <v>630</v>
      </c>
      <c r="H120" s="439">
        <f t="shared" ref="H120" si="51">SUM(H121:H124)</f>
        <v>94865</v>
      </c>
      <c r="I120" s="177">
        <f t="shared" si="49"/>
        <v>4850</v>
      </c>
      <c r="J120" s="177">
        <f t="shared" ref="J120:K120" si="52">SUM(J121:J124)</f>
        <v>750</v>
      </c>
      <c r="K120" s="177">
        <f t="shared" si="52"/>
        <v>600</v>
      </c>
      <c r="L120" s="1"/>
    </row>
    <row r="121" spans="1:12" x14ac:dyDescent="0.25">
      <c r="A121" s="135" t="s">
        <v>117</v>
      </c>
      <c r="B121" s="154" t="s">
        <v>118</v>
      </c>
      <c r="C121" s="179">
        <v>50</v>
      </c>
      <c r="D121" s="180">
        <v>0</v>
      </c>
      <c r="E121" s="157">
        <v>40</v>
      </c>
      <c r="F121" s="181">
        <v>0</v>
      </c>
      <c r="G121" s="181">
        <v>50</v>
      </c>
      <c r="H121" s="181">
        <v>50</v>
      </c>
      <c r="I121" s="181">
        <v>50</v>
      </c>
      <c r="J121" s="181">
        <v>50</v>
      </c>
      <c r="K121" s="181">
        <v>50</v>
      </c>
      <c r="L121" s="1"/>
    </row>
    <row r="122" spans="1:12" x14ac:dyDescent="0.25">
      <c r="A122" s="170" t="s">
        <v>119</v>
      </c>
      <c r="B122" s="118" t="s">
        <v>120</v>
      </c>
      <c r="C122" s="62">
        <v>84</v>
      </c>
      <c r="D122" s="182">
        <v>3</v>
      </c>
      <c r="E122" s="183">
        <v>28</v>
      </c>
      <c r="F122" s="184">
        <v>76</v>
      </c>
      <c r="G122" s="184">
        <v>50</v>
      </c>
      <c r="H122" s="184">
        <v>50</v>
      </c>
      <c r="I122" s="184">
        <v>50</v>
      </c>
      <c r="J122" s="184">
        <v>50</v>
      </c>
      <c r="K122" s="184">
        <v>50</v>
      </c>
      <c r="L122" s="1"/>
    </row>
    <row r="123" spans="1:12" x14ac:dyDescent="0.25">
      <c r="A123" s="170" t="s">
        <v>121</v>
      </c>
      <c r="B123" s="118" t="s">
        <v>122</v>
      </c>
      <c r="C123" s="62">
        <v>328</v>
      </c>
      <c r="D123" s="182">
        <v>112</v>
      </c>
      <c r="E123" s="150">
        <v>487</v>
      </c>
      <c r="F123" s="60">
        <v>140</v>
      </c>
      <c r="G123" s="152">
        <f>330+200</f>
        <v>530</v>
      </c>
      <c r="H123" s="60">
        <v>530</v>
      </c>
      <c r="I123" s="60">
        <v>750</v>
      </c>
      <c r="J123" s="60">
        <v>650</v>
      </c>
      <c r="K123" s="60">
        <v>500</v>
      </c>
      <c r="L123" s="1"/>
    </row>
    <row r="124" spans="1:12" ht="15.75" thickBot="1" x14ac:dyDescent="0.3">
      <c r="A124" s="187" t="s">
        <v>123</v>
      </c>
      <c r="B124" s="188" t="s">
        <v>264</v>
      </c>
      <c r="C124" s="189">
        <v>0</v>
      </c>
      <c r="D124" s="190">
        <v>0</v>
      </c>
      <c r="E124" s="127">
        <v>300</v>
      </c>
      <c r="F124" s="191">
        <v>0</v>
      </c>
      <c r="G124" s="128">
        <v>0</v>
      </c>
      <c r="H124" s="427">
        <f>18000+14000+1000+20000+11000+1235+20000+20000-11000</f>
        <v>94235</v>
      </c>
      <c r="I124" s="191">
        <v>4000</v>
      </c>
      <c r="J124" s="191">
        <v>0</v>
      </c>
      <c r="K124" s="191">
        <v>0</v>
      </c>
      <c r="L124" s="1"/>
    </row>
    <row r="125" spans="1:12" ht="15.75" thickBot="1" x14ac:dyDescent="0.3">
      <c r="A125" s="192" t="s">
        <v>124</v>
      </c>
      <c r="B125" s="193"/>
      <c r="C125" s="194">
        <f t="shared" ref="C125:K125" si="53">SUM(C126:C130)</f>
        <v>113224</v>
      </c>
      <c r="D125" s="195">
        <f t="shared" si="53"/>
        <v>129064</v>
      </c>
      <c r="E125" s="194">
        <f t="shared" si="53"/>
        <v>134379</v>
      </c>
      <c r="F125" s="194">
        <f t="shared" ref="F125" si="54">SUM(F126:F130)</f>
        <v>84983</v>
      </c>
      <c r="G125" s="440">
        <f t="shared" ref="G125" si="55">SUM(G126:G130)</f>
        <v>103440</v>
      </c>
      <c r="H125" s="194">
        <f t="shared" si="53"/>
        <v>89663</v>
      </c>
      <c r="I125" s="194">
        <f t="shared" si="53"/>
        <v>109550</v>
      </c>
      <c r="J125" s="194">
        <f t="shared" ref="J125" si="56">SUM(J126:J130)</f>
        <v>92600</v>
      </c>
      <c r="K125" s="194">
        <f t="shared" si="53"/>
        <v>92600</v>
      </c>
      <c r="L125" s="1"/>
    </row>
    <row r="126" spans="1:12" x14ac:dyDescent="0.25">
      <c r="A126" s="153" t="s">
        <v>125</v>
      </c>
      <c r="B126" s="154" t="s">
        <v>126</v>
      </c>
      <c r="C126" s="179">
        <v>14818</v>
      </c>
      <c r="D126" s="156">
        <v>21592</v>
      </c>
      <c r="E126" s="137">
        <v>16936</v>
      </c>
      <c r="F126" s="139">
        <v>11627</v>
      </c>
      <c r="G126" s="139">
        <f>19700-5000</f>
        <v>14700</v>
      </c>
      <c r="H126" s="139">
        <v>14700</v>
      </c>
      <c r="I126" s="139">
        <v>24000</v>
      </c>
      <c r="J126" s="139">
        <v>19500</v>
      </c>
      <c r="K126" s="139">
        <v>19500</v>
      </c>
      <c r="L126" s="1"/>
    </row>
    <row r="127" spans="1:12" x14ac:dyDescent="0.25">
      <c r="A127" s="196" t="s">
        <v>127</v>
      </c>
      <c r="B127" s="197" t="s">
        <v>128</v>
      </c>
      <c r="C127" s="54">
        <v>77935</v>
      </c>
      <c r="D127" s="198">
        <v>86797</v>
      </c>
      <c r="E127" s="148">
        <v>80713</v>
      </c>
      <c r="F127" s="55">
        <v>14925</v>
      </c>
      <c r="G127" s="55">
        <f>23300+1000+1000+10000+5000+1500+15000</f>
        <v>56800</v>
      </c>
      <c r="H127" s="55">
        <v>36850</v>
      </c>
      <c r="I127" s="55">
        <v>53650</v>
      </c>
      <c r="J127" s="55">
        <v>47400</v>
      </c>
      <c r="K127" s="55">
        <v>47400</v>
      </c>
      <c r="L127" s="1"/>
    </row>
    <row r="128" spans="1:12" x14ac:dyDescent="0.25">
      <c r="A128" s="196" t="s">
        <v>129</v>
      </c>
      <c r="B128" s="85" t="s">
        <v>130</v>
      </c>
      <c r="C128" s="114">
        <v>3135</v>
      </c>
      <c r="D128" s="199">
        <v>2921</v>
      </c>
      <c r="E128" s="148">
        <v>3189</v>
      </c>
      <c r="F128" s="55">
        <v>8792</v>
      </c>
      <c r="G128" s="55">
        <f>3800+500+240</f>
        <v>4540</v>
      </c>
      <c r="H128" s="55">
        <v>4540</v>
      </c>
      <c r="I128" s="55">
        <v>5100</v>
      </c>
      <c r="J128" s="55">
        <v>4400</v>
      </c>
      <c r="K128" s="55">
        <v>4400</v>
      </c>
      <c r="L128" s="1"/>
    </row>
    <row r="129" spans="1:17" x14ac:dyDescent="0.25">
      <c r="A129" s="196" t="s">
        <v>131</v>
      </c>
      <c r="B129" s="85" t="s">
        <v>132</v>
      </c>
      <c r="C129" s="114">
        <v>8294</v>
      </c>
      <c r="D129" s="199">
        <v>9794</v>
      </c>
      <c r="E129" s="148">
        <v>11638</v>
      </c>
      <c r="F129" s="55">
        <v>44656</v>
      </c>
      <c r="G129" s="55">
        <f>27500-8000+2000+500</f>
        <v>22000</v>
      </c>
      <c r="H129" s="55">
        <v>22000</v>
      </c>
      <c r="I129" s="55">
        <v>15600</v>
      </c>
      <c r="J129" s="55">
        <v>15100</v>
      </c>
      <c r="K129" s="55">
        <v>15100</v>
      </c>
      <c r="L129" s="1"/>
    </row>
    <row r="130" spans="1:17" ht="15.75" thickBot="1" x14ac:dyDescent="0.3">
      <c r="A130" s="164" t="s">
        <v>133</v>
      </c>
      <c r="B130" s="165" t="s">
        <v>134</v>
      </c>
      <c r="C130" s="185">
        <v>9042</v>
      </c>
      <c r="D130" s="167">
        <v>7960</v>
      </c>
      <c r="E130" s="174">
        <v>21903</v>
      </c>
      <c r="F130" s="186">
        <v>4983</v>
      </c>
      <c r="G130" s="186">
        <f>8400-3000</f>
        <v>5400</v>
      </c>
      <c r="H130" s="186">
        <v>11573</v>
      </c>
      <c r="I130" s="186">
        <v>11200</v>
      </c>
      <c r="J130" s="186">
        <v>6200</v>
      </c>
      <c r="K130" s="186">
        <v>6200</v>
      </c>
      <c r="L130" s="1"/>
    </row>
    <row r="131" spans="1:17" ht="15.75" thickBot="1" x14ac:dyDescent="0.3">
      <c r="A131" s="129" t="s">
        <v>135</v>
      </c>
      <c r="B131" s="130"/>
      <c r="C131" s="110">
        <f t="shared" ref="C131:K131" si="57">SUM(C132:C140)</f>
        <v>308051</v>
      </c>
      <c r="D131" s="441">
        <f t="shared" si="57"/>
        <v>238428</v>
      </c>
      <c r="E131" s="110">
        <f t="shared" si="57"/>
        <v>295704</v>
      </c>
      <c r="F131" s="111">
        <f t="shared" si="57"/>
        <v>290046</v>
      </c>
      <c r="G131" s="110">
        <f t="shared" si="57"/>
        <v>366640</v>
      </c>
      <c r="H131" s="111">
        <f t="shared" si="57"/>
        <v>385999</v>
      </c>
      <c r="I131" s="110">
        <f t="shared" si="57"/>
        <v>380850</v>
      </c>
      <c r="J131" s="111">
        <f t="shared" si="57"/>
        <v>378550</v>
      </c>
      <c r="K131" s="110">
        <f t="shared" si="57"/>
        <v>377050</v>
      </c>
      <c r="L131" s="1"/>
    </row>
    <row r="132" spans="1:17" x14ac:dyDescent="0.25">
      <c r="A132" s="200" t="s">
        <v>136</v>
      </c>
      <c r="B132" s="201" t="s">
        <v>137</v>
      </c>
      <c r="C132" s="202">
        <v>104500</v>
      </c>
      <c r="D132" s="203">
        <v>108303</v>
      </c>
      <c r="E132" s="204">
        <v>140876</v>
      </c>
      <c r="F132" s="205">
        <v>135336</v>
      </c>
      <c r="G132" s="205">
        <v>161600</v>
      </c>
      <c r="H132" s="205">
        <v>164259</v>
      </c>
      <c r="I132" s="205">
        <f>163900</f>
        <v>163900</v>
      </c>
      <c r="J132" s="205">
        <v>180000</v>
      </c>
      <c r="K132" s="205">
        <v>180200</v>
      </c>
      <c r="L132" s="1"/>
    </row>
    <row r="133" spans="1:17" x14ac:dyDescent="0.25">
      <c r="A133" s="206" t="s">
        <v>138</v>
      </c>
      <c r="B133" s="146" t="s">
        <v>139</v>
      </c>
      <c r="C133" s="207">
        <v>0</v>
      </c>
      <c r="D133" s="208">
        <v>0</v>
      </c>
      <c r="E133" s="116">
        <v>885</v>
      </c>
      <c r="F133" s="56">
        <v>0</v>
      </c>
      <c r="G133" s="61">
        <v>0</v>
      </c>
      <c r="H133" s="56">
        <v>0</v>
      </c>
      <c r="I133" s="56">
        <v>0</v>
      </c>
      <c r="J133" s="56">
        <v>0</v>
      </c>
      <c r="K133" s="56">
        <v>0</v>
      </c>
      <c r="L133" s="1"/>
    </row>
    <row r="134" spans="1:17" x14ac:dyDescent="0.25">
      <c r="A134" s="206" t="s">
        <v>140</v>
      </c>
      <c r="B134" s="146" t="s">
        <v>141</v>
      </c>
      <c r="C134" s="207">
        <v>0</v>
      </c>
      <c r="D134" s="208">
        <v>0</v>
      </c>
      <c r="E134" s="116">
        <v>885</v>
      </c>
      <c r="F134" s="56">
        <v>0</v>
      </c>
      <c r="G134" s="61">
        <v>0</v>
      </c>
      <c r="H134" s="56">
        <v>0</v>
      </c>
      <c r="I134" s="56">
        <v>0</v>
      </c>
      <c r="J134" s="56">
        <v>0</v>
      </c>
      <c r="K134" s="56">
        <v>0</v>
      </c>
      <c r="L134" s="1"/>
    </row>
    <row r="135" spans="1:17" x14ac:dyDescent="0.25">
      <c r="A135" s="209" t="s">
        <v>142</v>
      </c>
      <c r="B135" s="210" t="s">
        <v>143</v>
      </c>
      <c r="C135" s="59">
        <v>119829</v>
      </c>
      <c r="D135" s="151">
        <v>1639</v>
      </c>
      <c r="E135" s="120">
        <v>2223</v>
      </c>
      <c r="F135" s="61">
        <v>583</v>
      </c>
      <c r="G135" s="60">
        <v>1700</v>
      </c>
      <c r="H135" s="61">
        <v>1700</v>
      </c>
      <c r="I135" s="61">
        <v>3600</v>
      </c>
      <c r="J135" s="61">
        <v>2500</v>
      </c>
      <c r="K135" s="61">
        <v>2500</v>
      </c>
      <c r="L135" s="1"/>
    </row>
    <row r="136" spans="1:17" x14ac:dyDescent="0.25">
      <c r="A136" s="209" t="s">
        <v>144</v>
      </c>
      <c r="B136" s="210" t="s">
        <v>145</v>
      </c>
      <c r="C136" s="59">
        <v>10957</v>
      </c>
      <c r="D136" s="151">
        <v>20690</v>
      </c>
      <c r="E136" s="120">
        <v>26156</v>
      </c>
      <c r="F136" s="61">
        <v>21780</v>
      </c>
      <c r="G136" s="60">
        <v>31230</v>
      </c>
      <c r="H136" s="61">
        <v>31470</v>
      </c>
      <c r="I136" s="61">
        <v>32330</v>
      </c>
      <c r="J136" s="61">
        <v>32330</v>
      </c>
      <c r="K136" s="61">
        <v>32330</v>
      </c>
      <c r="L136" s="1"/>
    </row>
    <row r="137" spans="1:17" x14ac:dyDescent="0.25">
      <c r="A137" s="209" t="s">
        <v>146</v>
      </c>
      <c r="B137" s="210" t="s">
        <v>147</v>
      </c>
      <c r="C137" s="59">
        <v>16441</v>
      </c>
      <c r="D137" s="151">
        <v>31538</v>
      </c>
      <c r="E137" s="152">
        <v>34790</v>
      </c>
      <c r="F137" s="60">
        <v>22889</v>
      </c>
      <c r="G137" s="215">
        <v>32210</v>
      </c>
      <c r="H137" s="60">
        <v>33950</v>
      </c>
      <c r="I137" s="60">
        <v>31830</v>
      </c>
      <c r="J137" s="60">
        <v>31830</v>
      </c>
      <c r="K137" s="60">
        <v>31830</v>
      </c>
      <c r="L137" s="1"/>
    </row>
    <row r="138" spans="1:17" x14ac:dyDescent="0.25">
      <c r="A138" s="209" t="s">
        <v>148</v>
      </c>
      <c r="B138" s="210" t="s">
        <v>237</v>
      </c>
      <c r="C138" s="59">
        <v>16441</v>
      </c>
      <c r="D138" s="151">
        <v>31538</v>
      </c>
      <c r="E138" s="152">
        <v>41280</v>
      </c>
      <c r="F138" s="60">
        <v>95466</v>
      </c>
      <c r="G138" s="215">
        <v>125450</v>
      </c>
      <c r="H138" s="60">
        <v>138070</v>
      </c>
      <c r="I138" s="60">
        <v>131840</v>
      </c>
      <c r="J138" s="60">
        <v>114540</v>
      </c>
      <c r="K138" s="60">
        <v>112840</v>
      </c>
      <c r="L138" s="27">
        <f>SUM(I136:I138)</f>
        <v>196000</v>
      </c>
    </row>
    <row r="139" spans="1:17" x14ac:dyDescent="0.25">
      <c r="A139" s="211" t="s">
        <v>149</v>
      </c>
      <c r="B139" s="210" t="s">
        <v>238</v>
      </c>
      <c r="C139" s="212">
        <v>37289</v>
      </c>
      <c r="D139" s="213">
        <v>42027</v>
      </c>
      <c r="E139" s="214">
        <v>45408</v>
      </c>
      <c r="F139" s="215">
        <v>10455</v>
      </c>
      <c r="G139" s="215">
        <v>10500</v>
      </c>
      <c r="H139" s="215">
        <v>10500</v>
      </c>
      <c r="I139" s="215">
        <v>11300</v>
      </c>
      <c r="J139" s="215">
        <v>11300</v>
      </c>
      <c r="K139" s="215">
        <v>11300</v>
      </c>
      <c r="L139" s="1"/>
    </row>
    <row r="140" spans="1:17" ht="15.75" thickBot="1" x14ac:dyDescent="0.3">
      <c r="A140" s="209" t="s">
        <v>150</v>
      </c>
      <c r="B140" s="210" t="s">
        <v>265</v>
      </c>
      <c r="C140" s="212">
        <v>2594</v>
      </c>
      <c r="D140" s="213">
        <v>2693</v>
      </c>
      <c r="E140" s="214">
        <v>3201</v>
      </c>
      <c r="F140" s="215">
        <v>3537</v>
      </c>
      <c r="G140" s="215">
        <v>3950</v>
      </c>
      <c r="H140" s="215">
        <v>6050</v>
      </c>
      <c r="I140" s="215">
        <v>6050</v>
      </c>
      <c r="J140" s="215">
        <v>6050</v>
      </c>
      <c r="K140" s="215">
        <v>6050</v>
      </c>
      <c r="L140" s="1"/>
    </row>
    <row r="141" spans="1:17" ht="15.75" thickBot="1" x14ac:dyDescent="0.3">
      <c r="A141" s="108" t="s">
        <v>151</v>
      </c>
      <c r="B141" s="109"/>
      <c r="C141" s="110">
        <f t="shared" ref="C141:K141" si="58">SUM(C142:C146)</f>
        <v>144398</v>
      </c>
      <c r="D141" s="111">
        <f t="shared" si="58"/>
        <v>164319</v>
      </c>
      <c r="E141" s="110">
        <f t="shared" si="58"/>
        <v>208490</v>
      </c>
      <c r="F141" s="112">
        <f t="shared" ref="F141" si="59">SUM(F142:F146)</f>
        <v>225543</v>
      </c>
      <c r="G141" s="112">
        <f t="shared" ref="G141" si="60">SUM(G142:G146)</f>
        <v>264480</v>
      </c>
      <c r="H141" s="112">
        <f t="shared" si="58"/>
        <v>309670</v>
      </c>
      <c r="I141" s="112">
        <f t="shared" si="58"/>
        <v>286950</v>
      </c>
      <c r="J141" s="112">
        <f t="shared" ref="J141" si="61">SUM(J142:J146)</f>
        <v>294950</v>
      </c>
      <c r="K141" s="112">
        <f t="shared" si="58"/>
        <v>305750</v>
      </c>
      <c r="L141" s="1"/>
    </row>
    <row r="142" spans="1:17" ht="15.75" thickBot="1" x14ac:dyDescent="0.3">
      <c r="A142" s="196" t="s">
        <v>152</v>
      </c>
      <c r="B142" s="85" t="s">
        <v>286</v>
      </c>
      <c r="C142" s="114">
        <v>110782</v>
      </c>
      <c r="D142" s="199">
        <v>133003</v>
      </c>
      <c r="E142" s="148">
        <v>192284</v>
      </c>
      <c r="F142" s="55">
        <v>211686</v>
      </c>
      <c r="G142" s="55">
        <f>264400-20540</f>
        <v>243860</v>
      </c>
      <c r="H142" s="55">
        <v>287050</v>
      </c>
      <c r="I142" s="55">
        <f>268900</f>
        <v>268900</v>
      </c>
      <c r="J142" s="55">
        <v>276900</v>
      </c>
      <c r="K142" s="55">
        <v>287700</v>
      </c>
      <c r="L142" s="1">
        <v>85500</v>
      </c>
      <c r="M142" s="407">
        <v>24400</v>
      </c>
      <c r="N142" s="407">
        <v>89800</v>
      </c>
      <c r="O142">
        <f>63800</f>
        <v>63800</v>
      </c>
      <c r="P142">
        <v>5400</v>
      </c>
      <c r="Q142" s="465">
        <f>SUM(L142:P142)</f>
        <v>268900</v>
      </c>
    </row>
    <row r="143" spans="1:17" x14ac:dyDescent="0.25">
      <c r="A143" s="196" t="s">
        <v>153</v>
      </c>
      <c r="B143" s="85" t="s">
        <v>154</v>
      </c>
      <c r="C143" s="114">
        <v>6436</v>
      </c>
      <c r="D143" s="199">
        <v>3638</v>
      </c>
      <c r="E143" s="148">
        <v>3241</v>
      </c>
      <c r="F143" s="55">
        <v>490</v>
      </c>
      <c r="G143" s="55">
        <v>620</v>
      </c>
      <c r="H143" s="55">
        <v>620</v>
      </c>
      <c r="I143" s="55">
        <v>450</v>
      </c>
      <c r="J143" s="55">
        <v>450</v>
      </c>
      <c r="K143" s="55">
        <v>450</v>
      </c>
      <c r="L143" s="1"/>
      <c r="M143" s="407"/>
      <c r="N143" s="407"/>
    </row>
    <row r="144" spans="1:17" x14ac:dyDescent="0.25">
      <c r="A144" s="121" t="s">
        <v>155</v>
      </c>
      <c r="B144" s="118" t="s">
        <v>156</v>
      </c>
      <c r="C144" s="62">
        <v>27180</v>
      </c>
      <c r="D144" s="149">
        <v>27678</v>
      </c>
      <c r="E144" s="150">
        <v>12665</v>
      </c>
      <c r="F144" s="60">
        <v>13300</v>
      </c>
      <c r="G144" s="60">
        <v>19000</v>
      </c>
      <c r="H144" s="60">
        <v>21000</v>
      </c>
      <c r="I144" s="60">
        <v>16600</v>
      </c>
      <c r="J144" s="60">
        <v>16600</v>
      </c>
      <c r="K144" s="60">
        <v>16600</v>
      </c>
      <c r="L144" s="1"/>
    </row>
    <row r="145" spans="1:14" x14ac:dyDescent="0.25">
      <c r="A145" s="121" t="s">
        <v>157</v>
      </c>
      <c r="B145" s="118" t="s">
        <v>158</v>
      </c>
      <c r="C145" s="62">
        <v>0</v>
      </c>
      <c r="D145" s="149">
        <v>0</v>
      </c>
      <c r="E145" s="150">
        <v>0</v>
      </c>
      <c r="F145" s="60">
        <v>67</v>
      </c>
      <c r="G145" s="60">
        <v>500</v>
      </c>
      <c r="H145" s="60">
        <v>500</v>
      </c>
      <c r="I145" s="60">
        <v>500</v>
      </c>
      <c r="J145" s="60">
        <v>500</v>
      </c>
      <c r="K145" s="60">
        <v>500</v>
      </c>
      <c r="L145" s="1"/>
    </row>
    <row r="146" spans="1:14" ht="15.75" thickBot="1" x14ac:dyDescent="0.3">
      <c r="A146" s="164" t="s">
        <v>159</v>
      </c>
      <c r="B146" s="165" t="s">
        <v>160</v>
      </c>
      <c r="C146" s="185">
        <v>0</v>
      </c>
      <c r="D146" s="167">
        <v>0</v>
      </c>
      <c r="E146" s="168">
        <v>300</v>
      </c>
      <c r="F146" s="186">
        <v>0</v>
      </c>
      <c r="G146" s="186">
        <v>500</v>
      </c>
      <c r="H146" s="186">
        <v>500</v>
      </c>
      <c r="I146" s="186">
        <v>500</v>
      </c>
      <c r="J146" s="186">
        <v>500</v>
      </c>
      <c r="K146" s="186">
        <v>500</v>
      </c>
      <c r="L146" s="1"/>
    </row>
    <row r="147" spans="1:14" ht="16.5" thickBot="1" x14ac:dyDescent="0.3">
      <c r="A147" s="216" t="s">
        <v>161</v>
      </c>
      <c r="B147" s="176"/>
      <c r="C147" s="217">
        <f t="shared" ref="C147:K147" si="62">SUM(C96+C102+C104+C107+C111+C116+C120+C125+C131+C141)</f>
        <v>975419</v>
      </c>
      <c r="D147" s="218">
        <f t="shared" si="62"/>
        <v>987361</v>
      </c>
      <c r="E147" s="217">
        <f t="shared" si="62"/>
        <v>1162210</v>
      </c>
      <c r="F147" s="217">
        <f t="shared" si="62"/>
        <v>1125738.3999999999</v>
      </c>
      <c r="G147" s="219">
        <f t="shared" si="62"/>
        <v>1408799</v>
      </c>
      <c r="H147" s="219">
        <f t="shared" si="62"/>
        <v>1607297</v>
      </c>
      <c r="I147" s="219">
        <f t="shared" si="62"/>
        <v>1504568</v>
      </c>
      <c r="J147" s="219">
        <f t="shared" si="62"/>
        <v>1483398</v>
      </c>
      <c r="K147" s="219">
        <f t="shared" si="62"/>
        <v>1502278</v>
      </c>
      <c r="L147" s="1"/>
    </row>
    <row r="148" spans="1:14" x14ac:dyDescent="0.25">
      <c r="A148" s="220" t="s">
        <v>162</v>
      </c>
      <c r="B148" s="221" t="s">
        <v>163</v>
      </c>
      <c r="C148" s="222">
        <f t="shared" ref="C148:K148" si="63">C81</f>
        <v>438144</v>
      </c>
      <c r="D148" s="223">
        <f t="shared" si="63"/>
        <v>446556</v>
      </c>
      <c r="E148" s="396">
        <f t="shared" si="63"/>
        <v>486612</v>
      </c>
      <c r="F148" s="396">
        <f t="shared" si="63"/>
        <v>549196</v>
      </c>
      <c r="G148" s="222">
        <f t="shared" si="63"/>
        <v>556500</v>
      </c>
      <c r="H148" s="224">
        <f t="shared" si="63"/>
        <v>554086</v>
      </c>
      <c r="I148" s="224">
        <f t="shared" si="63"/>
        <v>534950</v>
      </c>
      <c r="J148" s="224">
        <f t="shared" si="63"/>
        <v>534950</v>
      </c>
      <c r="K148" s="224">
        <f t="shared" si="63"/>
        <v>534950</v>
      </c>
      <c r="L148" s="1"/>
    </row>
    <row r="149" spans="1:14" x14ac:dyDescent="0.25">
      <c r="A149" s="225" t="s">
        <v>162</v>
      </c>
      <c r="B149" s="226" t="s">
        <v>164</v>
      </c>
      <c r="C149" s="227">
        <f>C83</f>
        <v>5446</v>
      </c>
      <c r="D149" s="228">
        <f>D83+100</f>
        <v>7693</v>
      </c>
      <c r="E149" s="397">
        <f t="shared" ref="E149:K149" si="64">E83</f>
        <v>7551</v>
      </c>
      <c r="F149" s="397">
        <f t="shared" si="64"/>
        <v>355</v>
      </c>
      <c r="G149" s="227">
        <f t="shared" si="64"/>
        <v>1450</v>
      </c>
      <c r="H149" s="229">
        <f t="shared" si="64"/>
        <v>2364</v>
      </c>
      <c r="I149" s="229">
        <f t="shared" si="64"/>
        <v>2450</v>
      </c>
      <c r="J149" s="229">
        <f t="shared" si="64"/>
        <v>2450</v>
      </c>
      <c r="K149" s="229">
        <f t="shared" si="64"/>
        <v>2450</v>
      </c>
      <c r="L149" s="1"/>
    </row>
    <row r="150" spans="1:14" x14ac:dyDescent="0.25">
      <c r="A150" s="225" t="s">
        <v>162</v>
      </c>
      <c r="B150" s="226" t="s">
        <v>165</v>
      </c>
      <c r="C150" s="227">
        <v>0</v>
      </c>
      <c r="D150" s="228">
        <v>0</v>
      </c>
      <c r="E150" s="397">
        <v>50402</v>
      </c>
      <c r="F150" s="397">
        <v>28608</v>
      </c>
      <c r="G150" s="227">
        <f>G85</f>
        <v>27000</v>
      </c>
      <c r="H150" s="229">
        <v>27000</v>
      </c>
      <c r="I150" s="229">
        <f>I85</f>
        <v>0</v>
      </c>
      <c r="J150" s="229">
        <f>J85</f>
        <v>0</v>
      </c>
      <c r="K150" s="229">
        <f>K85</f>
        <v>0</v>
      </c>
      <c r="L150" s="1"/>
    </row>
    <row r="151" spans="1:14" ht="15.75" thickBot="1" x14ac:dyDescent="0.3">
      <c r="A151" s="230" t="s">
        <v>162</v>
      </c>
      <c r="B151" s="231" t="s">
        <v>166</v>
      </c>
      <c r="C151" s="232">
        <v>0</v>
      </c>
      <c r="D151" s="233">
        <v>0</v>
      </c>
      <c r="E151" s="398">
        <v>2702</v>
      </c>
      <c r="F151" s="398">
        <v>1605</v>
      </c>
      <c r="G151" s="232">
        <v>250</v>
      </c>
      <c r="H151" s="234">
        <v>1572</v>
      </c>
      <c r="I151" s="234">
        <v>0</v>
      </c>
      <c r="J151" s="234">
        <v>0</v>
      </c>
      <c r="K151" s="234">
        <v>0</v>
      </c>
      <c r="L151" s="27">
        <f>SUM(I148:I151)</f>
        <v>537400</v>
      </c>
      <c r="M151" s="27">
        <f t="shared" ref="M151:N151" si="65">SUM(J148:J151)</f>
        <v>537400</v>
      </c>
      <c r="N151" s="27">
        <f t="shared" si="65"/>
        <v>537400</v>
      </c>
    </row>
    <row r="152" spans="1:14" x14ac:dyDescent="0.25">
      <c r="A152" s="235" t="s">
        <v>142</v>
      </c>
      <c r="B152" s="236" t="s">
        <v>167</v>
      </c>
      <c r="C152" s="237">
        <v>19000</v>
      </c>
      <c r="D152" s="238">
        <f>22500-2500</f>
        <v>20000</v>
      </c>
      <c r="E152" s="399">
        <v>22500</v>
      </c>
      <c r="F152" s="399">
        <v>32600</v>
      </c>
      <c r="G152" s="237">
        <v>32600</v>
      </c>
      <c r="H152" s="239">
        <v>32600</v>
      </c>
      <c r="I152" s="239">
        <v>32600</v>
      </c>
      <c r="J152" s="239">
        <v>32600</v>
      </c>
      <c r="K152" s="239">
        <v>32600</v>
      </c>
      <c r="L152" s="27"/>
      <c r="M152" s="27"/>
      <c r="N152" s="27"/>
    </row>
    <row r="153" spans="1:14" ht="15.75" thickBot="1" x14ac:dyDescent="0.3">
      <c r="A153" s="225" t="s">
        <v>142</v>
      </c>
      <c r="B153" s="226" t="s">
        <v>168</v>
      </c>
      <c r="C153" s="227">
        <f t="shared" ref="C153:K153" si="66">C84</f>
        <v>1300</v>
      </c>
      <c r="D153" s="228">
        <f t="shared" si="66"/>
        <v>1300</v>
      </c>
      <c r="E153" s="397">
        <f t="shared" si="66"/>
        <v>1308</v>
      </c>
      <c r="F153" s="397">
        <f t="shared" si="66"/>
        <v>1250</v>
      </c>
      <c r="G153" s="227">
        <f t="shared" si="66"/>
        <v>2000</v>
      </c>
      <c r="H153" s="229">
        <f t="shared" si="66"/>
        <v>2000</v>
      </c>
      <c r="I153" s="229">
        <f t="shared" si="66"/>
        <v>2000</v>
      </c>
      <c r="J153" s="229">
        <f t="shared" si="66"/>
        <v>2000</v>
      </c>
      <c r="K153" s="229">
        <f t="shared" si="66"/>
        <v>2000</v>
      </c>
      <c r="L153" s="27">
        <f>SUM(I152:I153)</f>
        <v>34600</v>
      </c>
      <c r="M153" s="27">
        <f t="shared" ref="M153:N153" si="67">SUM(J152:J153)</f>
        <v>34600</v>
      </c>
      <c r="N153" s="27">
        <f t="shared" si="67"/>
        <v>34600</v>
      </c>
    </row>
    <row r="154" spans="1:14" ht="15.75" thickBot="1" x14ac:dyDescent="0.3">
      <c r="A154" s="573" t="s">
        <v>169</v>
      </c>
      <c r="B154" s="574"/>
      <c r="C154" s="240">
        <f t="shared" ref="C154:K154" si="68">SUM(C148:C153)</f>
        <v>463890</v>
      </c>
      <c r="D154" s="241">
        <f t="shared" si="68"/>
        <v>475549</v>
      </c>
      <c r="E154" s="400">
        <f t="shared" si="68"/>
        <v>571075</v>
      </c>
      <c r="F154" s="400">
        <f t="shared" si="68"/>
        <v>613614</v>
      </c>
      <c r="G154" s="240">
        <f t="shared" si="68"/>
        <v>619800</v>
      </c>
      <c r="H154" s="242">
        <f t="shared" si="68"/>
        <v>619622</v>
      </c>
      <c r="I154" s="242">
        <f t="shared" si="68"/>
        <v>572000</v>
      </c>
      <c r="J154" s="242">
        <f t="shared" ref="J154" si="69">SUM(J148:J153)</f>
        <v>572000</v>
      </c>
      <c r="K154" s="242">
        <f t="shared" si="68"/>
        <v>572000</v>
      </c>
      <c r="L154" s="1"/>
    </row>
    <row r="155" spans="1:14" x14ac:dyDescent="0.25">
      <c r="A155" s="243" t="s">
        <v>142</v>
      </c>
      <c r="B155" s="244" t="s">
        <v>170</v>
      </c>
      <c r="C155" s="245">
        <f>69000-4930</f>
        <v>64070</v>
      </c>
      <c r="D155" s="246">
        <f>190500+13510-9254</f>
        <v>194756</v>
      </c>
      <c r="E155" s="245">
        <f t="shared" ref="E155" si="70">190500+13510</f>
        <v>204010</v>
      </c>
      <c r="F155" s="428">
        <v>247438</v>
      </c>
      <c r="G155" s="247">
        <v>245810</v>
      </c>
      <c r="H155" s="247">
        <v>217828</v>
      </c>
      <c r="I155" s="247">
        <f>264110-I157</f>
        <v>252640</v>
      </c>
      <c r="J155" s="247">
        <v>257530</v>
      </c>
      <c r="K155" s="247">
        <v>257530</v>
      </c>
      <c r="L155" s="27">
        <f>I152+I155</f>
        <v>285240</v>
      </c>
      <c r="M155" s="27">
        <f t="shared" ref="M155:N155" si="71">J152+J155</f>
        <v>290130</v>
      </c>
      <c r="N155" s="27">
        <f t="shared" si="71"/>
        <v>290130</v>
      </c>
    </row>
    <row r="156" spans="1:14" x14ac:dyDescent="0.25">
      <c r="A156" s="248" t="s">
        <v>142</v>
      </c>
      <c r="B156" s="249" t="s">
        <v>280</v>
      </c>
      <c r="C156" s="250"/>
      <c r="D156" s="251">
        <v>0</v>
      </c>
      <c r="E156" s="250">
        <v>0</v>
      </c>
      <c r="F156" s="429">
        <v>0</v>
      </c>
      <c r="G156" s="93">
        <v>0</v>
      </c>
      <c r="H156" s="93">
        <v>35982</v>
      </c>
      <c r="I156" s="93">
        <v>0</v>
      </c>
      <c r="J156" s="93">
        <v>0</v>
      </c>
      <c r="K156" s="93">
        <v>0</v>
      </c>
      <c r="L156" s="1"/>
    </row>
    <row r="157" spans="1:14" ht="15.75" thickBot="1" x14ac:dyDescent="0.3">
      <c r="A157" s="248" t="s">
        <v>142</v>
      </c>
      <c r="B157" s="249" t="s">
        <v>171</v>
      </c>
      <c r="C157" s="250">
        <f>C88</f>
        <v>4930</v>
      </c>
      <c r="D157" s="251">
        <f>D88</f>
        <v>10244</v>
      </c>
      <c r="E157" s="250">
        <f>E88</f>
        <v>11710</v>
      </c>
      <c r="F157" s="429">
        <v>11266</v>
      </c>
      <c r="G157" s="93">
        <f>G88</f>
        <v>13690</v>
      </c>
      <c r="H157" s="93">
        <f>H88</f>
        <v>11470</v>
      </c>
      <c r="I157" s="93">
        <f>I88</f>
        <v>11470</v>
      </c>
      <c r="J157" s="93">
        <f>J88</f>
        <v>11470</v>
      </c>
      <c r="K157" s="93">
        <f>K88</f>
        <v>11470</v>
      </c>
      <c r="L157" s="1"/>
    </row>
    <row r="158" spans="1:14" ht="15.75" thickBot="1" x14ac:dyDescent="0.3">
      <c r="A158" s="575" t="s">
        <v>172</v>
      </c>
      <c r="B158" s="576"/>
      <c r="C158" s="252">
        <f t="shared" ref="C158:D158" si="72">SUM(C155:C157)</f>
        <v>69000</v>
      </c>
      <c r="D158" s="253">
        <f t="shared" si="72"/>
        <v>205000</v>
      </c>
      <c r="E158" s="252">
        <f t="shared" ref="E158:K158" si="73">SUM(E155:E157)</f>
        <v>215720</v>
      </c>
      <c r="F158" s="252">
        <f t="shared" ref="F158" si="74">SUM(F155:F157)</f>
        <v>258704</v>
      </c>
      <c r="G158" s="254">
        <f t="shared" si="73"/>
        <v>259500</v>
      </c>
      <c r="H158" s="254">
        <f t="shared" si="73"/>
        <v>265280</v>
      </c>
      <c r="I158" s="254">
        <f t="shared" si="73"/>
        <v>264110</v>
      </c>
      <c r="J158" s="254">
        <f t="shared" ref="J158" si="75">SUM(J155:J157)</f>
        <v>269000</v>
      </c>
      <c r="K158" s="254">
        <f t="shared" si="73"/>
        <v>269000</v>
      </c>
      <c r="L158" s="1"/>
    </row>
    <row r="159" spans="1:14" ht="15.75" thickBot="1" x14ac:dyDescent="0.3">
      <c r="A159" s="567" t="s">
        <v>173</v>
      </c>
      <c r="B159" s="568"/>
      <c r="C159" s="255">
        <f t="shared" ref="C159:K159" si="76">C154+C158</f>
        <v>532890</v>
      </c>
      <c r="D159" s="256">
        <f t="shared" si="76"/>
        <v>680549</v>
      </c>
      <c r="E159" s="255">
        <f t="shared" si="76"/>
        <v>786795</v>
      </c>
      <c r="F159" s="255">
        <f t="shared" ref="F159" si="77">F154+F158</f>
        <v>872318</v>
      </c>
      <c r="G159" s="257">
        <f t="shared" si="76"/>
        <v>879300</v>
      </c>
      <c r="H159" s="257">
        <f t="shared" si="76"/>
        <v>884902</v>
      </c>
      <c r="I159" s="257">
        <f t="shared" si="76"/>
        <v>836110</v>
      </c>
      <c r="J159" s="257">
        <f t="shared" ref="J159" si="78">J154+J158</f>
        <v>841000</v>
      </c>
      <c r="K159" s="257">
        <f t="shared" si="76"/>
        <v>841000</v>
      </c>
      <c r="L159" s="1"/>
    </row>
    <row r="160" spans="1:14" ht="16.5" thickBot="1" x14ac:dyDescent="0.3">
      <c r="A160" s="258" t="s">
        <v>174</v>
      </c>
      <c r="B160" s="144"/>
      <c r="C160" s="259">
        <f t="shared" ref="C160:K160" si="79">C147+C159</f>
        <v>1508309</v>
      </c>
      <c r="D160" s="260">
        <f t="shared" si="79"/>
        <v>1667910</v>
      </c>
      <c r="E160" s="259">
        <f t="shared" si="79"/>
        <v>1949005</v>
      </c>
      <c r="F160" s="259">
        <f t="shared" ref="F160" si="80">F147+F159</f>
        <v>1998056.4</v>
      </c>
      <c r="G160" s="261">
        <f t="shared" si="79"/>
        <v>2288099</v>
      </c>
      <c r="H160" s="261">
        <f t="shared" si="79"/>
        <v>2492199</v>
      </c>
      <c r="I160" s="261">
        <f t="shared" si="79"/>
        <v>2340678</v>
      </c>
      <c r="J160" s="261">
        <f t="shared" ref="J160" si="81">J147+J159</f>
        <v>2324398</v>
      </c>
      <c r="K160" s="261">
        <f t="shared" si="79"/>
        <v>2343278</v>
      </c>
      <c r="L160" s="1"/>
    </row>
    <row r="161" spans="1:12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</row>
    <row r="162" spans="1:12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</row>
    <row r="163" spans="1:12" ht="18.75" thickBot="1" x14ac:dyDescent="0.3">
      <c r="A163" s="569" t="s">
        <v>175</v>
      </c>
      <c r="B163" s="570"/>
      <c r="C163" s="570"/>
      <c r="D163" s="570"/>
      <c r="E163" s="570"/>
      <c r="F163" s="570"/>
      <c r="G163" s="570"/>
      <c r="H163" s="570"/>
      <c r="I163" s="570"/>
      <c r="J163" s="570"/>
      <c r="K163" s="570"/>
      <c r="L163" s="1"/>
    </row>
    <row r="164" spans="1:12" ht="36.75" customHeight="1" thickBot="1" x14ac:dyDescent="0.3">
      <c r="A164" s="564" t="s">
        <v>1</v>
      </c>
      <c r="B164" s="566"/>
      <c r="C164" s="417" t="s">
        <v>2</v>
      </c>
      <c r="D164" s="417" t="s">
        <v>3</v>
      </c>
      <c r="E164" s="417" t="s">
        <v>223</v>
      </c>
      <c r="F164" s="417" t="s">
        <v>253</v>
      </c>
      <c r="G164" s="417" t="s">
        <v>254</v>
      </c>
      <c r="H164" s="417" t="s">
        <v>255</v>
      </c>
      <c r="I164" s="416">
        <v>2022</v>
      </c>
      <c r="J164" s="416">
        <v>2023</v>
      </c>
      <c r="K164" s="416">
        <v>2024</v>
      </c>
      <c r="L164" s="1"/>
    </row>
    <row r="165" spans="1:12" ht="16.5" thickBot="1" x14ac:dyDescent="0.3">
      <c r="A165" s="558" t="s">
        <v>176</v>
      </c>
      <c r="B165" s="559"/>
      <c r="C165" s="262">
        <f t="shared" ref="C165:K165" si="82">SUM(C166:C177)</f>
        <v>5251</v>
      </c>
      <c r="D165" s="262">
        <f t="shared" si="82"/>
        <v>60445</v>
      </c>
      <c r="E165" s="262">
        <f t="shared" si="82"/>
        <v>312996</v>
      </c>
      <c r="F165" s="262">
        <f t="shared" si="82"/>
        <v>118970</v>
      </c>
      <c r="G165" s="262">
        <f t="shared" si="82"/>
        <v>744900</v>
      </c>
      <c r="H165" s="262">
        <f t="shared" si="82"/>
        <v>749900</v>
      </c>
      <c r="I165" s="262">
        <f t="shared" si="82"/>
        <v>774720</v>
      </c>
      <c r="J165" s="262">
        <f t="shared" si="82"/>
        <v>3000</v>
      </c>
      <c r="K165" s="262">
        <f t="shared" si="82"/>
        <v>3000</v>
      </c>
      <c r="L165" s="1"/>
    </row>
    <row r="166" spans="1:12" ht="15.75" thickBot="1" x14ac:dyDescent="0.3">
      <c r="A166" s="77">
        <v>233</v>
      </c>
      <c r="B166" s="78" t="s">
        <v>177</v>
      </c>
      <c r="C166" s="263">
        <v>5251</v>
      </c>
      <c r="D166" s="263">
        <v>445</v>
      </c>
      <c r="E166" s="263">
        <v>3091</v>
      </c>
      <c r="F166" s="263">
        <v>56</v>
      </c>
      <c r="G166" s="264">
        <f>1000+2000</f>
        <v>3000</v>
      </c>
      <c r="H166" s="264">
        <v>3000</v>
      </c>
      <c r="I166" s="264">
        <v>3000</v>
      </c>
      <c r="J166" s="264">
        <v>3000</v>
      </c>
      <c r="K166" s="264">
        <v>3000</v>
      </c>
      <c r="L166" s="1"/>
    </row>
    <row r="167" spans="1:12" ht="15.75" thickBot="1" x14ac:dyDescent="0.3">
      <c r="A167" s="442">
        <v>321</v>
      </c>
      <c r="B167" s="443" t="s">
        <v>266</v>
      </c>
      <c r="C167" s="266"/>
      <c r="D167" s="457">
        <v>0</v>
      </c>
      <c r="E167" s="457">
        <v>0</v>
      </c>
      <c r="F167" s="457">
        <v>0</v>
      </c>
      <c r="G167" s="458">
        <v>0</v>
      </c>
      <c r="H167" s="458">
        <v>5000</v>
      </c>
      <c r="I167" s="458">
        <v>5000</v>
      </c>
      <c r="J167" s="458">
        <v>0</v>
      </c>
      <c r="K167" s="458">
        <v>0</v>
      </c>
      <c r="L167" s="27">
        <f>SUM(I166:I167)</f>
        <v>8000</v>
      </c>
    </row>
    <row r="168" spans="1:12" x14ac:dyDescent="0.25">
      <c r="A168" s="265">
        <v>322</v>
      </c>
      <c r="B168" s="292" t="s">
        <v>259</v>
      </c>
      <c r="C168" s="266"/>
      <c r="D168" s="456"/>
      <c r="E168" s="456"/>
      <c r="F168" s="456">
        <v>0</v>
      </c>
      <c r="G168" s="412">
        <v>131100</v>
      </c>
      <c r="H168" s="412">
        <v>131100</v>
      </c>
      <c r="I168" s="412"/>
      <c r="J168" s="412"/>
      <c r="K168" s="412"/>
      <c r="L168" s="1"/>
    </row>
    <row r="169" spans="1:12" x14ac:dyDescent="0.25">
      <c r="A169" s="268">
        <v>322</v>
      </c>
      <c r="B169" s="72" t="s">
        <v>181</v>
      </c>
      <c r="C169" s="269"/>
      <c r="D169" s="269"/>
      <c r="E169" s="269">
        <v>193252</v>
      </c>
      <c r="F169" s="269"/>
      <c r="G169" s="270">
        <v>300000</v>
      </c>
      <c r="H169" s="270">
        <v>300000</v>
      </c>
      <c r="I169" s="270">
        <v>300000</v>
      </c>
      <c r="J169" s="270"/>
      <c r="K169" s="270"/>
      <c r="L169" s="1"/>
    </row>
    <row r="170" spans="1:12" x14ac:dyDescent="0.25">
      <c r="A170" s="265">
        <v>322</v>
      </c>
      <c r="B170" s="72" t="s">
        <v>267</v>
      </c>
      <c r="C170" s="266"/>
      <c r="D170" s="269"/>
      <c r="E170" s="269"/>
      <c r="F170" s="269"/>
      <c r="G170" s="270">
        <v>15000</v>
      </c>
      <c r="H170" s="270">
        <v>15000</v>
      </c>
      <c r="I170" s="270">
        <v>15000</v>
      </c>
      <c r="J170" s="267"/>
      <c r="K170" s="267"/>
      <c r="L170" s="1"/>
    </row>
    <row r="171" spans="1:12" x14ac:dyDescent="0.25">
      <c r="A171" s="271">
        <v>322</v>
      </c>
      <c r="B171" s="274" t="s">
        <v>252</v>
      </c>
      <c r="C171" s="272"/>
      <c r="D171" s="272"/>
      <c r="E171" s="272"/>
      <c r="F171" s="272"/>
      <c r="G171" s="273">
        <v>19000</v>
      </c>
      <c r="H171" s="273">
        <v>19000</v>
      </c>
      <c r="I171" s="273">
        <v>19000</v>
      </c>
      <c r="J171" s="270"/>
      <c r="K171" s="267"/>
      <c r="L171" s="1"/>
    </row>
    <row r="172" spans="1:12" x14ac:dyDescent="0.25">
      <c r="A172" s="271">
        <v>322</v>
      </c>
      <c r="B172" s="76" t="s">
        <v>246</v>
      </c>
      <c r="C172" s="272"/>
      <c r="D172" s="272"/>
      <c r="E172" s="272"/>
      <c r="F172" s="272"/>
      <c r="G172" s="273">
        <v>110000</v>
      </c>
      <c r="H172" s="273">
        <v>110000</v>
      </c>
      <c r="I172" s="273">
        <v>355220</v>
      </c>
      <c r="J172" s="273"/>
      <c r="K172" s="267"/>
      <c r="L172" s="1"/>
    </row>
    <row r="173" spans="1:12" x14ac:dyDescent="0.25">
      <c r="A173" s="268">
        <v>322</v>
      </c>
      <c r="B173" s="72" t="s">
        <v>247</v>
      </c>
      <c r="C173" s="269"/>
      <c r="D173" s="269"/>
      <c r="E173" s="269">
        <v>0</v>
      </c>
      <c r="F173" s="269"/>
      <c r="G173" s="270">
        <v>166800</v>
      </c>
      <c r="H173" s="270">
        <v>166800</v>
      </c>
      <c r="I173" s="270">
        <f>166800-89300</f>
        <v>77500</v>
      </c>
      <c r="J173" s="412"/>
      <c r="K173" s="267"/>
      <c r="L173" s="1"/>
    </row>
    <row r="174" spans="1:12" x14ac:dyDescent="0.25">
      <c r="A174" s="265">
        <v>322</v>
      </c>
      <c r="B174" s="80" t="s">
        <v>178</v>
      </c>
      <c r="C174" s="266"/>
      <c r="D174" s="266">
        <v>60000</v>
      </c>
      <c r="E174" s="266"/>
      <c r="F174" s="266"/>
      <c r="G174" s="267">
        <v>0</v>
      </c>
      <c r="H174" s="267">
        <v>0</v>
      </c>
      <c r="I174" s="267"/>
      <c r="J174" s="267"/>
      <c r="K174" s="267"/>
      <c r="L174" s="1"/>
    </row>
    <row r="175" spans="1:12" x14ac:dyDescent="0.25">
      <c r="A175" s="268">
        <v>322</v>
      </c>
      <c r="B175" s="72" t="s">
        <v>179</v>
      </c>
      <c r="C175" s="269"/>
      <c r="D175" s="269"/>
      <c r="E175" s="269"/>
      <c r="F175" s="269"/>
      <c r="G175" s="270">
        <v>0</v>
      </c>
      <c r="H175" s="270">
        <v>0</v>
      </c>
      <c r="I175" s="270"/>
      <c r="J175" s="270"/>
      <c r="K175" s="270"/>
      <c r="L175" s="1"/>
    </row>
    <row r="176" spans="1:12" x14ac:dyDescent="0.25">
      <c r="A176" s="271">
        <v>322</v>
      </c>
      <c r="B176" s="76" t="s">
        <v>180</v>
      </c>
      <c r="C176" s="272"/>
      <c r="D176" s="272"/>
      <c r="E176" s="272">
        <v>0</v>
      </c>
      <c r="F176" s="272">
        <v>118914</v>
      </c>
      <c r="G176" s="273">
        <v>0</v>
      </c>
      <c r="H176" s="273">
        <v>0</v>
      </c>
      <c r="I176" s="273"/>
      <c r="J176" s="273"/>
      <c r="K176" s="273"/>
      <c r="L176" s="1"/>
    </row>
    <row r="177" spans="1:23" ht="15.75" thickBot="1" x14ac:dyDescent="0.3">
      <c r="A177" s="268">
        <v>322</v>
      </c>
      <c r="B177" s="275" t="s">
        <v>248</v>
      </c>
      <c r="C177" s="269"/>
      <c r="D177" s="269"/>
      <c r="E177" s="269">
        <v>116653</v>
      </c>
      <c r="F177" s="269">
        <v>0</v>
      </c>
      <c r="G177" s="270">
        <v>0</v>
      </c>
      <c r="H177" s="270">
        <v>0</v>
      </c>
      <c r="I177" s="270"/>
      <c r="J177" s="270"/>
      <c r="K177" s="270"/>
      <c r="L177" s="27">
        <f>SUM(I168:I177)</f>
        <v>766720</v>
      </c>
      <c r="U177" s="464"/>
    </row>
    <row r="178" spans="1:23" ht="16.5" thickBot="1" x14ac:dyDescent="0.3">
      <c r="A178" s="558" t="s">
        <v>182</v>
      </c>
      <c r="B178" s="559"/>
      <c r="C178" s="262">
        <f>SUM(C179:C215)</f>
        <v>171050</v>
      </c>
      <c r="D178" s="262">
        <f>SUM(D179:D215)</f>
        <v>199887</v>
      </c>
      <c r="E178" s="262">
        <f>SUM(E179:E215)</f>
        <v>452163</v>
      </c>
      <c r="F178" s="262">
        <f t="shared" ref="F178:K178" si="83">SUM(F179:F215)</f>
        <v>211426</v>
      </c>
      <c r="G178" s="262">
        <f t="shared" si="83"/>
        <v>1317070</v>
      </c>
      <c r="H178" s="262">
        <f t="shared" si="83"/>
        <v>1288370</v>
      </c>
      <c r="I178" s="262">
        <f t="shared" si="83"/>
        <v>1267700</v>
      </c>
      <c r="J178" s="262">
        <f t="shared" si="83"/>
        <v>208000</v>
      </c>
      <c r="K178" s="262">
        <f t="shared" si="83"/>
        <v>23000</v>
      </c>
      <c r="L178" s="27">
        <f>I178-I165</f>
        <v>492980</v>
      </c>
      <c r="M178" s="27">
        <f t="shared" ref="M178:N178" si="84">J178-J165</f>
        <v>205000</v>
      </c>
      <c r="N178" s="27">
        <f t="shared" si="84"/>
        <v>20000</v>
      </c>
      <c r="U178" s="464"/>
      <c r="V178" s="464"/>
      <c r="W178" s="464"/>
    </row>
    <row r="179" spans="1:23" x14ac:dyDescent="0.25">
      <c r="A179" s="276" t="s">
        <v>77</v>
      </c>
      <c r="B179" s="277" t="s">
        <v>183</v>
      </c>
      <c r="C179" s="278"/>
      <c r="D179" s="278"/>
      <c r="E179" s="278">
        <v>0</v>
      </c>
      <c r="F179" s="278">
        <v>131248</v>
      </c>
      <c r="G179" s="278"/>
      <c r="H179" s="278"/>
      <c r="I179" s="278"/>
      <c r="J179" s="278"/>
      <c r="K179" s="278"/>
      <c r="L179" s="1"/>
    </row>
    <row r="180" spans="1:23" x14ac:dyDescent="0.25">
      <c r="A180" s="279" t="s">
        <v>77</v>
      </c>
      <c r="B180" s="280" t="s">
        <v>184</v>
      </c>
      <c r="C180" s="281"/>
      <c r="D180" s="281"/>
      <c r="E180" s="281">
        <v>24255</v>
      </c>
      <c r="F180" s="281">
        <v>0</v>
      </c>
      <c r="G180" s="281"/>
      <c r="H180" s="281"/>
      <c r="I180" s="281"/>
      <c r="J180" s="281"/>
      <c r="K180" s="281"/>
      <c r="L180" s="1"/>
    </row>
    <row r="181" spans="1:23" ht="15.75" thickBot="1" x14ac:dyDescent="0.3">
      <c r="A181" s="282" t="s">
        <v>77</v>
      </c>
      <c r="B181" s="283" t="s">
        <v>229</v>
      </c>
      <c r="C181" s="284"/>
      <c r="D181" s="284"/>
      <c r="E181" s="284">
        <v>26434</v>
      </c>
      <c r="F181" s="284">
        <v>3587</v>
      </c>
      <c r="G181" s="284"/>
      <c r="H181" s="284"/>
      <c r="I181" s="284"/>
      <c r="J181" s="284"/>
      <c r="K181" s="284"/>
      <c r="L181" s="1"/>
    </row>
    <row r="182" spans="1:23" ht="15.75" thickBot="1" x14ac:dyDescent="0.3">
      <c r="A182" s="409" t="s">
        <v>89</v>
      </c>
      <c r="B182" s="410" t="s">
        <v>185</v>
      </c>
      <c r="C182" s="411"/>
      <c r="D182" s="411">
        <v>76359</v>
      </c>
      <c r="E182" s="411">
        <v>0</v>
      </c>
      <c r="F182" s="411">
        <v>0</v>
      </c>
      <c r="G182" s="411"/>
      <c r="H182" s="411"/>
      <c r="I182" s="411"/>
      <c r="J182" s="411"/>
      <c r="K182" s="411"/>
      <c r="L182" s="1"/>
    </row>
    <row r="183" spans="1:23" x14ac:dyDescent="0.25">
      <c r="A183" s="286" t="s">
        <v>96</v>
      </c>
      <c r="B183" s="275" t="s">
        <v>186</v>
      </c>
      <c r="C183" s="287"/>
      <c r="D183" s="287"/>
      <c r="E183" s="287">
        <v>0</v>
      </c>
      <c r="F183" s="287">
        <v>0</v>
      </c>
      <c r="G183" s="287">
        <v>6870</v>
      </c>
      <c r="H183" s="287">
        <v>6870</v>
      </c>
      <c r="I183" s="287">
        <v>1500</v>
      </c>
      <c r="J183" s="287"/>
      <c r="K183" s="287"/>
      <c r="L183" s="1"/>
    </row>
    <row r="184" spans="1:23" x14ac:dyDescent="0.25">
      <c r="A184" s="288" t="s">
        <v>98</v>
      </c>
      <c r="B184" s="289" t="s">
        <v>187</v>
      </c>
      <c r="C184" s="290"/>
      <c r="D184" s="290">
        <f>21840+3926+35385</f>
        <v>61151</v>
      </c>
      <c r="E184" s="290">
        <v>0</v>
      </c>
      <c r="F184" s="290"/>
      <c r="G184" s="290"/>
      <c r="H184" s="290"/>
      <c r="I184" s="290"/>
      <c r="J184" s="290"/>
      <c r="K184" s="290"/>
      <c r="L184" s="1"/>
    </row>
    <row r="185" spans="1:23" ht="15.75" thickBot="1" x14ac:dyDescent="0.3">
      <c r="A185" s="282" t="s">
        <v>98</v>
      </c>
      <c r="B185" s="408" t="s">
        <v>249</v>
      </c>
      <c r="C185" s="284"/>
      <c r="D185" s="284"/>
      <c r="E185" s="284">
        <v>0</v>
      </c>
      <c r="F185" s="284">
        <v>6813</v>
      </c>
      <c r="G185" s="284">
        <v>10200</v>
      </c>
      <c r="H185" s="284">
        <v>20600</v>
      </c>
      <c r="I185" s="284">
        <v>20600</v>
      </c>
      <c r="J185" s="284"/>
      <c r="K185" s="284"/>
      <c r="L185" s="27">
        <f>SUM(I183:I185)</f>
        <v>22100</v>
      </c>
    </row>
    <row r="186" spans="1:23" x14ac:dyDescent="0.25">
      <c r="A186" s="291" t="s">
        <v>101</v>
      </c>
      <c r="B186" s="289" t="s">
        <v>188</v>
      </c>
      <c r="C186" s="293"/>
      <c r="D186" s="293">
        <v>2305</v>
      </c>
      <c r="E186" s="293"/>
      <c r="F186" s="293"/>
      <c r="G186" s="293"/>
      <c r="H186" s="293"/>
      <c r="I186" s="293"/>
      <c r="J186" s="293"/>
      <c r="K186" s="293"/>
      <c r="L186" s="1"/>
    </row>
    <row r="187" spans="1:23" x14ac:dyDescent="0.25">
      <c r="A187" s="291" t="s">
        <v>101</v>
      </c>
      <c r="B187" s="292" t="s">
        <v>250</v>
      </c>
      <c r="C187" s="293"/>
      <c r="D187" s="293"/>
      <c r="E187" s="293"/>
      <c r="F187" s="293"/>
      <c r="G187" s="293">
        <v>138000</v>
      </c>
      <c r="H187" s="293">
        <v>138000</v>
      </c>
      <c r="I187" s="293"/>
      <c r="J187" s="293"/>
      <c r="K187" s="293"/>
      <c r="L187" s="1"/>
    </row>
    <row r="188" spans="1:23" x14ac:dyDescent="0.25">
      <c r="A188" s="291" t="s">
        <v>103</v>
      </c>
      <c r="B188" s="292" t="s">
        <v>268</v>
      </c>
      <c r="C188" s="293"/>
      <c r="D188" s="293"/>
      <c r="E188" s="293"/>
      <c r="F188" s="293"/>
      <c r="G188" s="293">
        <v>10000</v>
      </c>
      <c r="H188" s="293">
        <v>15200</v>
      </c>
      <c r="I188" s="293"/>
      <c r="J188" s="293"/>
      <c r="K188" s="293"/>
      <c r="L188" s="1"/>
    </row>
    <row r="189" spans="1:23" x14ac:dyDescent="0.25">
      <c r="A189" s="279" t="s">
        <v>103</v>
      </c>
      <c r="B189" s="294" t="s">
        <v>245</v>
      </c>
      <c r="C189" s="281"/>
      <c r="D189" s="281"/>
      <c r="E189" s="281">
        <v>213721</v>
      </c>
      <c r="F189" s="281"/>
      <c r="G189" s="281">
        <v>350000</v>
      </c>
      <c r="H189" s="281">
        <v>335200</v>
      </c>
      <c r="I189" s="281">
        <v>325000</v>
      </c>
      <c r="J189" s="281"/>
      <c r="K189" s="281"/>
      <c r="L189" s="1"/>
    </row>
    <row r="190" spans="1:23" x14ac:dyDescent="0.25">
      <c r="A190" s="291" t="s">
        <v>103</v>
      </c>
      <c r="B190" s="292" t="s">
        <v>269</v>
      </c>
      <c r="C190" s="290"/>
      <c r="D190" s="281"/>
      <c r="E190" s="281"/>
      <c r="F190" s="281"/>
      <c r="G190" s="281">
        <v>0</v>
      </c>
      <c r="H190" s="281">
        <v>38900</v>
      </c>
      <c r="I190" s="281"/>
      <c r="J190" s="281"/>
      <c r="K190" s="281"/>
      <c r="L190" s="1"/>
    </row>
    <row r="191" spans="1:23" x14ac:dyDescent="0.25">
      <c r="A191" s="444" t="s">
        <v>107</v>
      </c>
      <c r="B191" s="431" t="s">
        <v>270</v>
      </c>
      <c r="C191" s="290"/>
      <c r="D191" s="281"/>
      <c r="E191" s="281"/>
      <c r="F191" s="281"/>
      <c r="G191" s="281">
        <v>0</v>
      </c>
      <c r="H191" s="281">
        <v>3600</v>
      </c>
      <c r="I191" s="281"/>
      <c r="J191" s="281"/>
      <c r="K191" s="281"/>
      <c r="L191" s="1"/>
    </row>
    <row r="192" spans="1:23" ht="15.75" thickBot="1" x14ac:dyDescent="0.3">
      <c r="A192" s="295" t="s">
        <v>107</v>
      </c>
      <c r="B192" s="296" t="s">
        <v>189</v>
      </c>
      <c r="C192" s="285"/>
      <c r="D192" s="285">
        <v>7773</v>
      </c>
      <c r="E192" s="285">
        <v>0</v>
      </c>
      <c r="F192" s="285"/>
      <c r="G192" s="285">
        <v>0</v>
      </c>
      <c r="H192" s="285">
        <v>0</v>
      </c>
      <c r="I192" s="285"/>
      <c r="J192" s="285"/>
      <c r="K192" s="285"/>
      <c r="L192" s="1"/>
    </row>
    <row r="193" spans="1:12" x14ac:dyDescent="0.25">
      <c r="A193" s="288" t="s">
        <v>190</v>
      </c>
      <c r="B193" s="289" t="s">
        <v>191</v>
      </c>
      <c r="C193" s="290">
        <v>2107</v>
      </c>
      <c r="D193" s="290">
        <v>114</v>
      </c>
      <c r="E193" s="290">
        <v>0</v>
      </c>
      <c r="F193" s="290">
        <v>0</v>
      </c>
      <c r="G193" s="290">
        <v>75000</v>
      </c>
      <c r="H193" s="290">
        <v>25100</v>
      </c>
      <c r="I193" s="290">
        <v>43000</v>
      </c>
      <c r="J193" s="290">
        <v>3000</v>
      </c>
      <c r="K193" s="290">
        <v>3000</v>
      </c>
      <c r="L193" s="1"/>
    </row>
    <row r="194" spans="1:12" x14ac:dyDescent="0.25">
      <c r="A194" s="297" t="s">
        <v>190</v>
      </c>
      <c r="B194" s="294" t="s">
        <v>251</v>
      </c>
      <c r="C194" s="281">
        <v>49262</v>
      </c>
      <c r="D194" s="281">
        <v>19728</v>
      </c>
      <c r="E194" s="281">
        <v>10645</v>
      </c>
      <c r="F194" s="281">
        <v>20733</v>
      </c>
      <c r="G194" s="281">
        <v>60000</v>
      </c>
      <c r="H194" s="281">
        <v>50000</v>
      </c>
      <c r="I194" s="281">
        <v>29000</v>
      </c>
      <c r="J194" s="281">
        <v>20000</v>
      </c>
      <c r="K194" s="281">
        <v>20000</v>
      </c>
      <c r="L194" s="27"/>
    </row>
    <row r="195" spans="1:12" x14ac:dyDescent="0.25">
      <c r="A195" s="297" t="s">
        <v>110</v>
      </c>
      <c r="B195" s="431" t="s">
        <v>234</v>
      </c>
      <c r="C195" s="281"/>
      <c r="D195" s="281"/>
      <c r="E195" s="281"/>
      <c r="F195" s="281"/>
      <c r="G195" s="281">
        <v>15800</v>
      </c>
      <c r="H195" s="281">
        <v>15800</v>
      </c>
      <c r="I195" s="281">
        <v>15800</v>
      </c>
      <c r="J195" s="281"/>
      <c r="K195" s="281"/>
      <c r="L195" s="27"/>
    </row>
    <row r="196" spans="1:12" x14ac:dyDescent="0.25">
      <c r="A196" s="300" t="s">
        <v>110</v>
      </c>
      <c r="B196" s="298" t="s">
        <v>260</v>
      </c>
      <c r="C196" s="281"/>
      <c r="D196" s="281">
        <v>2600</v>
      </c>
      <c r="E196" s="281">
        <v>0</v>
      </c>
      <c r="F196" s="281">
        <v>35581</v>
      </c>
      <c r="G196" s="281">
        <v>10000</v>
      </c>
      <c r="H196" s="281">
        <v>12000</v>
      </c>
      <c r="I196" s="281"/>
      <c r="J196" s="281"/>
      <c r="K196" s="281"/>
      <c r="L196" s="1"/>
    </row>
    <row r="197" spans="1:12" x14ac:dyDescent="0.25">
      <c r="A197" s="301" t="s">
        <v>110</v>
      </c>
      <c r="B197" s="459" t="s">
        <v>281</v>
      </c>
      <c r="C197" s="281"/>
      <c r="D197" s="281"/>
      <c r="E197" s="281"/>
      <c r="F197" s="281"/>
      <c r="G197" s="281">
        <v>0</v>
      </c>
      <c r="H197" s="281">
        <v>2200</v>
      </c>
      <c r="I197" s="281"/>
      <c r="J197" s="281"/>
      <c r="K197" s="281"/>
      <c r="L197" s="1"/>
    </row>
    <row r="198" spans="1:12" x14ac:dyDescent="0.25">
      <c r="A198" s="297" t="s">
        <v>110</v>
      </c>
      <c r="B198" s="294" t="s">
        <v>224</v>
      </c>
      <c r="C198" s="281"/>
      <c r="D198" s="281"/>
      <c r="E198" s="281">
        <v>36425</v>
      </c>
      <c r="F198" s="281">
        <v>0</v>
      </c>
      <c r="G198" s="281">
        <v>0</v>
      </c>
      <c r="H198" s="281">
        <v>0</v>
      </c>
      <c r="I198" s="281"/>
      <c r="J198" s="281"/>
      <c r="K198" s="281"/>
      <c r="L198" s="1"/>
    </row>
    <row r="199" spans="1:12" ht="15.75" thickBot="1" x14ac:dyDescent="0.3">
      <c r="A199" s="299" t="s">
        <v>110</v>
      </c>
      <c r="B199" s="445" t="s">
        <v>243</v>
      </c>
      <c r="C199" s="284"/>
      <c r="D199" s="284"/>
      <c r="E199" s="284"/>
      <c r="F199" s="284">
        <v>0</v>
      </c>
      <c r="G199" s="284">
        <v>35000</v>
      </c>
      <c r="H199" s="284">
        <v>31900</v>
      </c>
      <c r="I199" s="284">
        <v>30000</v>
      </c>
      <c r="J199" s="284"/>
      <c r="K199" s="284"/>
      <c r="L199" s="27">
        <f>SUM(I193:I199)</f>
        <v>117800</v>
      </c>
    </row>
    <row r="200" spans="1:12" x14ac:dyDescent="0.25">
      <c r="A200" s="300" t="s">
        <v>125</v>
      </c>
      <c r="B200" s="298" t="s">
        <v>192</v>
      </c>
      <c r="C200" s="287"/>
      <c r="D200" s="287"/>
      <c r="E200" s="287">
        <v>0</v>
      </c>
      <c r="F200" s="287">
        <v>0</v>
      </c>
      <c r="G200" s="287">
        <v>32000</v>
      </c>
      <c r="H200" s="287">
        <v>41100</v>
      </c>
      <c r="I200" s="287"/>
      <c r="J200" s="287"/>
      <c r="K200" s="287"/>
      <c r="L200" s="27"/>
    </row>
    <row r="201" spans="1:12" x14ac:dyDescent="0.25">
      <c r="A201" s="301" t="s">
        <v>125</v>
      </c>
      <c r="B201" s="302" t="s">
        <v>193</v>
      </c>
      <c r="C201" s="290">
        <f>51725+9953+44705</f>
        <v>106383</v>
      </c>
      <c r="D201" s="290">
        <v>3568</v>
      </c>
      <c r="E201" s="290">
        <v>0</v>
      </c>
      <c r="F201" s="290"/>
      <c r="G201" s="290">
        <v>0</v>
      </c>
      <c r="H201" s="290">
        <v>0</v>
      </c>
      <c r="I201" s="290"/>
      <c r="J201" s="290"/>
      <c r="K201" s="290"/>
      <c r="L201" s="27"/>
    </row>
    <row r="202" spans="1:12" x14ac:dyDescent="0.25">
      <c r="A202" s="303" t="s">
        <v>125</v>
      </c>
      <c r="B202" s="304" t="s">
        <v>195</v>
      </c>
      <c r="C202" s="293"/>
      <c r="D202" s="293"/>
      <c r="E202" s="293">
        <v>0</v>
      </c>
      <c r="F202" s="293">
        <v>0</v>
      </c>
      <c r="G202" s="293">
        <v>21000</v>
      </c>
      <c r="H202" s="293">
        <v>21000</v>
      </c>
      <c r="I202" s="293">
        <v>21000</v>
      </c>
      <c r="J202" s="293"/>
      <c r="K202" s="290"/>
      <c r="L202" s="27"/>
    </row>
    <row r="203" spans="1:12" x14ac:dyDescent="0.25">
      <c r="A203" s="303" t="s">
        <v>125</v>
      </c>
      <c r="B203" s="304" t="s">
        <v>244</v>
      </c>
      <c r="C203" s="293"/>
      <c r="D203" s="293"/>
      <c r="E203" s="293">
        <v>0</v>
      </c>
      <c r="F203" s="293"/>
      <c r="G203" s="293">
        <v>8000</v>
      </c>
      <c r="H203" s="293">
        <v>8000</v>
      </c>
      <c r="I203" s="293">
        <v>8000</v>
      </c>
      <c r="J203" s="293"/>
      <c r="K203" s="293"/>
      <c r="L203" s="1"/>
    </row>
    <row r="204" spans="1:12" x14ac:dyDescent="0.25">
      <c r="A204" s="303" t="s">
        <v>125</v>
      </c>
      <c r="B204" s="304" t="s">
        <v>194</v>
      </c>
      <c r="C204" s="293"/>
      <c r="D204" s="293"/>
      <c r="E204" s="293">
        <v>3300</v>
      </c>
      <c r="F204" s="293"/>
      <c r="G204" s="293"/>
      <c r="H204" s="293"/>
      <c r="I204" s="293"/>
      <c r="J204" s="293"/>
      <c r="K204" s="293"/>
      <c r="L204" s="1"/>
    </row>
    <row r="205" spans="1:12" x14ac:dyDescent="0.25">
      <c r="A205" s="303" t="s">
        <v>127</v>
      </c>
      <c r="B205" s="294" t="s">
        <v>271</v>
      </c>
      <c r="C205" s="293"/>
      <c r="D205" s="293"/>
      <c r="E205" s="293"/>
      <c r="F205" s="293"/>
      <c r="G205" s="293">
        <v>200000</v>
      </c>
      <c r="H205" s="293">
        <v>200000</v>
      </c>
      <c r="I205" s="293">
        <v>200000</v>
      </c>
      <c r="J205" s="293">
        <v>185000</v>
      </c>
      <c r="K205" s="293"/>
      <c r="L205" s="1"/>
    </row>
    <row r="206" spans="1:12" x14ac:dyDescent="0.25">
      <c r="A206" s="303" t="s">
        <v>127</v>
      </c>
      <c r="B206" s="304" t="s">
        <v>242</v>
      </c>
      <c r="C206" s="293">
        <v>2698</v>
      </c>
      <c r="D206" s="293"/>
      <c r="E206" s="293">
        <v>0</v>
      </c>
      <c r="F206" s="293"/>
      <c r="G206" s="293">
        <v>50000</v>
      </c>
      <c r="H206" s="293">
        <v>10000</v>
      </c>
      <c r="I206" s="293">
        <v>100000</v>
      </c>
      <c r="J206" s="293"/>
      <c r="K206" s="293"/>
      <c r="L206" s="1"/>
    </row>
    <row r="207" spans="1:12" ht="15.75" thickBot="1" x14ac:dyDescent="0.3">
      <c r="A207" s="305" t="s">
        <v>131</v>
      </c>
      <c r="B207" s="280" t="s">
        <v>230</v>
      </c>
      <c r="C207" s="281"/>
      <c r="D207" s="281">
        <v>3847</v>
      </c>
      <c r="E207" s="281">
        <v>0</v>
      </c>
      <c r="F207" s="281">
        <v>0</v>
      </c>
      <c r="G207" s="281"/>
      <c r="H207" s="281">
        <v>3000</v>
      </c>
      <c r="I207" s="281"/>
      <c r="J207" s="281"/>
      <c r="K207" s="281"/>
      <c r="L207" s="27">
        <f>SUM(I200:I207)</f>
        <v>329000</v>
      </c>
    </row>
    <row r="208" spans="1:12" x14ac:dyDescent="0.25">
      <c r="A208" s="307" t="s">
        <v>136</v>
      </c>
      <c r="B208" s="277" t="s">
        <v>196</v>
      </c>
      <c r="C208" s="278"/>
      <c r="D208" s="278"/>
      <c r="E208" s="278">
        <v>125059</v>
      </c>
      <c r="F208" s="278"/>
      <c r="G208" s="278"/>
      <c r="H208" s="278"/>
      <c r="I208" s="278"/>
      <c r="J208" s="278"/>
      <c r="K208" s="278"/>
      <c r="L208" s="1"/>
    </row>
    <row r="209" spans="1:23" x14ac:dyDescent="0.25">
      <c r="A209" s="305" t="s">
        <v>136</v>
      </c>
      <c r="B209" s="280" t="s">
        <v>272</v>
      </c>
      <c r="C209" s="281"/>
      <c r="D209" s="281">
        <v>2984</v>
      </c>
      <c r="E209" s="281"/>
      <c r="F209" s="281">
        <v>0</v>
      </c>
      <c r="G209" s="281"/>
      <c r="H209" s="281"/>
      <c r="I209" s="281"/>
      <c r="J209" s="281"/>
      <c r="K209" s="281"/>
      <c r="L209" s="1"/>
    </row>
    <row r="210" spans="1:23" x14ac:dyDescent="0.25">
      <c r="A210" s="305" t="s">
        <v>136</v>
      </c>
      <c r="B210" s="280" t="s">
        <v>273</v>
      </c>
      <c r="C210" s="287"/>
      <c r="D210" s="287"/>
      <c r="E210" s="287"/>
      <c r="F210" s="287"/>
      <c r="G210" s="287">
        <v>120000</v>
      </c>
      <c r="H210" s="287">
        <v>120000</v>
      </c>
      <c r="I210" s="287">
        <v>381000</v>
      </c>
      <c r="J210" s="287"/>
      <c r="K210" s="287"/>
      <c r="L210" s="1"/>
    </row>
    <row r="211" spans="1:23" ht="15" customHeight="1" x14ac:dyDescent="0.25">
      <c r="A211" s="308" t="s">
        <v>140</v>
      </c>
      <c r="B211" s="275" t="s">
        <v>231</v>
      </c>
      <c r="C211" s="287"/>
      <c r="D211" s="287">
        <v>16897</v>
      </c>
      <c r="E211" s="287">
        <v>9936</v>
      </c>
      <c r="F211" s="287"/>
      <c r="G211" s="287"/>
      <c r="H211" s="287"/>
      <c r="I211" s="287"/>
      <c r="J211" s="287"/>
      <c r="K211" s="287"/>
      <c r="L211" s="1"/>
    </row>
    <row r="212" spans="1:23" ht="15" customHeight="1" x14ac:dyDescent="0.25">
      <c r="A212" s="303" t="s">
        <v>140</v>
      </c>
      <c r="B212" s="432" t="s">
        <v>261</v>
      </c>
      <c r="C212" s="290"/>
      <c r="D212" s="281"/>
      <c r="E212" s="281"/>
      <c r="F212" s="281">
        <v>2220</v>
      </c>
      <c r="G212" s="281">
        <v>0</v>
      </c>
      <c r="H212" s="281">
        <v>3100</v>
      </c>
      <c r="I212" s="281"/>
      <c r="J212" s="281"/>
      <c r="K212" s="281"/>
      <c r="L212" s="1"/>
    </row>
    <row r="213" spans="1:23" ht="15" customHeight="1" x14ac:dyDescent="0.25">
      <c r="A213" s="433" t="s">
        <v>140</v>
      </c>
      <c r="B213" s="434" t="s">
        <v>262</v>
      </c>
      <c r="C213" s="290"/>
      <c r="D213" s="281"/>
      <c r="E213" s="281"/>
      <c r="F213" s="281">
        <v>11244</v>
      </c>
      <c r="G213" s="281"/>
      <c r="H213" s="281"/>
      <c r="I213" s="281"/>
      <c r="J213" s="281"/>
      <c r="K213" s="281"/>
      <c r="L213" s="1"/>
    </row>
    <row r="214" spans="1:23" ht="15.75" thickBot="1" x14ac:dyDescent="0.3">
      <c r="A214" s="306" t="s">
        <v>149</v>
      </c>
      <c r="B214" s="309" t="s">
        <v>263</v>
      </c>
      <c r="C214" s="285">
        <v>10600</v>
      </c>
      <c r="D214" s="285">
        <v>2561</v>
      </c>
      <c r="E214" s="285">
        <v>2388</v>
      </c>
      <c r="F214" s="285">
        <v>0</v>
      </c>
      <c r="G214" s="285"/>
      <c r="H214" s="285"/>
      <c r="I214" s="285"/>
      <c r="J214" s="285"/>
      <c r="K214" s="285"/>
      <c r="L214" s="27">
        <f>SUM(I208:I214)</f>
        <v>381000</v>
      </c>
    </row>
    <row r="215" spans="1:23" ht="15.75" thickBot="1" x14ac:dyDescent="0.3">
      <c r="A215" s="310" t="s">
        <v>152</v>
      </c>
      <c r="B215" s="446" t="s">
        <v>274</v>
      </c>
      <c r="C215" s="284"/>
      <c r="D215" s="284"/>
      <c r="E215" s="284">
        <v>0</v>
      </c>
      <c r="F215" s="284">
        <v>0</v>
      </c>
      <c r="G215" s="284">
        <v>175200</v>
      </c>
      <c r="H215" s="284">
        <v>186800</v>
      </c>
      <c r="I215" s="284">
        <f>186800-94000</f>
        <v>92800</v>
      </c>
      <c r="J215" s="284"/>
      <c r="K215" s="284"/>
      <c r="L215" s="1"/>
    </row>
    <row r="216" spans="1:23" x14ac:dyDescent="0.25">
      <c r="A216" s="311"/>
      <c r="B216" s="312"/>
      <c r="C216" s="312"/>
      <c r="D216" s="312"/>
      <c r="E216" s="313"/>
      <c r="F216" s="313"/>
      <c r="G216" s="313"/>
      <c r="H216" s="313"/>
      <c r="I216" s="313"/>
      <c r="J216" s="313"/>
      <c r="K216" s="313"/>
      <c r="L216" s="313"/>
    </row>
    <row r="217" spans="1:23" x14ac:dyDescent="0.25">
      <c r="A217" s="314"/>
      <c r="B217" s="315"/>
      <c r="C217" s="315"/>
      <c r="D217" s="315"/>
      <c r="E217" s="316"/>
      <c r="F217" s="316"/>
      <c r="G217" s="316"/>
      <c r="H217" s="316"/>
      <c r="I217" s="316"/>
      <c r="J217" s="316"/>
      <c r="K217" s="316"/>
      <c r="L217" s="316"/>
    </row>
    <row r="218" spans="1:23" ht="18.75" thickBot="1" x14ac:dyDescent="0.3">
      <c r="A218" s="560" t="s">
        <v>197</v>
      </c>
      <c r="B218" s="561"/>
      <c r="C218" s="561"/>
      <c r="D218" s="561"/>
      <c r="E218" s="561"/>
      <c r="F218" s="561"/>
      <c r="G218" s="561"/>
      <c r="H218" s="561"/>
      <c r="I218" s="561"/>
      <c r="J218" s="561"/>
      <c r="K218" s="561"/>
      <c r="L218" s="1"/>
    </row>
    <row r="219" spans="1:23" ht="32.25" customHeight="1" thickBot="1" x14ac:dyDescent="0.3">
      <c r="A219" s="564" t="s">
        <v>1</v>
      </c>
      <c r="B219" s="566"/>
      <c r="C219" s="417" t="s">
        <v>2</v>
      </c>
      <c r="D219" s="417" t="s">
        <v>3</v>
      </c>
      <c r="E219" s="417" t="s">
        <v>223</v>
      </c>
      <c r="F219" s="417" t="s">
        <v>253</v>
      </c>
      <c r="G219" s="417" t="s">
        <v>254</v>
      </c>
      <c r="H219" s="417" t="s">
        <v>255</v>
      </c>
      <c r="I219" s="416">
        <v>2022</v>
      </c>
      <c r="J219" s="416">
        <v>2023</v>
      </c>
      <c r="K219" s="416">
        <v>2024</v>
      </c>
      <c r="L219" s="1"/>
    </row>
    <row r="220" spans="1:23" ht="16.5" thickBot="1" x14ac:dyDescent="0.3">
      <c r="A220" s="447" t="s">
        <v>198</v>
      </c>
      <c r="B220" s="448"/>
      <c r="C220" s="449">
        <f>SUM(C224:C229)</f>
        <v>85625</v>
      </c>
      <c r="D220" s="449">
        <f t="shared" ref="D220:K220" si="85">SUM(D221:D230)</f>
        <v>129336</v>
      </c>
      <c r="E220" s="449">
        <f t="shared" si="85"/>
        <v>137207</v>
      </c>
      <c r="F220" s="449">
        <f t="shared" si="85"/>
        <v>174149</v>
      </c>
      <c r="G220" s="449">
        <f t="shared" si="85"/>
        <v>598670</v>
      </c>
      <c r="H220" s="449">
        <f t="shared" si="85"/>
        <v>639767</v>
      </c>
      <c r="I220" s="449">
        <f t="shared" si="85"/>
        <v>586880</v>
      </c>
      <c r="J220" s="449">
        <f t="shared" si="85"/>
        <v>209600</v>
      </c>
      <c r="K220" s="449">
        <f t="shared" si="85"/>
        <v>24600</v>
      </c>
      <c r="L220" s="27"/>
    </row>
    <row r="221" spans="1:23" x14ac:dyDescent="0.25">
      <c r="A221" s="317">
        <v>453</v>
      </c>
      <c r="B221" s="318" t="s">
        <v>199</v>
      </c>
      <c r="C221" s="319">
        <v>709</v>
      </c>
      <c r="D221" s="319"/>
      <c r="E221" s="319">
        <v>480</v>
      </c>
      <c r="F221" s="319">
        <v>2009</v>
      </c>
      <c r="G221" s="319">
        <v>1000</v>
      </c>
      <c r="H221" s="319">
        <v>1000</v>
      </c>
      <c r="I221" s="319">
        <v>1500</v>
      </c>
      <c r="J221" s="319">
        <v>1500</v>
      </c>
      <c r="K221" s="319">
        <v>1500</v>
      </c>
      <c r="L221" s="1"/>
    </row>
    <row r="222" spans="1:23" x14ac:dyDescent="0.25">
      <c r="A222" s="435">
        <v>453</v>
      </c>
      <c r="B222" s="436" t="s">
        <v>329</v>
      </c>
      <c r="C222" s="64">
        <v>997</v>
      </c>
      <c r="D222" s="64">
        <v>561</v>
      </c>
      <c r="E222" s="64">
        <v>834</v>
      </c>
      <c r="F222" s="64">
        <v>10439</v>
      </c>
      <c r="G222" s="64">
        <v>9000</v>
      </c>
      <c r="H222" s="64">
        <v>19400</v>
      </c>
      <c r="I222" s="64">
        <f>3000+19000</f>
        <v>22000</v>
      </c>
      <c r="J222" s="64">
        <v>3000</v>
      </c>
      <c r="K222" s="64">
        <v>3000</v>
      </c>
      <c r="L222" s="27"/>
    </row>
    <row r="223" spans="1:23" x14ac:dyDescent="0.25">
      <c r="A223" s="317">
        <v>453</v>
      </c>
      <c r="B223" s="436" t="s">
        <v>335</v>
      </c>
      <c r="C223" s="319"/>
      <c r="D223" s="319">
        <v>0</v>
      </c>
      <c r="E223" s="319">
        <v>0</v>
      </c>
      <c r="F223" s="319">
        <v>0</v>
      </c>
      <c r="G223" s="319">
        <v>0</v>
      </c>
      <c r="H223" s="319">
        <v>0</v>
      </c>
      <c r="I223" s="319">
        <v>64300</v>
      </c>
      <c r="J223" s="319">
        <v>0</v>
      </c>
      <c r="K223" s="319">
        <v>0</v>
      </c>
      <c r="L223" s="27"/>
    </row>
    <row r="224" spans="1:23" ht="15.75" thickBot="1" x14ac:dyDescent="0.3">
      <c r="A224" s="320">
        <v>453</v>
      </c>
      <c r="B224" s="321" t="s">
        <v>328</v>
      </c>
      <c r="C224" s="322">
        <v>0</v>
      </c>
      <c r="D224" s="322"/>
      <c r="E224" s="322">
        <v>0</v>
      </c>
      <c r="F224" s="322">
        <v>4901</v>
      </c>
      <c r="G224" s="322">
        <v>2400</v>
      </c>
      <c r="H224" s="322">
        <v>2400</v>
      </c>
      <c r="I224" s="322">
        <v>6000</v>
      </c>
      <c r="J224" s="322">
        <v>0</v>
      </c>
      <c r="K224" s="322">
        <v>0</v>
      </c>
      <c r="L224" s="27">
        <f>SUM(I221:I224)</f>
        <v>93800</v>
      </c>
      <c r="M224" s="27">
        <f>SUM(J221:J224)</f>
        <v>4500</v>
      </c>
      <c r="N224" s="27">
        <f>SUM(K221:K224)</f>
        <v>4500</v>
      </c>
      <c r="U224" s="464"/>
      <c r="V224" s="464"/>
      <c r="W224" s="464"/>
    </row>
    <row r="225" spans="1:15" x14ac:dyDescent="0.25">
      <c r="A225" s="402">
        <v>454</v>
      </c>
      <c r="B225" s="401" t="s">
        <v>200</v>
      </c>
      <c r="C225" s="403">
        <v>85625</v>
      </c>
      <c r="D225" s="403">
        <v>128713</v>
      </c>
      <c r="E225" s="403">
        <v>135867</v>
      </c>
      <c r="F225" s="403">
        <v>92456</v>
      </c>
      <c r="G225" s="403">
        <v>572170</v>
      </c>
      <c r="H225" s="403">
        <v>543470</v>
      </c>
      <c r="I225" s="403">
        <v>492980</v>
      </c>
      <c r="J225" s="403">
        <v>20000</v>
      </c>
      <c r="K225" s="403">
        <v>20000</v>
      </c>
      <c r="L225" s="1"/>
    </row>
    <row r="226" spans="1:15" x14ac:dyDescent="0.25">
      <c r="A226" s="317">
        <v>454</v>
      </c>
      <c r="B226" s="401" t="s">
        <v>232</v>
      </c>
      <c r="C226" s="319"/>
      <c r="D226" s="319"/>
      <c r="E226" s="319"/>
      <c r="F226" s="319">
        <v>0</v>
      </c>
      <c r="G226" s="319">
        <v>14000</v>
      </c>
      <c r="H226" s="319">
        <v>65300</v>
      </c>
      <c r="I226" s="319">
        <v>0</v>
      </c>
      <c r="J226" s="319"/>
      <c r="K226" s="319"/>
      <c r="L226" s="1"/>
    </row>
    <row r="227" spans="1:15" ht="15.75" thickBot="1" x14ac:dyDescent="0.3">
      <c r="A227" s="320">
        <v>456</v>
      </c>
      <c r="B227" s="321" t="s">
        <v>201</v>
      </c>
      <c r="C227" s="322">
        <v>0</v>
      </c>
      <c r="D227" s="322">
        <v>62</v>
      </c>
      <c r="E227" s="322">
        <v>26</v>
      </c>
      <c r="F227" s="322">
        <v>28</v>
      </c>
      <c r="G227" s="322">
        <v>100</v>
      </c>
      <c r="H227" s="322">
        <v>100</v>
      </c>
      <c r="I227" s="322">
        <v>100</v>
      </c>
      <c r="J227" s="322">
        <v>100</v>
      </c>
      <c r="K227" s="322">
        <v>100</v>
      </c>
      <c r="L227" s="27">
        <f>SUM(H221:H227)</f>
        <v>631670</v>
      </c>
      <c r="M227" s="464">
        <f>SUM(I221:I227)</f>
        <v>586880</v>
      </c>
      <c r="N227" s="464">
        <f>SUM(J221:J227)</f>
        <v>24600</v>
      </c>
      <c r="O227" s="464">
        <f>SUM(K221:K227)</f>
        <v>24600</v>
      </c>
    </row>
    <row r="228" spans="1:15" x14ac:dyDescent="0.25">
      <c r="A228" s="404">
        <v>513</v>
      </c>
      <c r="B228" s="405" t="s">
        <v>202</v>
      </c>
      <c r="C228" s="406">
        <v>0</v>
      </c>
      <c r="D228" s="406"/>
      <c r="E228" s="406">
        <v>0</v>
      </c>
      <c r="F228" s="406">
        <v>0</v>
      </c>
      <c r="G228" s="406">
        <v>0</v>
      </c>
      <c r="H228" s="406">
        <v>0</v>
      </c>
      <c r="I228" s="406">
        <v>0</v>
      </c>
      <c r="J228" s="406">
        <v>185000</v>
      </c>
      <c r="K228" s="406">
        <v>0</v>
      </c>
      <c r="L228" s="27">
        <f>I225+I228</f>
        <v>492980</v>
      </c>
      <c r="M228" s="27">
        <f t="shared" ref="M228:N228" si="86">J225+J228</f>
        <v>205000</v>
      </c>
      <c r="N228" s="27">
        <f t="shared" si="86"/>
        <v>20000</v>
      </c>
    </row>
    <row r="229" spans="1:15" ht="15.75" thickBot="1" x14ac:dyDescent="0.3">
      <c r="A229" s="320">
        <v>514</v>
      </c>
      <c r="B229" s="463" t="s">
        <v>233</v>
      </c>
      <c r="C229" s="322">
        <v>0</v>
      </c>
      <c r="D229" s="322"/>
      <c r="E229" s="322">
        <v>0</v>
      </c>
      <c r="F229" s="322">
        <v>64316</v>
      </c>
      <c r="G229" s="322">
        <v>0</v>
      </c>
      <c r="H229" s="322">
        <v>0</v>
      </c>
      <c r="I229" s="322">
        <v>0</v>
      </c>
      <c r="J229" s="322">
        <v>0</v>
      </c>
      <c r="K229" s="322"/>
      <c r="L229" s="27"/>
    </row>
    <row r="230" spans="1:15" ht="15.75" thickBot="1" x14ac:dyDescent="0.3">
      <c r="A230" s="460">
        <v>453</v>
      </c>
      <c r="B230" s="461" t="s">
        <v>282</v>
      </c>
      <c r="C230" s="462">
        <v>0</v>
      </c>
      <c r="D230" s="462">
        <v>0</v>
      </c>
      <c r="E230" s="462">
        <v>0</v>
      </c>
      <c r="F230" s="462">
        <v>0</v>
      </c>
      <c r="G230" s="462">
        <v>0</v>
      </c>
      <c r="H230" s="462">
        <v>8097</v>
      </c>
      <c r="I230" s="462">
        <v>0</v>
      </c>
      <c r="J230" s="462">
        <v>0</v>
      </c>
      <c r="K230" s="462">
        <v>0</v>
      </c>
      <c r="L230" s="27"/>
    </row>
    <row r="231" spans="1:15" ht="16.5" thickBot="1" x14ac:dyDescent="0.3">
      <c r="A231" s="447" t="s">
        <v>203</v>
      </c>
      <c r="B231" s="448"/>
      <c r="C231" s="449">
        <f t="shared" ref="C231:K231" si="87">SUM(C232:C234)</f>
        <v>789</v>
      </c>
      <c r="D231" s="449">
        <f t="shared" si="87"/>
        <v>879</v>
      </c>
      <c r="E231" s="449">
        <f t="shared" si="87"/>
        <v>882</v>
      </c>
      <c r="F231" s="449">
        <f t="shared" si="87"/>
        <v>916</v>
      </c>
      <c r="G231" s="449">
        <f t="shared" si="87"/>
        <v>1030</v>
      </c>
      <c r="H231" s="449">
        <f t="shared" si="87"/>
        <v>1030</v>
      </c>
      <c r="I231" s="449">
        <f t="shared" si="87"/>
        <v>1070</v>
      </c>
      <c r="J231" s="449">
        <f t="shared" si="87"/>
        <v>1100</v>
      </c>
      <c r="K231" s="449">
        <f t="shared" si="87"/>
        <v>17220</v>
      </c>
      <c r="L231" s="27"/>
    </row>
    <row r="232" spans="1:15" ht="15" customHeight="1" x14ac:dyDescent="0.25">
      <c r="A232" s="323">
        <v>819</v>
      </c>
      <c r="B232" s="324" t="s">
        <v>204</v>
      </c>
      <c r="C232" s="205">
        <v>0</v>
      </c>
      <c r="D232" s="205">
        <v>62</v>
      </c>
      <c r="E232" s="205">
        <v>26</v>
      </c>
      <c r="F232" s="205">
        <v>28</v>
      </c>
      <c r="G232" s="205">
        <v>100</v>
      </c>
      <c r="H232" s="205">
        <v>100</v>
      </c>
      <c r="I232" s="205">
        <v>100</v>
      </c>
      <c r="J232" s="205">
        <v>100</v>
      </c>
      <c r="K232" s="205">
        <v>100</v>
      </c>
      <c r="L232" s="1"/>
    </row>
    <row r="233" spans="1:15" x14ac:dyDescent="0.25">
      <c r="A233" s="325">
        <v>821</v>
      </c>
      <c r="B233" s="326" t="s">
        <v>284</v>
      </c>
      <c r="C233" s="56">
        <v>0</v>
      </c>
      <c r="D233" s="56">
        <v>0</v>
      </c>
      <c r="E233" s="56">
        <v>0</v>
      </c>
      <c r="F233" s="56">
        <v>0</v>
      </c>
      <c r="G233" s="56">
        <v>0</v>
      </c>
      <c r="H233" s="56">
        <v>0</v>
      </c>
      <c r="I233" s="56">
        <v>0</v>
      </c>
      <c r="J233" s="56">
        <v>0</v>
      </c>
      <c r="K233" s="56">
        <v>16080</v>
      </c>
      <c r="L233" s="1"/>
    </row>
    <row r="234" spans="1:15" ht="15.75" thickBot="1" x14ac:dyDescent="0.3">
      <c r="A234" s="327">
        <v>821</v>
      </c>
      <c r="B234" s="328" t="s">
        <v>205</v>
      </c>
      <c r="C234" s="191">
        <v>789</v>
      </c>
      <c r="D234" s="191">
        <v>817</v>
      </c>
      <c r="E234" s="191">
        <v>856</v>
      </c>
      <c r="F234" s="191">
        <v>888</v>
      </c>
      <c r="G234" s="128">
        <v>930</v>
      </c>
      <c r="H234" s="128">
        <v>930</v>
      </c>
      <c r="I234" s="128">
        <v>970</v>
      </c>
      <c r="J234" s="128">
        <v>1000</v>
      </c>
      <c r="K234" s="128">
        <v>1040</v>
      </c>
      <c r="L234" s="1"/>
    </row>
    <row r="235" spans="1:15" x14ac:dyDescent="0.25">
      <c r="A235" s="314"/>
      <c r="B235" s="329"/>
      <c r="C235" s="329"/>
      <c r="D235" s="329"/>
      <c r="E235" s="161"/>
      <c r="F235" s="161"/>
      <c r="G235" s="161"/>
      <c r="H235" s="161"/>
      <c r="I235" s="161"/>
      <c r="J235" s="161"/>
      <c r="K235" s="161"/>
      <c r="L235" s="161"/>
    </row>
    <row r="236" spans="1:15" ht="15.75" x14ac:dyDescent="0.25">
      <c r="A236" s="105"/>
      <c r="B236" s="312"/>
      <c r="C236" s="312"/>
      <c r="D236" s="312"/>
      <c r="E236" s="312"/>
      <c r="F236" s="312"/>
      <c r="G236" s="312"/>
      <c r="H236" s="312"/>
      <c r="I236" s="312"/>
      <c r="J236" s="312"/>
      <c r="K236" s="312"/>
      <c r="L236" s="312"/>
    </row>
    <row r="237" spans="1:15" ht="18.75" thickBot="1" x14ac:dyDescent="0.3">
      <c r="A237" s="562" t="s">
        <v>206</v>
      </c>
      <c r="B237" s="563"/>
      <c r="C237" s="563"/>
      <c r="D237" s="563"/>
      <c r="E237" s="563"/>
      <c r="F237" s="563"/>
      <c r="G237" s="563"/>
      <c r="H237" s="563"/>
      <c r="I237" s="563"/>
      <c r="J237" s="563"/>
      <c r="K237" s="563"/>
      <c r="L237" s="1"/>
    </row>
    <row r="238" spans="1:15" ht="32.25" customHeight="1" thickBot="1" x14ac:dyDescent="0.3">
      <c r="A238" s="564" t="s">
        <v>1</v>
      </c>
      <c r="B238" s="566"/>
      <c r="C238" s="417" t="s">
        <v>2</v>
      </c>
      <c r="D238" s="417" t="s">
        <v>3</v>
      </c>
      <c r="E238" s="417" t="s">
        <v>223</v>
      </c>
      <c r="F238" s="417" t="s">
        <v>253</v>
      </c>
      <c r="G238" s="417" t="s">
        <v>254</v>
      </c>
      <c r="H238" s="417" t="s">
        <v>255</v>
      </c>
      <c r="I238" s="416">
        <v>2022</v>
      </c>
      <c r="J238" s="416">
        <v>2023</v>
      </c>
      <c r="K238" s="416">
        <v>2024</v>
      </c>
      <c r="L238" s="1"/>
    </row>
    <row r="239" spans="1:15" ht="15.75" x14ac:dyDescent="0.25">
      <c r="A239" s="330" t="s">
        <v>207</v>
      </c>
      <c r="B239" s="29"/>
      <c r="C239" s="331">
        <f t="shared" ref="C239:K239" si="88">C91</f>
        <v>1786304</v>
      </c>
      <c r="D239" s="331">
        <f t="shared" si="88"/>
        <v>1923989</v>
      </c>
      <c r="E239" s="331">
        <f t="shared" si="88"/>
        <v>2174082</v>
      </c>
      <c r="F239" s="331">
        <f t="shared" si="88"/>
        <v>2242915</v>
      </c>
      <c r="G239" s="331">
        <f t="shared" si="88"/>
        <v>2262629</v>
      </c>
      <c r="H239" s="331">
        <f t="shared" si="88"/>
        <v>2396932</v>
      </c>
      <c r="I239" s="331">
        <f t="shared" si="88"/>
        <v>2247848</v>
      </c>
      <c r="J239" s="331">
        <f t="shared" si="88"/>
        <v>2320898</v>
      </c>
      <c r="K239" s="331">
        <f t="shared" si="88"/>
        <v>2355898</v>
      </c>
      <c r="L239" s="1"/>
    </row>
    <row r="240" spans="1:15" ht="15.75" x14ac:dyDescent="0.25">
      <c r="A240" s="332" t="s">
        <v>208</v>
      </c>
      <c r="B240" s="333"/>
      <c r="C240" s="334">
        <f t="shared" ref="C240:K240" si="89">C160</f>
        <v>1508309</v>
      </c>
      <c r="D240" s="334">
        <f t="shared" si="89"/>
        <v>1667910</v>
      </c>
      <c r="E240" s="334">
        <f t="shared" si="89"/>
        <v>1949005</v>
      </c>
      <c r="F240" s="334">
        <f t="shared" si="89"/>
        <v>1998056.4</v>
      </c>
      <c r="G240" s="334">
        <f t="shared" si="89"/>
        <v>2288099</v>
      </c>
      <c r="H240" s="334">
        <f t="shared" si="89"/>
        <v>2492199</v>
      </c>
      <c r="I240" s="334">
        <f t="shared" si="89"/>
        <v>2340678</v>
      </c>
      <c r="J240" s="334">
        <f t="shared" si="89"/>
        <v>2324398</v>
      </c>
      <c r="K240" s="334">
        <f t="shared" si="89"/>
        <v>2343278</v>
      </c>
      <c r="L240" s="1"/>
    </row>
    <row r="241" spans="1:13" ht="15.75" x14ac:dyDescent="0.25">
      <c r="A241" s="554" t="s">
        <v>209</v>
      </c>
      <c r="B241" s="555"/>
      <c r="C241" s="335">
        <f t="shared" ref="C241:K241" si="90">C239-C240</f>
        <v>277995</v>
      </c>
      <c r="D241" s="335">
        <f t="shared" si="90"/>
        <v>256079</v>
      </c>
      <c r="E241" s="335">
        <f t="shared" si="90"/>
        <v>225077</v>
      </c>
      <c r="F241" s="335">
        <f t="shared" ref="F241" si="91">F239-F240</f>
        <v>244858.60000000009</v>
      </c>
      <c r="G241" s="335">
        <f t="shared" si="90"/>
        <v>-25470</v>
      </c>
      <c r="H241" s="335">
        <f t="shared" si="90"/>
        <v>-95267</v>
      </c>
      <c r="I241" s="335">
        <f t="shared" si="90"/>
        <v>-92830</v>
      </c>
      <c r="J241" s="335">
        <f t="shared" ref="J241" si="92">J239-J240</f>
        <v>-3500</v>
      </c>
      <c r="K241" s="335">
        <f t="shared" si="90"/>
        <v>12620</v>
      </c>
      <c r="L241" s="1"/>
      <c r="M241" t="s">
        <v>239</v>
      </c>
    </row>
    <row r="242" spans="1:13" ht="15.75" x14ac:dyDescent="0.25">
      <c r="A242" s="332" t="s">
        <v>210</v>
      </c>
      <c r="B242" s="18"/>
      <c r="C242" s="334">
        <f t="shared" ref="C242:K242" si="93">C165</f>
        <v>5251</v>
      </c>
      <c r="D242" s="334">
        <f t="shared" si="93"/>
        <v>60445</v>
      </c>
      <c r="E242" s="334">
        <f t="shared" si="93"/>
        <v>312996</v>
      </c>
      <c r="F242" s="334">
        <f t="shared" si="93"/>
        <v>118970</v>
      </c>
      <c r="G242" s="334">
        <f t="shared" si="93"/>
        <v>744900</v>
      </c>
      <c r="H242" s="334">
        <f t="shared" si="93"/>
        <v>749900</v>
      </c>
      <c r="I242" s="334">
        <f t="shared" si="93"/>
        <v>774720</v>
      </c>
      <c r="J242" s="334">
        <f t="shared" si="93"/>
        <v>3000</v>
      </c>
      <c r="K242" s="334">
        <f t="shared" si="93"/>
        <v>3000</v>
      </c>
      <c r="L242" s="1"/>
    </row>
    <row r="243" spans="1:13" ht="15.75" x14ac:dyDescent="0.25">
      <c r="A243" s="332" t="s">
        <v>211</v>
      </c>
      <c r="B243" s="18"/>
      <c r="C243" s="20">
        <f t="shared" ref="C243:K243" si="94">C178</f>
        <v>171050</v>
      </c>
      <c r="D243" s="20">
        <f t="shared" si="94"/>
        <v>199887</v>
      </c>
      <c r="E243" s="20">
        <f t="shared" si="94"/>
        <v>452163</v>
      </c>
      <c r="F243" s="20">
        <f t="shared" si="94"/>
        <v>211426</v>
      </c>
      <c r="G243" s="20">
        <f t="shared" si="94"/>
        <v>1317070</v>
      </c>
      <c r="H243" s="20">
        <f t="shared" si="94"/>
        <v>1288370</v>
      </c>
      <c r="I243" s="20">
        <f t="shared" si="94"/>
        <v>1267700</v>
      </c>
      <c r="J243" s="20">
        <f t="shared" si="94"/>
        <v>208000</v>
      </c>
      <c r="K243" s="20">
        <f t="shared" si="94"/>
        <v>23000</v>
      </c>
      <c r="L243" s="1"/>
    </row>
    <row r="244" spans="1:13" ht="15.75" x14ac:dyDescent="0.25">
      <c r="A244" s="554" t="s">
        <v>212</v>
      </c>
      <c r="B244" s="555"/>
      <c r="C244" s="335">
        <f t="shared" ref="C244:K244" si="95">C242-C243</f>
        <v>-165799</v>
      </c>
      <c r="D244" s="335">
        <f t="shared" si="95"/>
        <v>-139442</v>
      </c>
      <c r="E244" s="335">
        <f t="shared" si="95"/>
        <v>-139167</v>
      </c>
      <c r="F244" s="335">
        <f t="shared" ref="F244" si="96">F242-F243</f>
        <v>-92456</v>
      </c>
      <c r="G244" s="335">
        <f t="shared" si="95"/>
        <v>-572170</v>
      </c>
      <c r="H244" s="335">
        <f t="shared" si="95"/>
        <v>-538470</v>
      </c>
      <c r="I244" s="335">
        <f t="shared" si="95"/>
        <v>-492980</v>
      </c>
      <c r="J244" s="335">
        <f t="shared" ref="J244" si="97">J242-J243</f>
        <v>-205000</v>
      </c>
      <c r="K244" s="335">
        <f t="shared" si="95"/>
        <v>-20000</v>
      </c>
      <c r="L244" s="1"/>
    </row>
    <row r="245" spans="1:13" ht="15.75" x14ac:dyDescent="0.25">
      <c r="A245" s="336" t="s">
        <v>213</v>
      </c>
      <c r="B245" s="337"/>
      <c r="C245" s="338">
        <f t="shared" ref="C245:K245" si="98">C220</f>
        <v>85625</v>
      </c>
      <c r="D245" s="338">
        <f t="shared" si="98"/>
        <v>129336</v>
      </c>
      <c r="E245" s="338">
        <f t="shared" si="98"/>
        <v>137207</v>
      </c>
      <c r="F245" s="338">
        <f t="shared" si="98"/>
        <v>174149</v>
      </c>
      <c r="G245" s="338">
        <f t="shared" si="98"/>
        <v>598670</v>
      </c>
      <c r="H245" s="338">
        <f t="shared" si="98"/>
        <v>639767</v>
      </c>
      <c r="I245" s="338">
        <f t="shared" si="98"/>
        <v>586880</v>
      </c>
      <c r="J245" s="338">
        <f t="shared" si="98"/>
        <v>209600</v>
      </c>
      <c r="K245" s="338">
        <f t="shared" si="98"/>
        <v>24600</v>
      </c>
      <c r="L245" s="1"/>
    </row>
    <row r="246" spans="1:13" ht="15.75" x14ac:dyDescent="0.25">
      <c r="A246" s="336" t="s">
        <v>214</v>
      </c>
      <c r="B246" s="337"/>
      <c r="C246" s="338">
        <f t="shared" ref="C246:K246" si="99">C231</f>
        <v>789</v>
      </c>
      <c r="D246" s="338">
        <f t="shared" si="99"/>
        <v>879</v>
      </c>
      <c r="E246" s="338">
        <f t="shared" si="99"/>
        <v>882</v>
      </c>
      <c r="F246" s="338">
        <f t="shared" si="99"/>
        <v>916</v>
      </c>
      <c r="G246" s="338">
        <f t="shared" si="99"/>
        <v>1030</v>
      </c>
      <c r="H246" s="338">
        <f t="shared" si="99"/>
        <v>1030</v>
      </c>
      <c r="I246" s="338">
        <f t="shared" si="99"/>
        <v>1070</v>
      </c>
      <c r="J246" s="338">
        <f t="shared" si="99"/>
        <v>1100</v>
      </c>
      <c r="K246" s="338">
        <f t="shared" si="99"/>
        <v>17220</v>
      </c>
      <c r="L246" s="1"/>
    </row>
    <row r="247" spans="1:13" ht="16.5" thickBot="1" x14ac:dyDescent="0.3">
      <c r="A247" s="556" t="s">
        <v>215</v>
      </c>
      <c r="B247" s="557"/>
      <c r="C247" s="339">
        <f t="shared" ref="C247:K247" si="100">C245-C246</f>
        <v>84836</v>
      </c>
      <c r="D247" s="339">
        <f t="shared" si="100"/>
        <v>128457</v>
      </c>
      <c r="E247" s="339">
        <f t="shared" si="100"/>
        <v>136325</v>
      </c>
      <c r="F247" s="339">
        <f t="shared" ref="F247" si="101">F245-F246</f>
        <v>173233</v>
      </c>
      <c r="G247" s="339">
        <f t="shared" si="100"/>
        <v>597640</v>
      </c>
      <c r="H247" s="339">
        <f t="shared" si="100"/>
        <v>638737</v>
      </c>
      <c r="I247" s="339">
        <f t="shared" si="100"/>
        <v>585810</v>
      </c>
      <c r="J247" s="339">
        <f t="shared" ref="J247" si="102">J245-J246</f>
        <v>208500</v>
      </c>
      <c r="K247" s="339">
        <f t="shared" si="100"/>
        <v>7380</v>
      </c>
      <c r="L247" s="1"/>
    </row>
    <row r="248" spans="1:13" ht="16.5" thickBot="1" x14ac:dyDescent="0.3">
      <c r="A248" s="340" t="s">
        <v>216</v>
      </c>
      <c r="B248" s="341"/>
      <c r="C248" s="342">
        <f t="shared" ref="C248:K248" si="103">C241+C244+C247</f>
        <v>197032</v>
      </c>
      <c r="D248" s="342">
        <f t="shared" si="103"/>
        <v>245094</v>
      </c>
      <c r="E248" s="342">
        <f t="shared" si="103"/>
        <v>222235</v>
      </c>
      <c r="F248" s="342">
        <f t="shared" ref="F248" si="104">F241+F244+F247</f>
        <v>325635.60000000009</v>
      </c>
      <c r="G248" s="342">
        <f t="shared" si="103"/>
        <v>0</v>
      </c>
      <c r="H248" s="342">
        <f t="shared" si="103"/>
        <v>5000</v>
      </c>
      <c r="I248" s="342">
        <f t="shared" si="103"/>
        <v>0</v>
      </c>
      <c r="J248" s="342">
        <f t="shared" ref="J248" si="105">J241+J244+J247</f>
        <v>0</v>
      </c>
      <c r="K248" s="342">
        <f t="shared" si="103"/>
        <v>0</v>
      </c>
      <c r="L248" s="1"/>
    </row>
    <row r="249" spans="1:13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</row>
    <row r="250" spans="1:13" x14ac:dyDescent="0.25">
      <c r="A250" s="1"/>
      <c r="B250" s="343" t="s">
        <v>217</v>
      </c>
      <c r="C250" s="27">
        <f t="shared" ref="C250:K251" si="106">C239+C242+C245</f>
        <v>1877180</v>
      </c>
      <c r="D250" s="27">
        <f t="shared" si="106"/>
        <v>2113770</v>
      </c>
      <c r="E250" s="27">
        <f t="shared" si="106"/>
        <v>2624285</v>
      </c>
      <c r="F250" s="27">
        <f t="shared" ref="F250" si="107">F239+F242+F245</f>
        <v>2536034</v>
      </c>
      <c r="G250" s="27">
        <f t="shared" si="106"/>
        <v>3606199</v>
      </c>
      <c r="H250" s="27">
        <f t="shared" si="106"/>
        <v>3786599</v>
      </c>
      <c r="I250" s="27">
        <f t="shared" si="106"/>
        <v>3609448</v>
      </c>
      <c r="J250" s="27">
        <f t="shared" ref="J250" si="108">J239+J242+J245</f>
        <v>2533498</v>
      </c>
      <c r="K250" s="27">
        <f t="shared" si="106"/>
        <v>2383498</v>
      </c>
      <c r="L250" s="1"/>
    </row>
    <row r="251" spans="1:13" x14ac:dyDescent="0.25">
      <c r="A251" s="1"/>
      <c r="B251" s="343" t="s">
        <v>218</v>
      </c>
      <c r="C251" s="27">
        <f t="shared" si="106"/>
        <v>1680148</v>
      </c>
      <c r="D251" s="27">
        <f t="shared" si="106"/>
        <v>1868676</v>
      </c>
      <c r="E251" s="27">
        <f t="shared" si="106"/>
        <v>2402050</v>
      </c>
      <c r="F251" s="27">
        <f t="shared" ref="F251" si="109">F240+F243+F246</f>
        <v>2210398.4</v>
      </c>
      <c r="G251" s="27">
        <f t="shared" si="106"/>
        <v>3606199</v>
      </c>
      <c r="H251" s="27">
        <f t="shared" si="106"/>
        <v>3781599</v>
      </c>
      <c r="I251" s="27">
        <f t="shared" si="106"/>
        <v>3609448</v>
      </c>
      <c r="J251" s="27">
        <f t="shared" ref="J251" si="110">J240+J243+J246</f>
        <v>2533498</v>
      </c>
      <c r="K251" s="27">
        <f t="shared" si="106"/>
        <v>2383498</v>
      </c>
      <c r="L251" s="1"/>
    </row>
    <row r="252" spans="1:13" x14ac:dyDescent="0.25">
      <c r="A252" s="1"/>
      <c r="B252" s="343"/>
      <c r="C252" s="27"/>
      <c r="D252" s="27"/>
      <c r="E252" s="27"/>
      <c r="F252" s="27"/>
      <c r="G252" s="27"/>
      <c r="H252" s="27"/>
      <c r="I252" s="27"/>
      <c r="J252" s="27"/>
      <c r="K252" s="27"/>
      <c r="L252" s="1"/>
    </row>
    <row r="253" spans="1:13" x14ac:dyDescent="0.25">
      <c r="A253" s="1"/>
      <c r="B253" s="343" t="s">
        <v>219</v>
      </c>
      <c r="C253" s="27">
        <f>C250-C90</f>
        <v>1865504</v>
      </c>
      <c r="D253" s="27">
        <f>D250-D90</f>
        <v>2094633</v>
      </c>
      <c r="E253" s="27">
        <f>E250-E90</f>
        <v>2553314</v>
      </c>
      <c r="F253" s="27">
        <f>F250-F90</f>
        <v>2494555</v>
      </c>
      <c r="G253" s="27">
        <f>G250-G90</f>
        <v>3562059</v>
      </c>
      <c r="H253" s="27">
        <f>H250-H90-H230</f>
        <v>3707783</v>
      </c>
      <c r="I253" s="27">
        <f>I250-I90-I230</f>
        <v>3593528</v>
      </c>
      <c r="J253" s="27">
        <f>J250-J90-J230</f>
        <v>2517578</v>
      </c>
      <c r="K253" s="27">
        <f>K250-K90-K230</f>
        <v>2367578</v>
      </c>
      <c r="L253" s="1"/>
    </row>
    <row r="254" spans="1:13" x14ac:dyDescent="0.25">
      <c r="A254" s="1"/>
      <c r="B254" s="343" t="s">
        <v>220</v>
      </c>
      <c r="C254" s="27">
        <f t="shared" ref="C254:K254" si="111">C251-C159</f>
        <v>1147258</v>
      </c>
      <c r="D254" s="27">
        <f t="shared" si="111"/>
        <v>1188127</v>
      </c>
      <c r="E254" s="27">
        <f t="shared" si="111"/>
        <v>1615255</v>
      </c>
      <c r="F254" s="27">
        <f t="shared" si="111"/>
        <v>1338080.3999999999</v>
      </c>
      <c r="G254" s="27">
        <f t="shared" si="111"/>
        <v>2726899</v>
      </c>
      <c r="H254" s="27">
        <f t="shared" si="111"/>
        <v>2896697</v>
      </c>
      <c r="I254" s="27">
        <f t="shared" si="111"/>
        <v>2773338</v>
      </c>
      <c r="J254" s="27">
        <f t="shared" si="111"/>
        <v>1692498</v>
      </c>
      <c r="K254" s="27">
        <f t="shared" si="111"/>
        <v>1542498</v>
      </c>
      <c r="L254" s="1"/>
    </row>
    <row r="255" spans="1:13" x14ac:dyDescent="0.25">
      <c r="A255" s="1"/>
      <c r="B255" s="343"/>
      <c r="C255" s="343"/>
      <c r="D255" s="343"/>
      <c r="E255" s="27"/>
      <c r="F255" s="27"/>
      <c r="G255" s="27"/>
      <c r="H255" s="27"/>
      <c r="I255" s="27"/>
      <c r="J255" s="27"/>
      <c r="K255" s="27"/>
      <c r="L255" s="1"/>
    </row>
    <row r="256" spans="1:13" x14ac:dyDescent="0.25">
      <c r="A256" s="104"/>
      <c r="B256" s="344"/>
      <c r="C256" s="344"/>
      <c r="D256" s="344"/>
      <c r="E256" s="1"/>
      <c r="F256" s="1"/>
      <c r="G256" s="1"/>
      <c r="H256" s="1"/>
      <c r="I256" s="1"/>
      <c r="J256" s="1"/>
      <c r="K256" s="1"/>
      <c r="L256" s="1"/>
    </row>
    <row r="257" spans="1:12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</row>
    <row r="258" spans="1:12" x14ac:dyDescent="0.25">
      <c r="A258" s="1"/>
      <c r="B258" s="346" t="s">
        <v>221</v>
      </c>
      <c r="C258" s="346"/>
      <c r="D258" s="346"/>
      <c r="E258" s="346"/>
      <c r="F258" s="346"/>
      <c r="G258" s="346"/>
      <c r="H258" s="346"/>
      <c r="I258" s="346"/>
      <c r="J258" s="346"/>
      <c r="K258" s="346"/>
      <c r="L258" s="1"/>
    </row>
    <row r="259" spans="1:12" x14ac:dyDescent="0.25">
      <c r="A259" s="1"/>
      <c r="B259" s="346" t="s">
        <v>222</v>
      </c>
      <c r="C259" s="346"/>
      <c r="D259" s="346"/>
      <c r="E259" s="346"/>
      <c r="F259" s="346"/>
      <c r="G259" s="346"/>
      <c r="H259" s="346"/>
      <c r="I259" s="346"/>
      <c r="J259" s="346"/>
      <c r="K259" s="346"/>
      <c r="L259" s="1"/>
    </row>
    <row r="260" spans="1:12" x14ac:dyDescent="0.25">
      <c r="A260" s="1"/>
      <c r="B260" s="346"/>
      <c r="C260" s="346"/>
      <c r="D260" s="346"/>
      <c r="E260" s="346"/>
      <c r="F260" s="346"/>
      <c r="G260" s="346"/>
      <c r="H260" s="346"/>
      <c r="I260" s="346"/>
      <c r="J260" s="346"/>
      <c r="K260" s="346"/>
      <c r="L260" s="1"/>
    </row>
    <row r="261" spans="1:12" x14ac:dyDescent="0.25">
      <c r="A261" s="1"/>
      <c r="B261" s="346"/>
      <c r="C261" s="346"/>
      <c r="D261" s="346"/>
      <c r="E261" s="346"/>
      <c r="F261" s="346"/>
      <c r="G261" s="346"/>
      <c r="H261" s="346"/>
      <c r="I261" s="346"/>
      <c r="J261" s="346"/>
      <c r="K261" s="346"/>
      <c r="L261" s="1"/>
    </row>
    <row r="262" spans="1:12" x14ac:dyDescent="0.25">
      <c r="A262" s="1"/>
      <c r="C262" s="346"/>
      <c r="D262" s="346"/>
      <c r="E262" s="346"/>
      <c r="F262" s="346"/>
      <c r="G262" s="346"/>
      <c r="H262" s="346"/>
      <c r="I262" s="346"/>
      <c r="J262" s="346"/>
      <c r="K262" s="346"/>
      <c r="L262" s="1"/>
    </row>
    <row r="263" spans="1:12" x14ac:dyDescent="0.25">
      <c r="A263" s="1"/>
      <c r="B263" s="347" t="s">
        <v>287</v>
      </c>
      <c r="C263" s="347"/>
      <c r="D263" s="347"/>
      <c r="E263" s="346"/>
      <c r="F263" s="346"/>
      <c r="G263" s="346"/>
      <c r="H263" s="413"/>
      <c r="I263" s="346"/>
      <c r="J263" s="346"/>
      <c r="K263" s="346"/>
      <c r="L263" s="1"/>
    </row>
    <row r="264" spans="1:12" x14ac:dyDescent="0.25">
      <c r="A264" s="1"/>
      <c r="C264" s="347"/>
      <c r="D264" s="347"/>
      <c r="E264" s="346"/>
      <c r="F264" s="346"/>
      <c r="G264" s="346"/>
      <c r="H264" s="346"/>
      <c r="I264" s="346"/>
      <c r="J264" s="346"/>
      <c r="K264" s="346"/>
      <c r="L264" s="1"/>
    </row>
    <row r="265" spans="1:12" x14ac:dyDescent="0.25">
      <c r="A265" s="1"/>
      <c r="B265" s="346" t="s">
        <v>337</v>
      </c>
      <c r="C265" s="347"/>
      <c r="D265" s="347"/>
      <c r="E265" s="346"/>
      <c r="F265" s="346"/>
      <c r="G265" s="346"/>
      <c r="H265" s="346"/>
      <c r="I265" s="346"/>
      <c r="J265" s="346"/>
      <c r="K265" s="346"/>
      <c r="L265" s="1"/>
    </row>
    <row r="266" spans="1:12" x14ac:dyDescent="0.25">
      <c r="A266" s="1"/>
      <c r="B266" s="346" t="s">
        <v>336</v>
      </c>
      <c r="C266" s="347"/>
      <c r="D266" s="347"/>
      <c r="E266" s="346"/>
      <c r="F266" s="346"/>
      <c r="G266" s="346"/>
      <c r="H266" s="346"/>
      <c r="I266" s="346"/>
      <c r="J266" s="346"/>
      <c r="K266" s="346"/>
      <c r="L266" s="1"/>
    </row>
    <row r="267" spans="1:12" x14ac:dyDescent="0.25">
      <c r="A267" s="1"/>
      <c r="B267" s="346"/>
      <c r="C267" s="346"/>
      <c r="D267" s="346"/>
      <c r="E267" s="346"/>
      <c r="F267" s="346"/>
      <c r="G267" s="346"/>
      <c r="H267" s="346"/>
      <c r="I267" s="346"/>
      <c r="J267" s="346"/>
      <c r="K267" s="346"/>
      <c r="L267" s="1"/>
    </row>
    <row r="268" spans="1:12" x14ac:dyDescent="0.25">
      <c r="A268" s="1"/>
      <c r="B268" s="348" t="s">
        <v>338</v>
      </c>
      <c r="C268" s="348"/>
      <c r="D268" s="348"/>
      <c r="E268" s="346"/>
      <c r="F268" s="346"/>
      <c r="G268" s="346"/>
      <c r="H268" s="346"/>
      <c r="I268" s="346"/>
      <c r="J268" s="346"/>
      <c r="K268" s="346"/>
      <c r="L268" s="1"/>
    </row>
    <row r="269" spans="1:12" x14ac:dyDescent="0.25">
      <c r="A269" s="1"/>
      <c r="B269" s="348" t="s">
        <v>339</v>
      </c>
      <c r="C269" s="348"/>
      <c r="D269" s="348"/>
      <c r="E269" s="346"/>
      <c r="F269" s="346"/>
      <c r="G269" s="346"/>
      <c r="H269" s="346"/>
      <c r="I269" s="346"/>
      <c r="J269" s="346"/>
      <c r="K269" s="346"/>
      <c r="L269" s="1"/>
    </row>
    <row r="270" spans="1:12" x14ac:dyDescent="0.25">
      <c r="A270" s="1"/>
      <c r="B270" s="348"/>
      <c r="C270" s="348"/>
      <c r="D270" s="348"/>
      <c r="E270" s="346"/>
      <c r="F270" s="346"/>
      <c r="G270" s="346"/>
      <c r="H270" s="346"/>
      <c r="I270" s="346"/>
      <c r="J270" s="346"/>
      <c r="K270" s="346"/>
      <c r="L270" s="1"/>
    </row>
    <row r="271" spans="1:12" x14ac:dyDescent="0.25">
      <c r="A271" s="1"/>
      <c r="B271" s="346" t="s">
        <v>340</v>
      </c>
      <c r="C271" s="346"/>
      <c r="D271" s="346"/>
      <c r="E271" s="346"/>
      <c r="F271" s="346"/>
      <c r="G271" s="346"/>
      <c r="H271" s="346"/>
      <c r="I271" s="346"/>
      <c r="J271" s="346"/>
      <c r="K271" s="346"/>
      <c r="L271" s="1"/>
    </row>
    <row r="272" spans="1:12" x14ac:dyDescent="0.25">
      <c r="A272" s="1"/>
      <c r="B272" s="345"/>
      <c r="C272" s="345"/>
      <c r="D272" s="345"/>
      <c r="E272" s="1"/>
      <c r="F272" s="1"/>
      <c r="G272" s="1"/>
      <c r="H272" s="1"/>
      <c r="I272" s="1"/>
      <c r="J272" s="1"/>
      <c r="K272" s="1"/>
      <c r="L272" s="1"/>
    </row>
    <row r="273" spans="1:12" x14ac:dyDescent="0.25">
      <c r="A273" s="1"/>
      <c r="B273" s="345"/>
      <c r="C273" s="345"/>
      <c r="D273" s="345"/>
      <c r="E273" s="1"/>
      <c r="F273" s="1"/>
      <c r="G273" s="1"/>
      <c r="H273" s="1"/>
      <c r="I273" s="1"/>
      <c r="J273" s="1"/>
      <c r="K273" s="1"/>
      <c r="L273" s="1"/>
    </row>
    <row r="274" spans="1:12" x14ac:dyDescent="0.25">
      <c r="A274" s="1"/>
      <c r="B274" s="345"/>
      <c r="C274" s="345"/>
      <c r="D274" s="345"/>
      <c r="E274" s="1"/>
      <c r="F274" s="1"/>
      <c r="G274" s="1"/>
      <c r="H274" s="1"/>
      <c r="I274" s="1"/>
      <c r="J274" s="1"/>
      <c r="K274" s="1"/>
      <c r="L274" s="1"/>
    </row>
    <row r="275" spans="1:12" x14ac:dyDescent="0.25">
      <c r="A275" s="1"/>
      <c r="B275" s="345"/>
      <c r="C275" s="345"/>
      <c r="D275" s="345"/>
      <c r="E275" s="1"/>
      <c r="F275" s="1"/>
      <c r="G275" s="1"/>
      <c r="H275" s="1"/>
      <c r="I275" s="1"/>
      <c r="J275" s="1"/>
      <c r="K275" s="1"/>
      <c r="L275" s="1"/>
    </row>
  </sheetData>
  <mergeCells count="24">
    <mergeCell ref="A95:B95"/>
    <mergeCell ref="A164:B164"/>
    <mergeCell ref="A219:B219"/>
    <mergeCell ref="A238:B238"/>
    <mergeCell ref="A89:B89"/>
    <mergeCell ref="A159:B159"/>
    <mergeCell ref="A163:K163"/>
    <mergeCell ref="A111:B111"/>
    <mergeCell ref="A154:B154"/>
    <mergeCell ref="A158:B158"/>
    <mergeCell ref="A94:K94"/>
    <mergeCell ref="A90:B90"/>
    <mergeCell ref="A241:B241"/>
    <mergeCell ref="A244:B244"/>
    <mergeCell ref="A247:B247"/>
    <mergeCell ref="A165:B165"/>
    <mergeCell ref="A178:B178"/>
    <mergeCell ref="A218:K218"/>
    <mergeCell ref="A237:K237"/>
    <mergeCell ref="A2:B2"/>
    <mergeCell ref="A1:K1"/>
    <mergeCell ref="A3:B3"/>
    <mergeCell ref="A11:B11"/>
    <mergeCell ref="A86:B86"/>
  </mergeCells>
  <pageMargins left="0.70866141732283472" right="0.70866141732283472" top="0.74803149606299213" bottom="0.74803149606299213" header="0.31496062992125984" footer="0.31496062992125984"/>
  <pageSetup paperSize="9" scale="55" fitToHeight="0" orientation="landscape" r:id="rId1"/>
  <headerFooter>
    <oddHeader>&amp;CViacročný rozpočet
na roky 2022-2024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1"/>
  <sheetViews>
    <sheetView workbookViewId="0">
      <selection activeCell="B31" sqref="B31"/>
    </sheetView>
  </sheetViews>
  <sheetFormatPr defaultRowHeight="15" x14ac:dyDescent="0.25"/>
  <cols>
    <col min="2" max="2" width="54.5703125" customWidth="1"/>
    <col min="3" max="3" width="10.42578125" customWidth="1"/>
    <col min="6" max="7" width="10.42578125" customWidth="1"/>
    <col min="9" max="9" width="12.5703125" customWidth="1"/>
    <col min="11" max="11" width="12" customWidth="1"/>
    <col min="12" max="12" width="56.85546875" customWidth="1"/>
    <col min="13" max="13" width="14.5703125" customWidth="1"/>
    <col min="14" max="14" width="13.28515625" customWidth="1"/>
  </cols>
  <sheetData>
    <row r="1" spans="1:14" ht="18" x14ac:dyDescent="0.25">
      <c r="A1" s="581" t="s">
        <v>323</v>
      </c>
      <c r="B1" s="581"/>
      <c r="C1" s="581"/>
      <c r="D1" s="581"/>
      <c r="E1" s="581"/>
      <c r="F1" s="581"/>
      <c r="G1" s="581"/>
      <c r="H1" s="581"/>
    </row>
    <row r="2" spans="1:14" ht="15.75" thickBot="1" x14ac:dyDescent="0.3">
      <c r="A2" s="467"/>
      <c r="B2" s="467"/>
      <c r="C2" s="467"/>
      <c r="D2" s="467"/>
      <c r="E2" s="467"/>
      <c r="F2" s="467"/>
      <c r="G2" s="467"/>
      <c r="H2" s="467"/>
      <c r="I2" s="467"/>
    </row>
    <row r="3" spans="1:14" ht="60.75" thickBot="1" x14ac:dyDescent="0.3">
      <c r="A3" s="468" t="s">
        <v>288</v>
      </c>
      <c r="B3" s="468" t="s">
        <v>289</v>
      </c>
      <c r="C3" s="469" t="s">
        <v>290</v>
      </c>
      <c r="D3" s="469" t="s">
        <v>332</v>
      </c>
      <c r="E3" s="469" t="s">
        <v>327</v>
      </c>
      <c r="F3" s="469" t="s">
        <v>291</v>
      </c>
      <c r="G3" s="469" t="s">
        <v>324</v>
      </c>
      <c r="H3" s="470" t="s">
        <v>292</v>
      </c>
      <c r="I3" s="471" t="s">
        <v>293</v>
      </c>
      <c r="L3" s="582" t="s">
        <v>294</v>
      </c>
      <c r="M3" s="583"/>
      <c r="N3" s="584"/>
    </row>
    <row r="4" spans="1:14" ht="16.5" thickBot="1" x14ac:dyDescent="0.3">
      <c r="A4" s="472" t="s">
        <v>96</v>
      </c>
      <c r="B4" s="473" t="s">
        <v>186</v>
      </c>
      <c r="C4" s="287">
        <v>1500</v>
      </c>
      <c r="D4" s="287"/>
      <c r="E4" s="287"/>
      <c r="F4" s="287">
        <v>1500</v>
      </c>
      <c r="G4" s="287"/>
      <c r="H4" s="287"/>
      <c r="I4" s="474">
        <f t="shared" ref="I4:I20" si="0">SUM(D4:H4)</f>
        <v>1500</v>
      </c>
      <c r="J4" s="475">
        <f t="shared" ref="J4:J24" si="1">C4-I4</f>
        <v>0</v>
      </c>
      <c r="L4" s="476" t="s">
        <v>295</v>
      </c>
      <c r="M4" s="477" t="s">
        <v>296</v>
      </c>
      <c r="N4" s="478" t="s">
        <v>297</v>
      </c>
    </row>
    <row r="5" spans="1:14" ht="16.5" thickBot="1" x14ac:dyDescent="0.3">
      <c r="A5" s="479" t="s">
        <v>98</v>
      </c>
      <c r="B5" s="480" t="s">
        <v>249</v>
      </c>
      <c r="C5" s="290">
        <f>10200+10400</f>
        <v>20600</v>
      </c>
      <c r="D5" s="290"/>
      <c r="E5" s="290"/>
      <c r="F5" s="290">
        <f>10200+10400</f>
        <v>20600</v>
      </c>
      <c r="G5" s="290"/>
      <c r="H5" s="290"/>
      <c r="I5" s="474">
        <f t="shared" si="0"/>
        <v>20600</v>
      </c>
      <c r="J5" s="475">
        <f t="shared" si="1"/>
        <v>0</v>
      </c>
      <c r="K5" s="464">
        <f>SUM(I4:I5)</f>
        <v>22100</v>
      </c>
      <c r="L5" s="481" t="s">
        <v>320</v>
      </c>
      <c r="M5" s="482">
        <v>500</v>
      </c>
      <c r="N5" s="483"/>
    </row>
    <row r="6" spans="1:14" ht="15.75" x14ac:dyDescent="0.25">
      <c r="A6" s="484" t="s">
        <v>101</v>
      </c>
      <c r="B6" s="485" t="s">
        <v>250</v>
      </c>
      <c r="C6" s="486">
        <v>0</v>
      </c>
      <c r="D6" s="278"/>
      <c r="E6" s="278"/>
      <c r="F6" s="278">
        <v>0</v>
      </c>
      <c r="G6" s="278"/>
      <c r="H6" s="278"/>
      <c r="I6" s="487">
        <f t="shared" si="0"/>
        <v>0</v>
      </c>
      <c r="J6" s="475">
        <f t="shared" si="1"/>
        <v>0</v>
      </c>
      <c r="L6" s="488" t="s">
        <v>333</v>
      </c>
      <c r="M6" s="482">
        <v>1000</v>
      </c>
      <c r="N6" s="483"/>
    </row>
    <row r="7" spans="1:14" ht="16.5" thickBot="1" x14ac:dyDescent="0.3">
      <c r="A7" s="491" t="s">
        <v>103</v>
      </c>
      <c r="B7" s="536" t="s">
        <v>298</v>
      </c>
      <c r="C7" s="492">
        <v>325000</v>
      </c>
      <c r="D7" s="492">
        <v>300000</v>
      </c>
      <c r="E7" s="492"/>
      <c r="F7" s="492">
        <v>25000</v>
      </c>
      <c r="G7" s="492"/>
      <c r="H7" s="492"/>
      <c r="I7" s="493">
        <f t="shared" si="0"/>
        <v>325000</v>
      </c>
      <c r="J7" s="475">
        <f t="shared" si="1"/>
        <v>0</v>
      </c>
      <c r="K7" s="464">
        <f>SUM(I6:I7)</f>
        <v>325000</v>
      </c>
      <c r="L7" s="481" t="s">
        <v>321</v>
      </c>
      <c r="M7" s="482">
        <v>6000</v>
      </c>
      <c r="N7" s="483"/>
    </row>
    <row r="8" spans="1:14" ht="15.75" x14ac:dyDescent="0.25">
      <c r="A8" s="490" t="s">
        <v>190</v>
      </c>
      <c r="B8" s="507" t="s">
        <v>191</v>
      </c>
      <c r="C8" s="290">
        <v>43000</v>
      </c>
      <c r="D8" s="290"/>
      <c r="E8" s="290">
        <v>3000</v>
      </c>
      <c r="F8" s="290">
        <v>40000</v>
      </c>
      <c r="G8" s="290"/>
      <c r="H8" s="290"/>
      <c r="I8" s="474">
        <f t="shared" si="0"/>
        <v>43000</v>
      </c>
      <c r="J8" s="475">
        <f t="shared" si="1"/>
        <v>0</v>
      </c>
      <c r="L8" s="481" t="s">
        <v>299</v>
      </c>
      <c r="M8" s="494">
        <v>5000</v>
      </c>
      <c r="N8" s="495"/>
    </row>
    <row r="9" spans="1:14" ht="15.75" x14ac:dyDescent="0.25">
      <c r="A9" s="496" t="s">
        <v>190</v>
      </c>
      <c r="B9" s="497" t="s">
        <v>301</v>
      </c>
      <c r="C9" s="466">
        <v>29000</v>
      </c>
      <c r="D9" s="466"/>
      <c r="E9" s="466"/>
      <c r="F9" s="466">
        <v>29000</v>
      </c>
      <c r="G9" s="466"/>
      <c r="H9" s="466"/>
      <c r="I9" s="489">
        <f t="shared" si="0"/>
        <v>29000</v>
      </c>
      <c r="J9" s="475">
        <f t="shared" si="1"/>
        <v>0</v>
      </c>
      <c r="K9" s="498" t="s">
        <v>302</v>
      </c>
      <c r="L9" s="481" t="s">
        <v>300</v>
      </c>
      <c r="M9" s="482">
        <v>2000</v>
      </c>
      <c r="N9" s="483"/>
    </row>
    <row r="10" spans="1:14" ht="15.75" x14ac:dyDescent="0.25">
      <c r="A10" s="499" t="s">
        <v>110</v>
      </c>
      <c r="B10" s="500" t="s">
        <v>303</v>
      </c>
      <c r="C10" s="293">
        <v>0</v>
      </c>
      <c r="D10" s="293"/>
      <c r="E10" s="293"/>
      <c r="F10" s="293">
        <v>0</v>
      </c>
      <c r="G10" s="293"/>
      <c r="H10" s="293"/>
      <c r="I10" s="501">
        <f t="shared" si="0"/>
        <v>0</v>
      </c>
      <c r="J10" s="475">
        <f t="shared" si="1"/>
        <v>0</v>
      </c>
      <c r="K10" s="464">
        <f>SUM(I8:I9)</f>
        <v>72000</v>
      </c>
      <c r="L10" s="481" t="s">
        <v>319</v>
      </c>
      <c r="M10" s="482">
        <v>1500</v>
      </c>
      <c r="N10" s="483"/>
    </row>
    <row r="11" spans="1:14" ht="15.75" x14ac:dyDescent="0.25">
      <c r="A11" s="479" t="s">
        <v>110</v>
      </c>
      <c r="B11" s="500" t="s">
        <v>243</v>
      </c>
      <c r="C11" s="281">
        <v>30000</v>
      </c>
      <c r="D11" s="281"/>
      <c r="E11" s="281"/>
      <c r="F11" s="281">
        <v>30000</v>
      </c>
      <c r="G11" s="281"/>
      <c r="H11" s="281"/>
      <c r="I11" s="489">
        <f t="shared" si="0"/>
        <v>30000</v>
      </c>
      <c r="J11" s="475">
        <f t="shared" si="1"/>
        <v>0</v>
      </c>
      <c r="L11" s="481" t="s">
        <v>304</v>
      </c>
      <c r="M11" s="494">
        <v>3000</v>
      </c>
      <c r="N11" s="495"/>
    </row>
    <row r="12" spans="1:14" ht="16.5" thickBot="1" x14ac:dyDescent="0.3">
      <c r="A12" s="491" t="s">
        <v>110</v>
      </c>
      <c r="B12" s="502" t="s">
        <v>234</v>
      </c>
      <c r="C12" s="284">
        <v>15800</v>
      </c>
      <c r="D12" s="284">
        <v>15000</v>
      </c>
      <c r="E12" s="284"/>
      <c r="F12" s="284">
        <v>800</v>
      </c>
      <c r="G12" s="284"/>
      <c r="H12" s="284"/>
      <c r="I12" s="503">
        <f t="shared" si="0"/>
        <v>15800</v>
      </c>
      <c r="J12" s="475">
        <f t="shared" si="1"/>
        <v>0</v>
      </c>
      <c r="K12" s="464">
        <f>SUM(I11:I12)</f>
        <v>45800</v>
      </c>
      <c r="L12" s="488" t="s">
        <v>305</v>
      </c>
      <c r="M12" s="482">
        <v>5000</v>
      </c>
      <c r="N12" s="483"/>
    </row>
    <row r="13" spans="1:14" ht="15.75" x14ac:dyDescent="0.25">
      <c r="A13" s="472" t="s">
        <v>125</v>
      </c>
      <c r="B13" s="504" t="s">
        <v>192</v>
      </c>
      <c r="C13" s="287">
        <v>0</v>
      </c>
      <c r="D13" s="287"/>
      <c r="E13" s="287"/>
      <c r="F13" s="287">
        <v>0</v>
      </c>
      <c r="G13" s="287"/>
      <c r="H13" s="287"/>
      <c r="I13" s="474">
        <f t="shared" si="0"/>
        <v>0</v>
      </c>
      <c r="J13" s="475">
        <f t="shared" si="1"/>
        <v>0</v>
      </c>
      <c r="L13" s="481" t="s">
        <v>322</v>
      </c>
      <c r="M13" s="494">
        <v>0</v>
      </c>
      <c r="N13" s="495"/>
    </row>
    <row r="14" spans="1:14" ht="15.75" x14ac:dyDescent="0.25">
      <c r="A14" s="499" t="s">
        <v>125</v>
      </c>
      <c r="B14" s="505" t="s">
        <v>306</v>
      </c>
      <c r="C14" s="293">
        <v>21000</v>
      </c>
      <c r="D14" s="293">
        <v>19000</v>
      </c>
      <c r="E14" s="293"/>
      <c r="F14" s="293">
        <f>2000</f>
        <v>2000</v>
      </c>
      <c r="G14" s="293"/>
      <c r="H14" s="281"/>
      <c r="I14" s="489">
        <f t="shared" si="0"/>
        <v>21000</v>
      </c>
      <c r="J14" s="475">
        <f t="shared" si="1"/>
        <v>0</v>
      </c>
      <c r="L14" s="481" t="s">
        <v>307</v>
      </c>
      <c r="M14" s="494">
        <v>2500</v>
      </c>
      <c r="N14" s="495"/>
    </row>
    <row r="15" spans="1:14" ht="16.5" thickBot="1" x14ac:dyDescent="0.3">
      <c r="A15" s="499" t="s">
        <v>125</v>
      </c>
      <c r="B15" s="505" t="s">
        <v>308</v>
      </c>
      <c r="C15" s="293">
        <v>8000</v>
      </c>
      <c r="D15" s="293"/>
      <c r="E15" s="293"/>
      <c r="F15" s="293">
        <f>8000</f>
        <v>8000</v>
      </c>
      <c r="G15" s="293"/>
      <c r="H15" s="281"/>
      <c r="I15" s="489">
        <f t="shared" si="0"/>
        <v>8000</v>
      </c>
      <c r="J15" s="475">
        <f t="shared" si="1"/>
        <v>0</v>
      </c>
      <c r="L15" s="526" t="s">
        <v>309</v>
      </c>
      <c r="M15" s="527">
        <v>2500</v>
      </c>
      <c r="N15" s="528"/>
    </row>
    <row r="16" spans="1:14" ht="16.5" thickBot="1" x14ac:dyDescent="0.3">
      <c r="A16" s="499" t="s">
        <v>127</v>
      </c>
      <c r="B16" s="505" t="s">
        <v>242</v>
      </c>
      <c r="C16" s="293">
        <v>100000</v>
      </c>
      <c r="D16" s="293"/>
      <c r="E16" s="293">
        <v>5000</v>
      </c>
      <c r="F16" s="281">
        <v>95000</v>
      </c>
      <c r="G16" s="281"/>
      <c r="H16" s="281"/>
      <c r="I16" s="489">
        <f t="shared" si="0"/>
        <v>100000</v>
      </c>
      <c r="J16" s="475">
        <f t="shared" si="1"/>
        <v>0</v>
      </c>
      <c r="L16" s="529" t="s">
        <v>310</v>
      </c>
      <c r="M16" s="530">
        <f>SUM(M5:M15)</f>
        <v>29000</v>
      </c>
      <c r="N16" s="531"/>
    </row>
    <row r="17" spans="1:11" x14ac:dyDescent="0.25">
      <c r="A17" s="479" t="s">
        <v>127</v>
      </c>
      <c r="B17" s="294" t="s">
        <v>311</v>
      </c>
      <c r="C17" s="281">
        <f>200000</f>
        <v>200000</v>
      </c>
      <c r="D17" s="281"/>
      <c r="E17" s="281"/>
      <c r="F17" s="281">
        <f>200000</f>
        <v>200000</v>
      </c>
      <c r="G17" s="281"/>
      <c r="H17" s="281">
        <v>185000</v>
      </c>
      <c r="I17" s="489">
        <f t="shared" si="0"/>
        <v>385000</v>
      </c>
      <c r="J17" s="475">
        <f t="shared" si="1"/>
        <v>-185000</v>
      </c>
      <c r="K17" s="464"/>
    </row>
    <row r="18" spans="1:11" ht="15.75" thickBot="1" x14ac:dyDescent="0.3">
      <c r="A18" s="491" t="s">
        <v>131</v>
      </c>
      <c r="B18" s="506" t="s">
        <v>312</v>
      </c>
      <c r="C18" s="284">
        <v>0</v>
      </c>
      <c r="D18" s="284"/>
      <c r="E18" s="284"/>
      <c r="F18" s="284">
        <v>0</v>
      </c>
      <c r="G18" s="284"/>
      <c r="H18" s="284"/>
      <c r="I18" s="493">
        <f t="shared" si="0"/>
        <v>0</v>
      </c>
      <c r="J18" s="475">
        <f t="shared" si="1"/>
        <v>0</v>
      </c>
      <c r="K18" s="464">
        <f>SUM(I13:I18)</f>
        <v>514000</v>
      </c>
    </row>
    <row r="19" spans="1:11" ht="15.75" thickBot="1" x14ac:dyDescent="0.3">
      <c r="A19" s="533" t="s">
        <v>136</v>
      </c>
      <c r="B19" s="534" t="s">
        <v>273</v>
      </c>
      <c r="C19" s="411">
        <v>381000</v>
      </c>
      <c r="D19" s="411">
        <v>355220</v>
      </c>
      <c r="E19" s="411"/>
      <c r="F19" s="411">
        <v>25780</v>
      </c>
      <c r="G19" s="411"/>
      <c r="H19" s="411"/>
      <c r="I19" s="535">
        <f t="shared" si="0"/>
        <v>381000</v>
      </c>
      <c r="J19" s="475">
        <f t="shared" si="1"/>
        <v>0</v>
      </c>
    </row>
    <row r="20" spans="1:11" ht="15.75" thickBot="1" x14ac:dyDescent="0.3">
      <c r="A20" s="472" t="s">
        <v>152</v>
      </c>
      <c r="B20" s="508" t="s">
        <v>313</v>
      </c>
      <c r="C20" s="287">
        <v>92800</v>
      </c>
      <c r="D20" s="287">
        <f>166800-89300</f>
        <v>77500</v>
      </c>
      <c r="E20" s="287"/>
      <c r="F20" s="287">
        <f>20000-4700</f>
        <v>15300</v>
      </c>
      <c r="G20" s="287"/>
      <c r="H20" s="287"/>
      <c r="I20" s="474">
        <f t="shared" si="0"/>
        <v>92800</v>
      </c>
      <c r="J20" s="475">
        <f t="shared" si="1"/>
        <v>0</v>
      </c>
      <c r="K20" s="464"/>
    </row>
    <row r="21" spans="1:11" ht="15.75" thickBot="1" x14ac:dyDescent="0.3">
      <c r="A21" s="585" t="s">
        <v>314</v>
      </c>
      <c r="B21" s="586"/>
      <c r="C21" s="509">
        <f t="shared" ref="C21:I21" si="2">SUM(C4:C20)</f>
        <v>1267700</v>
      </c>
      <c r="D21" s="509">
        <f t="shared" si="2"/>
        <v>766720</v>
      </c>
      <c r="E21" s="509">
        <f t="shared" si="2"/>
        <v>8000</v>
      </c>
      <c r="F21" s="509">
        <f t="shared" si="2"/>
        <v>492980</v>
      </c>
      <c r="G21" s="509">
        <f t="shared" si="2"/>
        <v>0</v>
      </c>
      <c r="H21" s="509">
        <f t="shared" si="2"/>
        <v>185000</v>
      </c>
      <c r="I21" s="510">
        <f t="shared" si="2"/>
        <v>1452700</v>
      </c>
      <c r="J21" s="475">
        <f t="shared" si="1"/>
        <v>-185000</v>
      </c>
    </row>
    <row r="22" spans="1:11" ht="15.75" thickBot="1" x14ac:dyDescent="0.3">
      <c r="A22" s="472"/>
      <c r="B22" s="512"/>
      <c r="C22" s="513"/>
      <c r="D22" s="287"/>
      <c r="E22" s="287"/>
      <c r="F22" s="511"/>
      <c r="G22" s="511"/>
      <c r="H22" s="287"/>
      <c r="I22" s="474">
        <f>SUM(D22:H22)</f>
        <v>0</v>
      </c>
      <c r="J22" s="475">
        <f t="shared" si="1"/>
        <v>0</v>
      </c>
    </row>
    <row r="23" spans="1:11" ht="15.75" thickBot="1" x14ac:dyDescent="0.3">
      <c r="A23" s="585" t="s">
        <v>315</v>
      </c>
      <c r="B23" s="586"/>
      <c r="C23" s="509">
        <f>SUM(C22:C22)</f>
        <v>0</v>
      </c>
      <c r="D23" s="509">
        <f t="shared" ref="D23:H23" si="3">SUM(D22:D22)</f>
        <v>0</v>
      </c>
      <c r="E23" s="509">
        <f t="shared" si="3"/>
        <v>0</v>
      </c>
      <c r="F23" s="509">
        <f t="shared" si="3"/>
        <v>0</v>
      </c>
      <c r="G23" s="509">
        <f t="shared" si="3"/>
        <v>0</v>
      </c>
      <c r="H23" s="509">
        <f t="shared" si="3"/>
        <v>0</v>
      </c>
      <c r="I23" s="510">
        <f>SUM(I22:I22)</f>
        <v>0</v>
      </c>
      <c r="J23" s="475">
        <f t="shared" si="1"/>
        <v>0</v>
      </c>
    </row>
    <row r="24" spans="1:11" ht="15.75" thickBot="1" x14ac:dyDescent="0.3">
      <c r="A24" s="585" t="s">
        <v>316</v>
      </c>
      <c r="B24" s="586"/>
      <c r="C24" s="509">
        <f>C21+C23</f>
        <v>1267700</v>
      </c>
      <c r="D24" s="509">
        <f t="shared" ref="D24:H24" si="4">D21+D23</f>
        <v>766720</v>
      </c>
      <c r="E24" s="509">
        <f t="shared" si="4"/>
        <v>8000</v>
      </c>
      <c r="F24" s="509">
        <f t="shared" si="4"/>
        <v>492980</v>
      </c>
      <c r="G24" s="509">
        <f t="shared" si="4"/>
        <v>0</v>
      </c>
      <c r="H24" s="509">
        <f t="shared" si="4"/>
        <v>185000</v>
      </c>
      <c r="I24" s="510">
        <f>I21+I23</f>
        <v>1452700</v>
      </c>
      <c r="J24" s="475">
        <f t="shared" si="1"/>
        <v>-185000</v>
      </c>
    </row>
    <row r="25" spans="1:11" x14ac:dyDescent="0.25">
      <c r="A25" s="514"/>
      <c r="B25" s="514"/>
      <c r="C25" s="515"/>
      <c r="D25" s="516"/>
      <c r="E25" s="517">
        <f>D21+E21</f>
        <v>774720</v>
      </c>
      <c r="F25" s="516">
        <f>SUM(F24:F24)</f>
        <v>492980</v>
      </c>
      <c r="G25" s="516"/>
      <c r="H25" s="518" t="s">
        <v>317</v>
      </c>
      <c r="I25" s="519"/>
      <c r="J25" s="520"/>
    </row>
    <row r="26" spans="1:11" x14ac:dyDescent="0.25">
      <c r="A26" s="467"/>
      <c r="C26" s="467"/>
      <c r="D26" s="467"/>
      <c r="F26" s="521">
        <v>490000</v>
      </c>
      <c r="G26" s="532"/>
      <c r="H26" s="467" t="s">
        <v>318</v>
      </c>
      <c r="I26" s="467"/>
    </row>
    <row r="27" spans="1:11" x14ac:dyDescent="0.25">
      <c r="A27" s="467"/>
      <c r="C27" s="467"/>
      <c r="D27" s="522"/>
      <c r="E27" s="523"/>
      <c r="F27" s="524">
        <f>F26-F25</f>
        <v>-2980</v>
      </c>
      <c r="G27" s="524"/>
      <c r="H27" s="467" t="s">
        <v>325</v>
      </c>
      <c r="I27" s="467"/>
    </row>
    <row r="28" spans="1:11" x14ac:dyDescent="0.25">
      <c r="A28" s="467"/>
      <c r="B28" s="525"/>
      <c r="C28" s="467"/>
      <c r="D28" s="467"/>
      <c r="E28" s="467"/>
      <c r="F28" s="467"/>
      <c r="G28" s="467"/>
      <c r="H28" s="467"/>
      <c r="I28" s="467"/>
      <c r="J28" s="467"/>
    </row>
    <row r="29" spans="1:11" x14ac:dyDescent="0.25">
      <c r="A29" s="525"/>
      <c r="B29" s="525"/>
      <c r="C29" s="525"/>
      <c r="D29" s="525"/>
      <c r="E29" s="525"/>
      <c r="F29" s="525"/>
      <c r="G29" s="525"/>
      <c r="H29" s="525"/>
      <c r="I29" s="525"/>
      <c r="J29" s="525"/>
      <c r="K29" s="520"/>
    </row>
    <row r="30" spans="1:11" x14ac:dyDescent="0.25">
      <c r="A30" s="467"/>
      <c r="B30" s="467" t="s">
        <v>221</v>
      </c>
      <c r="C30" s="467"/>
      <c r="D30" s="467"/>
      <c r="E30" s="467"/>
      <c r="F30" s="467"/>
      <c r="G30" s="467"/>
      <c r="H30" s="467"/>
      <c r="I30" s="467"/>
      <c r="J30" s="467"/>
    </row>
    <row r="31" spans="1:11" x14ac:dyDescent="0.25">
      <c r="A31" s="467"/>
      <c r="B31" s="467" t="s">
        <v>326</v>
      </c>
      <c r="C31" s="467"/>
      <c r="D31" s="467"/>
      <c r="E31" s="467"/>
      <c r="F31" s="467"/>
      <c r="G31" s="467"/>
      <c r="H31" s="467"/>
      <c r="I31" s="467"/>
      <c r="J31" s="467"/>
    </row>
  </sheetData>
  <mergeCells count="5">
    <mergeCell ref="A1:H1"/>
    <mergeCell ref="L3:N3"/>
    <mergeCell ref="A21:B21"/>
    <mergeCell ref="A23:B23"/>
    <mergeCell ref="A24:B24"/>
  </mergeCells>
  <pageMargins left="0.7" right="0.7" top="0.75" bottom="0.75" header="0.3" footer="0.3"/>
  <pageSetup paperSize="9" scale="5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2</vt:i4>
      </vt:variant>
    </vt:vector>
  </HeadingPairs>
  <TitlesOfParts>
    <vt:vector size="2" baseType="lpstr">
      <vt:lpstr>VR22-24</vt:lpstr>
      <vt:lpstr>investície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2021-12-13T18:45:51Z</dcterms:modified>
</cp:coreProperties>
</file>