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tabRatio="784" activeTab="2"/>
  </bookViews>
  <sheets>
    <sheet name="opatrenia" sheetId="1" r:id="rId1"/>
    <sheet name="úprava" sheetId="2" r:id="rId2"/>
    <sheet name="Zmena 4" sheetId="3" r:id="rId3"/>
    <sheet name="Zmena 3" sheetId="4" r:id="rId4"/>
    <sheet name="Zmena 2" sheetId="5" r:id="rId5"/>
    <sheet name="Zmena 1" sheetId="6" r:id="rId6"/>
    <sheet name="Rozpočet2013" sheetId="7" r:id="rId7"/>
    <sheet name="R13-15" sheetId="8" r:id="rId8"/>
    <sheet name="Programy 12" sheetId="9" r:id="rId9"/>
    <sheet name="Programy 9" sheetId="10" r:id="rId10"/>
    <sheet name="Programy 6" sheetId="11" r:id="rId11"/>
    <sheet name="Programy 3" sheetId="12" r:id="rId12"/>
    <sheet name="Programy 13-15" sheetId="13" r:id="rId13"/>
  </sheets>
  <definedNames/>
  <calcPr fullCalcOnLoad="1"/>
</workbook>
</file>

<file path=xl/sharedStrings.xml><?xml version="1.0" encoding="utf-8"?>
<sst xmlns="http://schemas.openxmlformats.org/spreadsheetml/2006/main" count="2305" uniqueCount="477">
  <si>
    <t>Rozpočet obce Heľpa na roky 2013 - 2015</t>
  </si>
  <si>
    <t>Rozpočet obce Heľpa na rok 2013 schválilo OZ uz.č. 210/2012 dňa 12.12.2012</t>
  </si>
  <si>
    <t>Bežný rozpočet - príjmy</t>
  </si>
  <si>
    <t>Názov položky</t>
  </si>
  <si>
    <t>Rozpočet 2013 v EUR</t>
  </si>
  <si>
    <t>Rozpočet 2014 v EUR</t>
  </si>
  <si>
    <t>Rozpočet 2015 v EUR</t>
  </si>
  <si>
    <t>daňové príjmy</t>
  </si>
  <si>
    <t>výnos dane pre územnú samosprávu</t>
  </si>
  <si>
    <t>daň z pozemkov FO, PO</t>
  </si>
  <si>
    <t>daň zo stavieb FO, PO</t>
  </si>
  <si>
    <t>daň z bytov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</si>
  <si>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</si>
  <si>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</si>
  <si>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</si>
  <si>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</si>
  <si>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</si>
  <si>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</si>
  <si>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</si>
  <si>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</si>
  <si>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</si>
  <si>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>prenájom budov</t>
  </si>
  <si>
    <t>prenájom strojov,prístrojov,zariadení</t>
  </si>
  <si>
    <t xml:space="preserve">správne poplatky </t>
  </si>
  <si>
    <t>pokuty, sankcie</t>
  </si>
  <si>
    <t>ostatné príjmy /relácie,kopírovanie,fax,.../</t>
  </si>
  <si>
    <t>príjem za opatrovateľskú službu</t>
  </si>
  <si>
    <t>príjmy zo vstupného, kult.činnosti, HDST</t>
  </si>
  <si>
    <t>príjmy za separovaný zber, Recyklačný fond</t>
  </si>
  <si>
    <t>poplatky za dom smútku</t>
  </si>
  <si>
    <t>poplatky za stočné</t>
  </si>
  <si>
    <t>poplatky za služby - užívanie obec.nebyt.priestorov</t>
  </si>
  <si>
    <t>ZUŠ - príspevok rodičov na náklady zariadenia</t>
  </si>
  <si>
    <t>MŠ - príspevok rodičov na náklady zariadenia</t>
  </si>
  <si>
    <t xml:space="preserve">ŠKJ - prevod réžie </t>
  </si>
  <si>
    <t>predaj prebytočného majetku</t>
  </si>
  <si>
    <t>úroky</t>
  </si>
  <si>
    <t>úroky z bankových účtov</t>
  </si>
  <si>
    <t>ostatné príjmy</t>
  </si>
  <si>
    <t>príjem z výťažkov lotérií a hazardných hier</t>
  </si>
  <si>
    <t>príjem z dobropisov a vratiek</t>
  </si>
  <si>
    <t>príjmy z refundácie za skladníka CO</t>
  </si>
  <si>
    <t>príjmy z refundácie zo SF, zam.strava</t>
  </si>
  <si>
    <t>príjem za cintorínske služby</t>
  </si>
  <si>
    <t xml:space="preserve">príjem z refundácií UPSVR mr </t>
  </si>
  <si>
    <t>príjmy z refundácii služieb nebytových priestorov</t>
  </si>
  <si>
    <t>príjmy z ostatných refundácii</t>
  </si>
  <si>
    <t>príjmy z náhrad priestupkového konania</t>
  </si>
  <si>
    <t>príjmy z katastra za ROEP</t>
  </si>
  <si>
    <t>granty, dotácie, transfery</t>
  </si>
  <si>
    <t>Granty</t>
  </si>
  <si>
    <t>Dotácia na projekt ZŠ - MRK</t>
  </si>
  <si>
    <t>Dotácia na deti v hm.núdzi /strava,šk.potreby/</t>
  </si>
  <si>
    <t>Dotácia na aktivačnú činnosť, PRMZ</t>
  </si>
  <si>
    <t>Transfer od obcí na SpU opatr.služby</t>
  </si>
  <si>
    <t>Transfer od ZŠ na SpU školstva</t>
  </si>
  <si>
    <t>Transfer od obcí na SpU stavebný</t>
  </si>
  <si>
    <t>Dotácia na matričnú činnosť a REGOB</t>
  </si>
  <si>
    <t>Dotácia na stavebný úrad</t>
  </si>
  <si>
    <t>Dotácia na výchovu,vzdelávanie MŠ</t>
  </si>
  <si>
    <t>Transfer pre ZŠ - právny subjekt</t>
  </si>
  <si>
    <t>Dotácia na voľby</t>
  </si>
  <si>
    <t>BEŽNÉ PRÍJMY obce:</t>
  </si>
  <si>
    <t>Vlastný príjem ZŠ</t>
  </si>
  <si>
    <t>BEŽNÉ PRÍJMY CELKOM:</t>
  </si>
  <si>
    <t>Bežný rozpočet - výdavky</t>
  </si>
  <si>
    <t>Všeobecné verejné služby</t>
  </si>
  <si>
    <t>01116</t>
  </si>
  <si>
    <t>Výdavky verejnej správy - samospráva</t>
  </si>
  <si>
    <t>0112</t>
  </si>
  <si>
    <t>Fin.a rozpoč.oblasť /HKON,OZ,audit,poplatky/</t>
  </si>
  <si>
    <t>0133</t>
  </si>
  <si>
    <t>Matričný úrad a REGOB</t>
  </si>
  <si>
    <t>0160</t>
  </si>
  <si>
    <t>Voľby</t>
  </si>
  <si>
    <t>Civilná ochrana</t>
  </si>
  <si>
    <t>0220</t>
  </si>
  <si>
    <t>Skladník CO</t>
  </si>
  <si>
    <t xml:space="preserve">Požiarna ochrana </t>
  </si>
  <si>
    <t>0320</t>
  </si>
  <si>
    <t>Obecný hasičský zbor</t>
  </si>
  <si>
    <t>Všeobecná ekonomická oblasť</t>
  </si>
  <si>
    <t>0411</t>
  </si>
  <si>
    <t>Členské príspevky združeniam, organizáciám</t>
  </si>
  <si>
    <t>0443</t>
  </si>
  <si>
    <t>Spoločný stavebný úrad</t>
  </si>
  <si>
    <t>Externý projektový manažment k projektom</t>
  </si>
  <si>
    <t>04513</t>
  </si>
  <si>
    <t>Miestne komunikácie-údržba ciest,zimná údržba</t>
  </si>
  <si>
    <t>0490</t>
  </si>
  <si>
    <t>Správa obecných objektov a majetku</t>
  </si>
  <si>
    <t>Ochrana životného prostredia</t>
  </si>
  <si>
    <t>0510</t>
  </si>
  <si>
    <t>Nakladanie s odpadmi, zberný dvor</t>
  </si>
  <si>
    <t>0520</t>
  </si>
  <si>
    <t>Prevádzka ČOV</t>
  </si>
  <si>
    <t>0560</t>
  </si>
  <si>
    <t>Starostlivosť o ŽP, ver.zeleň, potoky</t>
  </si>
  <si>
    <t>Občianska vybavenosť</t>
  </si>
  <si>
    <t>0640</t>
  </si>
  <si>
    <t>Verejné osvetlenie</t>
  </si>
  <si>
    <t>Rekreácia, šport, kultúra, náboženstvo</t>
  </si>
  <si>
    <t>0810</t>
  </si>
  <si>
    <t>Údržba športového areálu</t>
  </si>
  <si>
    <t>Príspevok pre Športový klub</t>
  </si>
  <si>
    <t>0820</t>
  </si>
  <si>
    <t>Riadenie kultúrnych činností,propagácia obce</t>
  </si>
  <si>
    <t>08203</t>
  </si>
  <si>
    <t>Amfiteáter</t>
  </si>
  <si>
    <t>08205</t>
  </si>
  <si>
    <t>Miestna ľudová knižnica</t>
  </si>
  <si>
    <t>08209</t>
  </si>
  <si>
    <t>Svadby</t>
  </si>
  <si>
    <t>Fašiangová veselica</t>
  </si>
  <si>
    <t>Kolovrátok</t>
  </si>
  <si>
    <t>Horehronské dni spevu a tanca - obec</t>
  </si>
  <si>
    <t>Kultúrne podujatia</t>
  </si>
  <si>
    <t>Mikuláš</t>
  </si>
  <si>
    <t>HDST - prevod vstupného SOS, BBSK</t>
  </si>
  <si>
    <t>0830</t>
  </si>
  <si>
    <t>Údržba miest.rozhlasu, SOZA,RTVS,noviny</t>
  </si>
  <si>
    <t>0840</t>
  </si>
  <si>
    <t>Prevádzka Domu smútku a cintorína</t>
  </si>
  <si>
    <t>0860</t>
  </si>
  <si>
    <t>Minigrantový program obce, kultúrny a šport.rozvoj</t>
  </si>
  <si>
    <t>Vzdelávanie</t>
  </si>
  <si>
    <t>09111</t>
  </si>
  <si>
    <t>MŠ, vzdel.program</t>
  </si>
  <si>
    <t>09121</t>
  </si>
  <si>
    <t>ZŠ</t>
  </si>
  <si>
    <t>09501</t>
  </si>
  <si>
    <t>ZUŠ</t>
  </si>
  <si>
    <t>09601</t>
  </si>
  <si>
    <t>Školská kuchyňa a jedáleň</t>
  </si>
  <si>
    <t>09607</t>
  </si>
  <si>
    <t>Spoločný školský úrad</t>
  </si>
  <si>
    <t>Sociálne zabezpečenie</t>
  </si>
  <si>
    <t>10202</t>
  </si>
  <si>
    <t>Opatrovateľská služba</t>
  </si>
  <si>
    <t>Mesiac úcty k starším</t>
  </si>
  <si>
    <t>10203</t>
  </si>
  <si>
    <t>Spoločný úrad sociálnej pomoci</t>
  </si>
  <si>
    <t>10404</t>
  </si>
  <si>
    <t>Uvítanie detí do života</t>
  </si>
  <si>
    <t>1050</t>
  </si>
  <si>
    <t>Aktivačná činnosť a podpora region.zamestnávania</t>
  </si>
  <si>
    <t>10701</t>
  </si>
  <si>
    <t>Príspevok deťom v hm.núdzi -strava,šk.potreby</t>
  </si>
  <si>
    <t>10703</t>
  </si>
  <si>
    <t>Sociálna pomoc  občanom v núdzi</t>
  </si>
  <si>
    <t>1090</t>
  </si>
  <si>
    <t>Soc. pomoc pri živelných pohromách</t>
  </si>
  <si>
    <t>BEŽNÉ VÝDAVKY obce:</t>
  </si>
  <si>
    <t>Transfer pre ZŠ</t>
  </si>
  <si>
    <t>09502</t>
  </si>
  <si>
    <t>Transfer pre ŠKD</t>
  </si>
  <si>
    <t>Transfer pre ZŠ :</t>
  </si>
  <si>
    <t>BEŽNÉ VÝDAVKY CELKOM:</t>
  </si>
  <si>
    <t>Kapitálový rozpočet</t>
  </si>
  <si>
    <t>Kapitálové príjmy</t>
  </si>
  <si>
    <t>predaj pozemkov, budov</t>
  </si>
  <si>
    <t>KT Zberný dvor</t>
  </si>
  <si>
    <t>KT ČOV</t>
  </si>
  <si>
    <t>KT Modernizácia osvetlenia</t>
  </si>
  <si>
    <t>Kapitálové výdavky</t>
  </si>
  <si>
    <t>nákup pozemkov st.obvod Teplica II.</t>
  </si>
  <si>
    <t>nákup budov, objektov na ver. účely</t>
  </si>
  <si>
    <t>projektová dokumentácia pre inv.stavby</t>
  </si>
  <si>
    <t>nákup osobného automobilu</t>
  </si>
  <si>
    <t>Zberný dvor - výstavba</t>
  </si>
  <si>
    <t>Kanalizácia</t>
  </si>
  <si>
    <t>ČOV - výstavba</t>
  </si>
  <si>
    <t>0620</t>
  </si>
  <si>
    <t>Regenerácia sídel</t>
  </si>
  <si>
    <t>IBV Teplica inž.siete</t>
  </si>
  <si>
    <t>Modernizácia osvetlenia</t>
  </si>
  <si>
    <t>Finančné operácie</t>
  </si>
  <si>
    <t>príjmové</t>
  </si>
  <si>
    <t xml:space="preserve">splácanie výpomocí </t>
  </si>
  <si>
    <t>prevod z FRO - investičné akcie</t>
  </si>
  <si>
    <t>návratné zdroje financovania</t>
  </si>
  <si>
    <t>výdavkové</t>
  </si>
  <si>
    <t>splácanie inv. úveru na projekty</t>
  </si>
  <si>
    <t>splácanie úveru ŠFRB</t>
  </si>
  <si>
    <t>REKAPITULÁCIA ROZPOČTU</t>
  </si>
  <si>
    <t>príjmy bežného rozpočtu</t>
  </si>
  <si>
    <t>výdavky bežného rozpočtu</t>
  </si>
  <si>
    <t>prebytok bežného rozpočtu</t>
  </si>
  <si>
    <t>príjmy kapitálového rozpočtu</t>
  </si>
  <si>
    <t>výdavky kapitálového rozpočtu</t>
  </si>
  <si>
    <t>schodok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</si>
  <si>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</si>
  <si>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</si>
  <si>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</si>
  <si>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</si>
  <si>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</si>
  <si>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</si>
  <si>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</si>
  <si>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</si>
  <si>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zmena I.</t>
  </si>
  <si>
    <t>Dotácia z uz.vlády na fin.školstva</t>
  </si>
  <si>
    <t>NFP na ČOV</t>
  </si>
  <si>
    <t>NFP na Zberný dvor</t>
  </si>
  <si>
    <t>Externý projektový manažment  Zb.dvor</t>
  </si>
  <si>
    <t>Externý projektový manažment ČOV</t>
  </si>
  <si>
    <t>Rozpočet obce Heľpa na roky 2013</t>
  </si>
  <si>
    <t>Obec Heľpa, Farská 588/2, 976 68 Heľpa</t>
  </si>
  <si>
    <t>Operatívna evidencia</t>
  </si>
  <si>
    <t>Por.č.</t>
  </si>
  <si>
    <t>Uz.č.</t>
  </si>
  <si>
    <t>zo dňa</t>
  </si>
  <si>
    <t>rozpočtové opatrenie</t>
  </si>
  <si>
    <t>Zmena v príjmoch v Eur</t>
  </si>
  <si>
    <t>Zmena vo výdavkoch v Eur</t>
  </si>
  <si>
    <t>1.</t>
  </si>
  <si>
    <t>§14 ods.2 písm.b/</t>
  </si>
  <si>
    <t>Vypracovala: A.Tkáčiková</t>
  </si>
  <si>
    <t>Schválil: Jozef Fillo - starosta obce</t>
  </si>
  <si>
    <t>Poznámka:</t>
  </si>
  <si>
    <t>§ 14 ods. 2  písm. a) / b) / c)</t>
  </si>
  <si>
    <t>a) presun rozpočtovaných prostriedkov v rámci schváleného rozpočtu, pričom sa nemenia celkové príjmy a celkové výdavky,</t>
  </si>
  <si>
    <t>b) povolené prekročenie výdavkov pri dosiahnutí vyšších príjmov,</t>
  </si>
  <si>
    <r>
      <t xml:space="preserve">c) viazanie rozpočtovaných výdavkov, ak ich krytie je ohrozené neplnením rozpočtovaných príjmov alebo ak sa očakáva narušenie vyrovnanosti bežného rozpočtu z iných dôvodov ako použitím rezervného fondu podľa § 10 ods. 8 alebo použitím účelovo určených prostriedkov poskytnutých zo štátneho rozpočtu, z rozpočtu Európskej únie alebo na základe osobitného predpisu, </t>
    </r>
    <r>
      <rPr>
        <vertAlign val="superscript"/>
        <sz val="10"/>
        <color indexed="8"/>
        <rFont val="Times New Roman"/>
        <family val="1"/>
      </rPr>
      <t>17a)</t>
    </r>
    <r>
      <rPr>
        <sz val="10"/>
        <color indexed="8"/>
        <rFont val="Times New Roman"/>
        <family val="1"/>
      </rPr>
      <t xml:space="preserve"> nevyčerpaných v minulých rokoch.</t>
    </r>
  </si>
  <si>
    <t>26.4.2013</t>
  </si>
  <si>
    <t>rozpočtových opatrení za rok 2013</t>
  </si>
  <si>
    <t>PRÍJMY</t>
  </si>
  <si>
    <t xml:space="preserve">Položka </t>
  </si>
  <si>
    <t>Názov</t>
  </si>
  <si>
    <t>Suma</t>
  </si>
  <si>
    <t>VÝDAVKY</t>
  </si>
  <si>
    <t>RO</t>
  </si>
  <si>
    <t xml:space="preserve">1. úprava rozpočtu </t>
  </si>
  <si>
    <t>Zmeny uskutočnené v týchto položkách:</t>
  </si>
  <si>
    <t>FRK</t>
  </si>
  <si>
    <t>Druh výdavkov</t>
  </si>
  <si>
    <t>Bežné výdavky v €</t>
  </si>
  <si>
    <t>Kapitálové výdavky  v €</t>
  </si>
  <si>
    <t>Finančné operácie v  €</t>
  </si>
  <si>
    <t xml:space="preserve"> Spolu v €</t>
  </si>
  <si>
    <t>program</t>
  </si>
  <si>
    <t>podprogram</t>
  </si>
  <si>
    <t>prvok projekt</t>
  </si>
  <si>
    <t>názov</t>
  </si>
  <si>
    <t>Plánovanie, manažment a kontrola</t>
  </si>
  <si>
    <t>Manažment obce</t>
  </si>
  <si>
    <t>Obecný úrad</t>
  </si>
  <si>
    <t>Obecné zastupiteľstvo</t>
  </si>
  <si>
    <t>Vnútorná kontrola</t>
  </si>
  <si>
    <t>Členstvo obce v samospráv. organiz. a združ.</t>
  </si>
  <si>
    <t>Plánovanie rozvoja obce</t>
  </si>
  <si>
    <t>Propagácia a prezentácia obce</t>
  </si>
  <si>
    <t>Služby občanom</t>
  </si>
  <si>
    <t>Organizácia slávnostných obradov</t>
  </si>
  <si>
    <t>Matričná činnosť</t>
  </si>
  <si>
    <t>Cintorínske a pohrebné služby</t>
  </si>
  <si>
    <t>Obecný cintorín</t>
  </si>
  <si>
    <t>Dom smútku</t>
  </si>
  <si>
    <t>Médiá</t>
  </si>
  <si>
    <t>Obecný rozhlas</t>
  </si>
  <si>
    <t>Obecné noviny</t>
  </si>
  <si>
    <t>Zdravotné stredisko</t>
  </si>
  <si>
    <t>Správa a evidencia majetku obce</t>
  </si>
  <si>
    <t>Spoločné úradovne</t>
  </si>
  <si>
    <t>Spoločná úradovňa - školstvo</t>
  </si>
  <si>
    <t>Spoločná úradovňa - opatrovateľská služba</t>
  </si>
  <si>
    <t xml:space="preserve"> </t>
  </si>
  <si>
    <t>Prenesený výkon štátnej správy</t>
  </si>
  <si>
    <t>Bezpečnosť</t>
  </si>
  <si>
    <t>Ochrana pred požiarmi</t>
  </si>
  <si>
    <t>Komunikácie</t>
  </si>
  <si>
    <t>Správa a údržba miestnych komunikácií</t>
  </si>
  <si>
    <t>Odpadové hospodárstvo</t>
  </si>
  <si>
    <t>Nakladanie s odpadom</t>
  </si>
  <si>
    <t>Kanalizácia a ČOV</t>
  </si>
  <si>
    <t>Zberný dvor</t>
  </si>
  <si>
    <t>Základná škola, St.úpravy, kotolňa</t>
  </si>
  <si>
    <t>Materská škola</t>
  </si>
  <si>
    <t>Základná umelecká škola</t>
  </si>
  <si>
    <t>Školská jedáleň</t>
  </si>
  <si>
    <t>Šport</t>
  </si>
  <si>
    <t>Športový klub</t>
  </si>
  <si>
    <t>Športový areál</t>
  </si>
  <si>
    <t>Kultúra</t>
  </si>
  <si>
    <t>Organizácia kultúrnych podujatí</t>
  </si>
  <si>
    <t>Riadenie kultúrnych činností</t>
  </si>
  <si>
    <t>Horehronské dni spevu a tanca</t>
  </si>
  <si>
    <t>Kultúrne leto</t>
  </si>
  <si>
    <t>Mikuláš na námestí</t>
  </si>
  <si>
    <t>Minigranty</t>
  </si>
  <si>
    <t>Prostredie pre život</t>
  </si>
  <si>
    <t>Správa a údržba zelene</t>
  </si>
  <si>
    <t>Regenerácia obce</t>
  </si>
  <si>
    <t>Protipovodňové opatrenia</t>
  </si>
  <si>
    <t>Bývanie</t>
  </si>
  <si>
    <t>Správa a údržba bytového fondu</t>
  </si>
  <si>
    <t>Individuálna bytová výstavba</t>
  </si>
  <si>
    <t>Sociálne služby</t>
  </si>
  <si>
    <t>Opatrovateľská služby v byte občana</t>
  </si>
  <si>
    <t>Starostlivosť o občanov v núdzi</t>
  </si>
  <si>
    <t>Dávky v hmotnej a sociálnej núdzi</t>
  </si>
  <si>
    <t>Osobitný príjemca dávky - prídavok na dieťa</t>
  </si>
  <si>
    <t>Aktivačné práce</t>
  </si>
  <si>
    <t>Pomoc obce občanom v hmotnej a sociálnej núdzi</t>
  </si>
  <si>
    <t>Podpora regionálnej a miestnej zamestnanosti</t>
  </si>
  <si>
    <t>Starostlivosť o seniorov</t>
  </si>
  <si>
    <t>Stretnutia s dôchodcami</t>
  </si>
  <si>
    <t>Klubovňa</t>
  </si>
  <si>
    <t>RO - Základná škola Heľpa</t>
  </si>
  <si>
    <t>Transfer pre Základnú školu</t>
  </si>
  <si>
    <t>Transfer pre Školský klub detí</t>
  </si>
  <si>
    <t>Rekapitulácia</t>
  </si>
  <si>
    <t>Bežné príjmy      v €</t>
  </si>
  <si>
    <t>Kapitálové príjmy v €</t>
  </si>
  <si>
    <t xml:space="preserve">Finančné operácie  v € </t>
  </si>
  <si>
    <t>PRÍJMY  CELKOM:</t>
  </si>
  <si>
    <t>VÝDAVKY  CELKOM:</t>
  </si>
  <si>
    <t>VÝSLEDOK  ROZPOČTOVÉHO HOSPODÁRENIA</t>
  </si>
  <si>
    <t>Programový rozpočet na rok 2013</t>
  </si>
  <si>
    <t>2013</t>
  </si>
  <si>
    <t>2014</t>
  </si>
  <si>
    <t>Skutočnosť 3</t>
  </si>
  <si>
    <t>Réžia ŠKJ</t>
  </si>
  <si>
    <t>príjmy z refundácie - zam.strava</t>
  </si>
  <si>
    <t>príjmy z refundácie zo SF</t>
  </si>
  <si>
    <t>MD nevyher.hrac.prístroje</t>
  </si>
  <si>
    <t>Pokuty</t>
  </si>
  <si>
    <t>Verejná súťaž</t>
  </si>
  <si>
    <t>Dobropisy</t>
  </si>
  <si>
    <t>Dotácia MF -školstvo</t>
  </si>
  <si>
    <t>BT ČOV</t>
  </si>
  <si>
    <t>BT Zber.dvor</t>
  </si>
  <si>
    <t>Matrika</t>
  </si>
  <si>
    <t>BT Matrika</t>
  </si>
  <si>
    <t>BT Stavebný úrad</t>
  </si>
  <si>
    <t>BT Materská škola</t>
  </si>
  <si>
    <t xml:space="preserve">BT Základná škola </t>
  </si>
  <si>
    <t>Odvod ZPS, manipul.popl.</t>
  </si>
  <si>
    <t>BV - PPD ČOV, Zber.dvor</t>
  </si>
  <si>
    <t>KV - PPD ČOV, Zber.dvor</t>
  </si>
  <si>
    <t>BV - Zberný dvor-mat,prev.stroje</t>
  </si>
  <si>
    <t>KV - Zberný dvor-stroje,nákl.voz.</t>
  </si>
  <si>
    <t xml:space="preserve">KV - ČOV </t>
  </si>
  <si>
    <t>Kultúra zo soc.fondu</t>
  </si>
  <si>
    <t>BT - Základná škola</t>
  </si>
  <si>
    <t>Obec:</t>
  </si>
  <si>
    <t>Obec spolu:</t>
  </si>
  <si>
    <t>BT- Školský klub detí</t>
  </si>
  <si>
    <t xml:space="preserve">príjem z refundácie projektu MRK </t>
  </si>
  <si>
    <t>Refundácia projektu MRK mr</t>
  </si>
  <si>
    <t>Bankový úver - spolufin.projektov</t>
  </si>
  <si>
    <t>Schválilo OZ v Heľpe uznesením č. 210/2012 zo dňa 12.12.2012</t>
  </si>
  <si>
    <t>Schválený 2013</t>
  </si>
  <si>
    <t>Upravený 2013</t>
  </si>
  <si>
    <t>Skutočnosť  3/2013</t>
  </si>
  <si>
    <t>2015</t>
  </si>
  <si>
    <t>OZ berie na vedomie UZ č. 220/2012 zo dňa 12.12.2012</t>
  </si>
  <si>
    <t>Programový rozpočet na roky 2013 - 2015</t>
  </si>
  <si>
    <t>Rozpočet obce Heľpa na rok 2013 schválilo OZ uz.č. 248/2013 dňa 26.4.2013</t>
  </si>
  <si>
    <t>248/13</t>
  </si>
  <si>
    <t>Rozpočet na roky 2014-15 OZ berie na vedomie uz. č. 220/2012 dňa 12.12.2012</t>
  </si>
  <si>
    <t>OZ schválilo UZ č.248 /2013 dňa 26.4.2013</t>
  </si>
  <si>
    <t>zmena II.</t>
  </si>
  <si>
    <t>príjmy z refundácie za skladníka CO z MV SR</t>
  </si>
  <si>
    <t>Dotácia MDVRR SR z uz.vlády na fin.ciest</t>
  </si>
  <si>
    <t>Dotácia MF SR z uz.vlády na fin.školstva</t>
  </si>
  <si>
    <t>Dotácia  ObU na stavebný úrad</t>
  </si>
  <si>
    <t>Dotácia MV SR na matričnú činnosť a REGOB</t>
  </si>
  <si>
    <t>Dotácia BBSK (Kolovrátok)</t>
  </si>
  <si>
    <t>Dedina roka a filmovanie</t>
  </si>
  <si>
    <t>2.</t>
  </si>
  <si>
    <t>14.6.2013</t>
  </si>
  <si>
    <t xml:space="preserve">2. úprava rozpočtu </t>
  </si>
  <si>
    <t>Predaj st.pozemkov</t>
  </si>
  <si>
    <t>BT MD SR oprava ciest</t>
  </si>
  <si>
    <t>Dotácia BBSK na Kolovrátok</t>
  </si>
  <si>
    <t>Samospráva - počítače</t>
  </si>
  <si>
    <t>Nákup st.pozemkov</t>
  </si>
  <si>
    <t>Oprava meradla ČOV</t>
  </si>
  <si>
    <t>Dedina roka, filmovanie</t>
  </si>
  <si>
    <t>Údržba miestnych komunikácií</t>
  </si>
  <si>
    <t>Údržba okien na Dome smútku</t>
  </si>
  <si>
    <t>Vratky min.rokov</t>
  </si>
  <si>
    <t>Rozpočet obce Heľpa na rok 2013 schválilo OZ uz.č. 254/2013 dňa 14.6.2013</t>
  </si>
  <si>
    <t>Skutočnosť 6</t>
  </si>
  <si>
    <t>Náhrady poistn.plnenia</t>
  </si>
  <si>
    <t>Granty na HDST</t>
  </si>
  <si>
    <t>Vstupné HDST</t>
  </si>
  <si>
    <t>Cintorínske služby</t>
  </si>
  <si>
    <t>Vyúčt. služieb nebyt.priestorov</t>
  </si>
  <si>
    <t>príjem z náhrad poistného plnenia</t>
  </si>
  <si>
    <t>Rozhlas.skrinky miest.rozhlasu</t>
  </si>
  <si>
    <t>Požiar.ochrana-savice, oprava auta</t>
  </si>
  <si>
    <t>Príjem z kult.činnosti-filmovanie</t>
  </si>
  <si>
    <t>Ver.obstarávanie ver.osvetlenia</t>
  </si>
  <si>
    <t>HDST-prevod vstupného</t>
  </si>
  <si>
    <t>254/13</t>
  </si>
  <si>
    <t>obstaranie ver.osvetlenia</t>
  </si>
  <si>
    <t>zmena III.</t>
  </si>
  <si>
    <t xml:space="preserve">3. úprava rozpočtu </t>
  </si>
  <si>
    <t>Úroky</t>
  </si>
  <si>
    <t>3.</t>
  </si>
  <si>
    <t>Šport.areál-el,voda</t>
  </si>
  <si>
    <t>Filmovanie</t>
  </si>
  <si>
    <t>Komprax - projekty</t>
  </si>
  <si>
    <t>Nájom priestorov Komprax</t>
  </si>
  <si>
    <t>Minigranty, kul.šport.rozvoj, Komprax</t>
  </si>
  <si>
    <t>Skutočnosť  6/2013</t>
  </si>
  <si>
    <t>Základná škola</t>
  </si>
  <si>
    <t>OZ schválilo UZ č.254 /2013 dňa 14.6.2013</t>
  </si>
  <si>
    <t>KOMPRAX</t>
  </si>
  <si>
    <t>Údržba autobusovej zastávky</t>
  </si>
  <si>
    <t>Správa obecných objektov a majetku+aut.zastávka</t>
  </si>
  <si>
    <t>Spr.poplatky STA,výh.prístr.</t>
  </si>
  <si>
    <t>Rozpočet obce Heľpa na rok 2013 schválilo OZ uz.č. 254/2013 dňa 14.6.2014</t>
  </si>
  <si>
    <t>Rozpočet obce Heľpa na rok 2013 schválilo OZ uz.č. 264/2013 dňa 6.9.2013</t>
  </si>
  <si>
    <t>Vypracovala. A. Tkáčiková</t>
  </si>
  <si>
    <t>Rozpočet obce Heľpa na rok 2013</t>
  </si>
  <si>
    <t>MD za psa</t>
  </si>
  <si>
    <t>Refund. SOS-HDST+OZ+vyúčt.služieb</t>
  </si>
  <si>
    <t>Knižnica voda</t>
  </si>
  <si>
    <t>Náj.byt.dom plyn.pec</t>
  </si>
  <si>
    <t>Hor.dni spevu a tanca</t>
  </si>
  <si>
    <t>Výnos dane</t>
  </si>
  <si>
    <t>264/13</t>
  </si>
  <si>
    <t>6.9.2013</t>
  </si>
  <si>
    <t>daň z nehnuteľností - pozemky, stavby, byty</t>
  </si>
  <si>
    <t>Nájom bytov</t>
  </si>
  <si>
    <t>Nájom strojov,zariadení</t>
  </si>
  <si>
    <t>ZUŠ popl.</t>
  </si>
  <si>
    <t>Vlastný príjem ZŠ (zber)</t>
  </si>
  <si>
    <t xml:space="preserve">Dot. Uz.vlády - školstvo </t>
  </si>
  <si>
    <t>Predaj pozemku</t>
  </si>
  <si>
    <t>prenájom budov +Komprax</t>
  </si>
  <si>
    <t>Skutočnosť 9</t>
  </si>
  <si>
    <t>prenájom strojov,prístrojov,zariadení + Komprax</t>
  </si>
  <si>
    <t>BT SpU STA</t>
  </si>
  <si>
    <t>ČOV prev.poriadok,analýza,kontrola</t>
  </si>
  <si>
    <t>Zlatá svadba</t>
  </si>
  <si>
    <t>Rozhlas zosilovač</t>
  </si>
  <si>
    <t>ZUŠ DVP,prípl,odchodné</t>
  </si>
  <si>
    <t>Bankový úver</t>
  </si>
  <si>
    <t>Veterinárne služby</t>
  </si>
  <si>
    <t>Mikulášsky kostým</t>
  </si>
  <si>
    <t>OZ schválilo UZ č.254 /2013 dňa 14.6.2013, 264/13 6.9.2013</t>
  </si>
  <si>
    <t>Skutočnosť  9/2013</t>
  </si>
  <si>
    <t>Verejnoprospešné služby</t>
  </si>
  <si>
    <t>zmena IV.</t>
  </si>
  <si>
    <t xml:space="preserve">4. úprava rozpočtu </t>
  </si>
  <si>
    <t>MD ubytovanie</t>
  </si>
  <si>
    <t>Preprava DFS</t>
  </si>
  <si>
    <t>Dot. na Voľby VÚC</t>
  </si>
  <si>
    <t>Voľby VÚC</t>
  </si>
  <si>
    <t>MP KO</t>
  </si>
  <si>
    <t>BT MŠ</t>
  </si>
  <si>
    <t>Mikuláš na amfiteátri</t>
  </si>
  <si>
    <t>ver. obstarávanie ver.osvetlenia</t>
  </si>
  <si>
    <t>Výťažky haz.hier</t>
  </si>
  <si>
    <t>Príjem réžie zo ŠKJ</t>
  </si>
  <si>
    <t>Príjem z ref. soc.fondu</t>
  </si>
  <si>
    <t>Príjem z refundácie zam. stravy</t>
  </si>
  <si>
    <t>BT ZŠ -MRK</t>
  </si>
  <si>
    <t>Dot. MFSR školstvo</t>
  </si>
  <si>
    <t>BT ZŠ</t>
  </si>
  <si>
    <t>Rozpočet obce Heľpa na rok 2013 schválilo OZ uz.č. 291/2013 dňa 13.12.2013</t>
  </si>
  <si>
    <t>Skutočnosť 12</t>
  </si>
  <si>
    <t>x</t>
  </si>
  <si>
    <t>Ver.osvetlenie</t>
  </si>
  <si>
    <t>04111</t>
  </si>
  <si>
    <t>Zberný dvor - výstavba,PPD</t>
  </si>
  <si>
    <t>Zberný dvor, prevádz.stroje,zariadenia, materiál</t>
  </si>
  <si>
    <t>Nakladanie s odpadmi</t>
  </si>
  <si>
    <t>členské príspevky ZMOS</t>
  </si>
  <si>
    <t>291/13</t>
  </si>
  <si>
    <t>13.12.2013</t>
  </si>
  <si>
    <t>ČOV el.energia, prevádzkovanie</t>
  </si>
  <si>
    <t>OZ schv. UZ č.248 - 26.4.13, 254 -14.6.13, 264 - 6.9.13, 291 - 13.12.13</t>
  </si>
  <si>
    <t>Skutočnosť  12/2013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</si>
</sst>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60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2"/>
    </font>
    <font>
      <b/>
      <sz val="14"/>
      <name val="Bookman Old Styl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color indexed="10"/>
      <name val="Bookman Old Style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Arial"/>
      <family val="0"/>
    </font>
    <font>
      <sz val="14"/>
      <color indexed="5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9"/>
      <name val="Arial"/>
      <family val="2"/>
    </font>
    <font>
      <b/>
      <i/>
      <sz val="11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sz val="8"/>
      <color indexed="10"/>
      <name val="Arial"/>
      <family val="2"/>
    </font>
    <font>
      <b/>
      <i/>
      <sz val="10"/>
      <name val="Arial CE"/>
      <family val="0"/>
    </font>
    <font>
      <b/>
      <i/>
      <sz val="8"/>
      <name val="Arial CE"/>
      <family val="0"/>
    </font>
    <font>
      <i/>
      <sz val="8"/>
      <name val="Arial"/>
      <family val="2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9" borderId="8" applyNumberFormat="0" applyAlignment="0" applyProtection="0"/>
    <xf numFmtId="0" fontId="57" fillId="19" borderId="9" applyNumberFormat="0" applyAlignment="0" applyProtection="0"/>
    <xf numFmtId="0" fontId="58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612">
    <xf numFmtId="0" fontId="0" fillId="0" borderId="0" xfId="0" applyAlignment="1">
      <alignment/>
    </xf>
    <xf numFmtId="0" fontId="3" fillId="7" borderId="1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3" fontId="4" fillId="7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4" fillId="7" borderId="29" xfId="0" applyFont="1" applyFill="1" applyBorder="1" applyAlignment="1">
      <alignment/>
    </xf>
    <xf numFmtId="0" fontId="2" fillId="7" borderId="30" xfId="0" applyFont="1" applyFill="1" applyBorder="1" applyAlignment="1">
      <alignment/>
    </xf>
    <xf numFmtId="3" fontId="4" fillId="7" borderId="31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5" fillId="7" borderId="29" xfId="0" applyFont="1" applyFill="1" applyBorder="1" applyAlignment="1">
      <alignment/>
    </xf>
    <xf numFmtId="0" fontId="0" fillId="7" borderId="30" xfId="0" applyFill="1" applyBorder="1" applyAlignment="1">
      <alignment/>
    </xf>
    <xf numFmtId="3" fontId="5" fillId="7" borderId="31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3" fontId="4" fillId="4" borderId="31" xfId="0" applyNumberFormat="1" applyFont="1" applyFill="1" applyBorder="1" applyAlignment="1">
      <alignment horizontal="left"/>
    </xf>
    <xf numFmtId="49" fontId="0" fillId="0" borderId="17" xfId="0" applyNumberForma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49" fontId="0" fillId="0" borderId="20" xfId="0" applyNumberFormat="1" applyBorder="1" applyAlignment="1">
      <alignment horizontal="right"/>
    </xf>
    <xf numFmtId="3" fontId="2" fillId="0" borderId="22" xfId="0" applyNumberFormat="1" applyFont="1" applyBorder="1" applyAlignment="1">
      <alignment/>
    </xf>
    <xf numFmtId="49" fontId="0" fillId="0" borderId="20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49" fontId="0" fillId="0" borderId="35" xfId="0" applyNumberFormat="1" applyFill="1" applyBorder="1" applyAlignment="1">
      <alignment horizontal="right"/>
    </xf>
    <xf numFmtId="3" fontId="2" fillId="0" borderId="39" xfId="0" applyNumberFormat="1" applyFont="1" applyFill="1" applyBorder="1" applyAlignment="1">
      <alignment/>
    </xf>
    <xf numFmtId="49" fontId="2" fillId="0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right"/>
    </xf>
    <xf numFmtId="0" fontId="0" fillId="4" borderId="30" xfId="0" applyFill="1" applyBorder="1" applyAlignment="1">
      <alignment/>
    </xf>
    <xf numFmtId="49" fontId="2" fillId="0" borderId="17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/>
    </xf>
    <xf numFmtId="49" fontId="0" fillId="0" borderId="40" xfId="0" applyNumberFormat="1" applyFill="1" applyBorder="1" applyAlignment="1">
      <alignment horizontal="right"/>
    </xf>
    <xf numFmtId="0" fontId="2" fillId="0" borderId="41" xfId="0" applyFont="1" applyBorder="1" applyAlignment="1">
      <alignment/>
    </xf>
    <xf numFmtId="3" fontId="2" fillId="0" borderId="42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 horizontal="right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/>
    </xf>
    <xf numFmtId="49" fontId="0" fillId="0" borderId="23" xfId="0" applyNumberFormat="1" applyFill="1" applyBorder="1" applyAlignment="1">
      <alignment horizontal="right"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49" fontId="2" fillId="0" borderId="40" xfId="0" applyNumberFormat="1" applyFont="1" applyFill="1" applyBorder="1" applyAlignment="1">
      <alignment horizontal="right"/>
    </xf>
    <xf numFmtId="3" fontId="2" fillId="0" borderId="42" xfId="0" applyNumberFormat="1" applyFont="1" applyBorder="1" applyAlignment="1">
      <alignment/>
    </xf>
    <xf numFmtId="49" fontId="4" fillId="4" borderId="29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49" fontId="2" fillId="0" borderId="44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5" fillId="4" borderId="45" xfId="0" applyFont="1" applyFill="1" applyBorder="1" applyAlignment="1">
      <alignment/>
    </xf>
    <xf numFmtId="0" fontId="0" fillId="4" borderId="46" xfId="0" applyFill="1" applyBorder="1" applyAlignment="1">
      <alignment/>
    </xf>
    <xf numFmtId="3" fontId="5" fillId="4" borderId="39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17" borderId="37" xfId="0" applyNumberFormat="1" applyFont="1" applyFill="1" applyBorder="1" applyAlignment="1">
      <alignment/>
    </xf>
    <xf numFmtId="0" fontId="5" fillId="4" borderId="29" xfId="0" applyFont="1" applyFill="1" applyBorder="1" applyAlignment="1">
      <alignment/>
    </xf>
    <xf numFmtId="3" fontId="5" fillId="4" borderId="3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3" fontId="5" fillId="8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49" fontId="0" fillId="0" borderId="33" xfId="0" applyNumberForma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17" borderId="10" xfId="0" applyFont="1" applyFill="1" applyBorder="1" applyAlignment="1">
      <alignment/>
    </xf>
    <xf numFmtId="0" fontId="3" fillId="17" borderId="11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3" fontId="5" fillId="17" borderId="31" xfId="0" applyNumberFormat="1" applyFont="1" applyFill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2" fillId="0" borderId="44" xfId="0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3" fontId="5" fillId="0" borderId="42" xfId="0" applyNumberFormat="1" applyFont="1" applyFill="1" applyBorder="1" applyAlignment="1">
      <alignment/>
    </xf>
    <xf numFmtId="3" fontId="11" fillId="24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12" fillId="0" borderId="22" xfId="0" applyNumberFormat="1" applyFont="1" applyBorder="1" applyAlignment="1">
      <alignment/>
    </xf>
    <xf numFmtId="3" fontId="13" fillId="0" borderId="22" xfId="0" applyNumberFormat="1" applyFont="1" applyFill="1" applyBorder="1" applyAlignment="1">
      <alignment horizontal="right"/>
    </xf>
    <xf numFmtId="3" fontId="14" fillId="0" borderId="2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42" xfId="0" applyNumberFormat="1" applyFont="1" applyFill="1" applyBorder="1" applyAlignment="1">
      <alignment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3" fontId="0" fillId="0" borderId="24" xfId="0" applyNumberForma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4" borderId="2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4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49" fontId="0" fillId="0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52" xfId="0" applyBorder="1" applyAlignment="1">
      <alignment/>
    </xf>
    <xf numFmtId="0" fontId="22" fillId="0" borderId="0" xfId="0" applyFont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53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24" fillId="17" borderId="54" xfId="0" applyNumberFormat="1" applyFont="1" applyFill="1" applyBorder="1" applyAlignment="1">
      <alignment horizontal="center" vertical="center" wrapText="1"/>
    </xf>
    <xf numFmtId="49" fontId="24" fillId="17" borderId="55" xfId="0" applyNumberFormat="1" applyFont="1" applyFill="1" applyBorder="1" applyAlignment="1">
      <alignment horizontal="center" vertical="center" wrapText="1"/>
    </xf>
    <xf numFmtId="49" fontId="24" fillId="17" borderId="16" xfId="0" applyNumberFormat="1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vertical="center" wrapText="1"/>
    </xf>
    <xf numFmtId="0" fontId="25" fillId="19" borderId="15" xfId="0" applyFont="1" applyFill="1" applyBorder="1" applyAlignment="1">
      <alignment horizontal="center" vertical="center" wrapText="1"/>
    </xf>
    <xf numFmtId="0" fontId="25" fillId="19" borderId="15" xfId="0" applyFont="1" applyFill="1" applyBorder="1" applyAlignment="1">
      <alignment horizontal="left" vertical="center" wrapText="1"/>
    </xf>
    <xf numFmtId="0" fontId="2" fillId="19" borderId="56" xfId="0" applyFont="1" applyFill="1" applyBorder="1" applyAlignment="1">
      <alignment horizontal="center" vertical="center" wrapText="1"/>
    </xf>
    <xf numFmtId="3" fontId="26" fillId="19" borderId="35" xfId="0" applyNumberFormat="1" applyFont="1" applyFill="1" applyBorder="1" applyAlignment="1">
      <alignment/>
    </xf>
    <xf numFmtId="3" fontId="26" fillId="19" borderId="38" xfId="0" applyNumberFormat="1" applyFont="1" applyFill="1" applyBorder="1" applyAlignment="1">
      <alignment/>
    </xf>
    <xf numFmtId="3" fontId="26" fillId="19" borderId="57" xfId="0" applyNumberFormat="1" applyFont="1" applyFill="1" applyBorder="1" applyAlignment="1">
      <alignment/>
    </xf>
    <xf numFmtId="3" fontId="23" fillId="15" borderId="26" xfId="0" applyNumberFormat="1" applyFont="1" applyFill="1" applyBorder="1" applyAlignment="1">
      <alignment/>
    </xf>
    <xf numFmtId="3" fontId="23" fillId="15" borderId="58" xfId="0" applyNumberFormat="1" applyFont="1" applyFill="1" applyBorder="1" applyAlignment="1">
      <alignment/>
    </xf>
    <xf numFmtId="3" fontId="23" fillId="15" borderId="27" xfId="0" applyNumberFormat="1" applyFont="1" applyFill="1" applyBorder="1" applyAlignment="1">
      <alignment/>
    </xf>
    <xf numFmtId="3" fontId="23" fillId="15" borderId="59" xfId="0" applyNumberFormat="1" applyFont="1" applyFill="1" applyBorder="1" applyAlignment="1">
      <alignment/>
    </xf>
    <xf numFmtId="3" fontId="23" fillId="15" borderId="60" xfId="0" applyNumberFormat="1" applyFont="1" applyFill="1" applyBorder="1" applyAlignment="1">
      <alignment/>
    </xf>
    <xf numFmtId="3" fontId="23" fillId="15" borderId="46" xfId="0" applyNumberFormat="1" applyFont="1" applyFill="1" applyBorder="1" applyAlignment="1">
      <alignment/>
    </xf>
    <xf numFmtId="3" fontId="23" fillId="15" borderId="61" xfId="0" applyNumberFormat="1" applyFont="1" applyFill="1" applyBorder="1" applyAlignment="1">
      <alignment/>
    </xf>
    <xf numFmtId="3" fontId="23" fillId="15" borderId="2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0" fontId="4" fillId="17" borderId="35" xfId="0" applyFont="1" applyFill="1" applyBorder="1" applyAlignment="1">
      <alignment horizontal="center" vertical="center"/>
    </xf>
    <xf numFmtId="0" fontId="29" fillId="17" borderId="21" xfId="0" applyFont="1" applyFill="1" applyBorder="1" applyAlignment="1">
      <alignment horizontal="center"/>
    </xf>
    <xf numFmtId="0" fontId="30" fillId="17" borderId="43" xfId="0" applyFont="1" applyFill="1" applyBorder="1" applyAlignment="1">
      <alignment horizontal="left"/>
    </xf>
    <xf numFmtId="3" fontId="20" fillId="0" borderId="20" xfId="0" applyNumberFormat="1" applyFont="1" applyFill="1" applyBorder="1" applyAlignment="1">
      <alignment horizontal="right"/>
    </xf>
    <xf numFmtId="3" fontId="20" fillId="0" borderId="43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0" fillId="0" borderId="6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3" fontId="20" fillId="0" borderId="63" xfId="0" applyNumberFormat="1" applyFont="1" applyFill="1" applyBorder="1" applyAlignment="1">
      <alignment horizontal="right"/>
    </xf>
    <xf numFmtId="0" fontId="28" fillId="17" borderId="63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28" fillId="17" borderId="6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28" fillId="17" borderId="64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8" fillId="17" borderId="55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3" fillId="15" borderId="45" xfId="0" applyNumberFormat="1" applyFont="1" applyFill="1" applyBorder="1" applyAlignment="1">
      <alignment/>
    </xf>
    <xf numFmtId="3" fontId="23" fillId="15" borderId="39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20" fillId="0" borderId="62" xfId="0" applyNumberFormat="1" applyFont="1" applyFill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20" fillId="0" borderId="63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29" fillId="17" borderId="41" xfId="0" applyFont="1" applyFill="1" applyBorder="1" applyAlignment="1">
      <alignment horizontal="center"/>
    </xf>
    <xf numFmtId="0" fontId="30" fillId="17" borderId="67" xfId="0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/>
    </xf>
    <xf numFmtId="3" fontId="20" fillId="0" borderId="6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20" fillId="0" borderId="68" xfId="0" applyNumberFormat="1" applyFont="1" applyFill="1" applyBorder="1" applyAlignment="1">
      <alignment/>
    </xf>
    <xf numFmtId="0" fontId="28" fillId="17" borderId="21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23" fillId="15" borderId="66" xfId="0" applyNumberFormat="1" applyFont="1" applyFill="1" applyBorder="1" applyAlignment="1">
      <alignment/>
    </xf>
    <xf numFmtId="0" fontId="28" fillId="17" borderId="64" xfId="0" applyFont="1" applyFill="1" applyBorder="1" applyAlignment="1">
      <alignment horizontal="center"/>
    </xf>
    <xf numFmtId="3" fontId="0" fillId="0" borderId="6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0" fontId="28" fillId="17" borderId="68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28" fillId="17" borderId="70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2" fillId="0" borderId="70" xfId="0" applyNumberFormat="1" applyFont="1" applyFill="1" applyBorder="1" applyAlignment="1">
      <alignment/>
    </xf>
    <xf numFmtId="3" fontId="23" fillId="15" borderId="17" xfId="0" applyNumberFormat="1" applyFont="1" applyFill="1" applyBorder="1" applyAlignment="1">
      <alignment/>
    </xf>
    <xf numFmtId="3" fontId="23" fillId="15" borderId="50" xfId="0" applyNumberFormat="1" applyFont="1" applyFill="1" applyBorder="1" applyAlignment="1">
      <alignment/>
    </xf>
    <xf numFmtId="3" fontId="23" fillId="15" borderId="18" xfId="0" applyNumberFormat="1" applyFont="1" applyFill="1" applyBorder="1" applyAlignment="1">
      <alignment/>
    </xf>
    <xf numFmtId="3" fontId="23" fillId="15" borderId="69" xfId="0" applyNumberFormat="1" applyFont="1" applyFill="1" applyBorder="1" applyAlignment="1">
      <alignment/>
    </xf>
    <xf numFmtId="3" fontId="23" fillId="15" borderId="64" xfId="0" applyNumberFormat="1" applyFont="1" applyFill="1" applyBorder="1" applyAlignment="1">
      <alignment/>
    </xf>
    <xf numFmtId="3" fontId="23" fillId="15" borderId="19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30" fillId="17" borderId="67" xfId="0" applyFont="1" applyFill="1" applyBorder="1" applyAlignment="1">
      <alignment/>
    </xf>
    <xf numFmtId="3" fontId="31" fillId="0" borderId="68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0" fontId="28" fillId="17" borderId="15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30" fillId="17" borderId="41" xfId="0" applyFont="1" applyFill="1" applyBorder="1" applyAlignment="1">
      <alignment horizontal="center"/>
    </xf>
    <xf numFmtId="0" fontId="30" fillId="17" borderId="43" xfId="0" applyFont="1" applyFill="1" applyBorder="1" applyAlignment="1">
      <alignment/>
    </xf>
    <xf numFmtId="3" fontId="34" fillId="0" borderId="40" xfId="0" applyNumberFormat="1" applyFont="1" applyFill="1" applyBorder="1" applyAlignment="1">
      <alignment/>
    </xf>
    <xf numFmtId="3" fontId="34" fillId="0" borderId="67" xfId="0" applyNumberFormat="1" applyFont="1" applyFill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35" fillId="17" borderId="36" xfId="0" applyFont="1" applyFill="1" applyBorder="1" applyAlignment="1">
      <alignment horizontal="center"/>
    </xf>
    <xf numFmtId="0" fontId="35" fillId="17" borderId="0" xfId="0" applyFont="1" applyFill="1" applyBorder="1" applyAlignment="1">
      <alignment/>
    </xf>
    <xf numFmtId="0" fontId="35" fillId="17" borderId="24" xfId="0" applyFont="1" applyFill="1" applyBorder="1" applyAlignment="1">
      <alignment horizontal="center"/>
    </xf>
    <xf numFmtId="0" fontId="35" fillId="17" borderId="51" xfId="0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3" fontId="20" fillId="0" borderId="51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65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23" fillId="7" borderId="29" xfId="0" applyNumberFormat="1" applyFont="1" applyFill="1" applyBorder="1" applyAlignment="1">
      <alignment/>
    </xf>
    <xf numFmtId="3" fontId="23" fillId="7" borderId="49" xfId="0" applyNumberFormat="1" applyFont="1" applyFill="1" applyBorder="1" applyAlignment="1">
      <alignment/>
    </xf>
    <xf numFmtId="3" fontId="23" fillId="7" borderId="30" xfId="0" applyNumberFormat="1" applyFont="1" applyFill="1" applyBorder="1" applyAlignment="1">
      <alignment/>
    </xf>
    <xf numFmtId="3" fontId="23" fillId="7" borderId="12" xfId="0" applyNumberFormat="1" applyFont="1" applyFill="1" applyBorder="1" applyAlignment="1">
      <alignment/>
    </xf>
    <xf numFmtId="3" fontId="23" fillId="7" borderId="71" xfId="0" applyNumberFormat="1" applyFont="1" applyFill="1" applyBorder="1" applyAlignment="1">
      <alignment/>
    </xf>
    <xf numFmtId="3" fontId="23" fillId="7" borderId="31" xfId="0" applyNumberFormat="1" applyFont="1" applyFill="1" applyBorder="1" applyAlignment="1">
      <alignment/>
    </xf>
    <xf numFmtId="0" fontId="28" fillId="7" borderId="18" xfId="0" applyFont="1" applyFill="1" applyBorder="1" applyAlignment="1">
      <alignment horizontal="center"/>
    </xf>
    <xf numFmtId="3" fontId="0" fillId="7" borderId="17" xfId="0" applyNumberFormat="1" applyFont="1" applyFill="1" applyBorder="1" applyAlignment="1">
      <alignment/>
    </xf>
    <xf numFmtId="3" fontId="0" fillId="7" borderId="50" xfId="0" applyNumberFormat="1" applyFont="1" applyFill="1" applyBorder="1" applyAlignment="1">
      <alignment/>
    </xf>
    <xf numFmtId="3" fontId="0" fillId="7" borderId="18" xfId="0" applyNumberFormat="1" applyFont="1" applyFill="1" applyBorder="1" applyAlignment="1">
      <alignment/>
    </xf>
    <xf numFmtId="3" fontId="0" fillId="7" borderId="69" xfId="0" applyNumberFormat="1" applyFont="1" applyFill="1" applyBorder="1" applyAlignment="1">
      <alignment/>
    </xf>
    <xf numFmtId="3" fontId="12" fillId="7" borderId="17" xfId="0" applyNumberFormat="1" applyFont="1" applyFill="1" applyBorder="1" applyAlignment="1">
      <alignment/>
    </xf>
    <xf numFmtId="3" fontId="0" fillId="7" borderId="19" xfId="0" applyNumberFormat="1" applyFont="1" applyFill="1" applyBorder="1" applyAlignment="1">
      <alignment/>
    </xf>
    <xf numFmtId="0" fontId="28" fillId="7" borderId="15" xfId="0" applyFont="1" applyFill="1" applyBorder="1" applyAlignment="1">
      <alignment horizontal="center"/>
    </xf>
    <xf numFmtId="3" fontId="0" fillId="7" borderId="14" xfId="0" applyNumberFormat="1" applyFont="1" applyFill="1" applyBorder="1" applyAlignment="1">
      <alignment/>
    </xf>
    <xf numFmtId="3" fontId="0" fillId="7" borderId="53" xfId="0" applyNumberFormat="1" applyFont="1" applyFill="1" applyBorder="1" applyAlignment="1">
      <alignment/>
    </xf>
    <xf numFmtId="3" fontId="0" fillId="7" borderId="15" xfId="0" applyNumberFormat="1" applyFont="1" applyFill="1" applyBorder="1" applyAlignment="1">
      <alignment/>
    </xf>
    <xf numFmtId="3" fontId="0" fillId="7" borderId="65" xfId="0" applyNumberFormat="1" applyFont="1" applyFill="1" applyBorder="1" applyAlignment="1">
      <alignment/>
    </xf>
    <xf numFmtId="3" fontId="0" fillId="7" borderId="51" xfId="0" applyNumberFormat="1" applyFont="1" applyFill="1" applyBorder="1" applyAlignment="1">
      <alignment/>
    </xf>
    <xf numFmtId="3" fontId="0" fillId="7" borderId="25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72" xfId="0" applyBorder="1" applyAlignment="1">
      <alignment/>
    </xf>
    <xf numFmtId="49" fontId="37" fillId="25" borderId="29" xfId="0" applyNumberFormat="1" applyFont="1" applyFill="1" applyBorder="1" applyAlignment="1">
      <alignment horizontal="center" vertical="center" wrapText="1"/>
    </xf>
    <xf numFmtId="49" fontId="37" fillId="25" borderId="49" xfId="0" applyNumberFormat="1" applyFont="1" applyFill="1" applyBorder="1" applyAlignment="1">
      <alignment horizontal="center" vertical="center" wrapText="1"/>
    </xf>
    <xf numFmtId="49" fontId="37" fillId="25" borderId="30" xfId="0" applyNumberFormat="1" applyFont="1" applyFill="1" applyBorder="1" applyAlignment="1">
      <alignment horizontal="center" vertical="center" wrapText="1"/>
    </xf>
    <xf numFmtId="49" fontId="37" fillId="25" borderId="12" xfId="0" applyNumberFormat="1" applyFont="1" applyFill="1" applyBorder="1" applyAlignment="1">
      <alignment horizontal="center" vertical="center" wrapText="1"/>
    </xf>
    <xf numFmtId="49" fontId="37" fillId="25" borderId="71" xfId="0" applyNumberFormat="1" applyFont="1" applyFill="1" applyBorder="1" applyAlignment="1">
      <alignment horizontal="center" vertical="center" wrapText="1"/>
    </xf>
    <xf numFmtId="49" fontId="37" fillId="25" borderId="31" xfId="0" applyNumberFormat="1" applyFont="1" applyFill="1" applyBorder="1" applyAlignment="1">
      <alignment horizontal="center" vertical="center" wrapText="1"/>
    </xf>
    <xf numFmtId="3" fontId="20" fillId="23" borderId="45" xfId="0" applyNumberFormat="1" applyFont="1" applyFill="1" applyBorder="1" applyAlignment="1">
      <alignment/>
    </xf>
    <xf numFmtId="3" fontId="20" fillId="23" borderId="0" xfId="0" applyNumberFormat="1" applyFont="1" applyFill="1" applyBorder="1" applyAlignment="1">
      <alignment/>
    </xf>
    <xf numFmtId="3" fontId="20" fillId="23" borderId="46" xfId="0" applyNumberFormat="1" applyFont="1" applyFill="1" applyBorder="1" applyAlignment="1">
      <alignment/>
    </xf>
    <xf numFmtId="3" fontId="20" fillId="23" borderId="72" xfId="0" applyNumberFormat="1" applyFont="1" applyFill="1" applyBorder="1" applyAlignment="1">
      <alignment/>
    </xf>
    <xf numFmtId="3" fontId="20" fillId="23" borderId="60" xfId="0" applyNumberFormat="1" applyFont="1" applyFill="1" applyBorder="1" applyAlignment="1">
      <alignment/>
    </xf>
    <xf numFmtId="3" fontId="20" fillId="23" borderId="29" xfId="0" applyNumberFormat="1" applyFont="1" applyFill="1" applyBorder="1" applyAlignment="1">
      <alignment/>
    </xf>
    <xf numFmtId="3" fontId="20" fillId="23" borderId="14" xfId="0" applyNumberFormat="1" applyFont="1" applyFill="1" applyBorder="1" applyAlignment="1">
      <alignment/>
    </xf>
    <xf numFmtId="3" fontId="20" fillId="23" borderId="53" xfId="0" applyNumberFormat="1" applyFont="1" applyFill="1" applyBorder="1" applyAlignment="1">
      <alignment/>
    </xf>
    <xf numFmtId="3" fontId="20" fillId="23" borderId="30" xfId="0" applyNumberFormat="1" applyFont="1" applyFill="1" applyBorder="1" applyAlignment="1">
      <alignment/>
    </xf>
    <xf numFmtId="3" fontId="20" fillId="23" borderId="54" xfId="0" applyNumberFormat="1" applyFont="1" applyFill="1" applyBorder="1" applyAlignment="1">
      <alignment/>
    </xf>
    <xf numFmtId="3" fontId="20" fillId="23" borderId="55" xfId="0" applyNumberFormat="1" applyFont="1" applyFill="1" applyBorder="1" applyAlignment="1">
      <alignment/>
    </xf>
    <xf numFmtId="3" fontId="20" fillId="23" borderId="15" xfId="0" applyNumberFormat="1" applyFont="1" applyFill="1" applyBorder="1" applyAlignment="1">
      <alignment/>
    </xf>
    <xf numFmtId="3" fontId="23" fillId="23" borderId="16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0" xfId="45" applyFont="1" applyAlignment="1">
      <alignment/>
    </xf>
    <xf numFmtId="3" fontId="0" fillId="0" borderId="22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49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23" fillId="4" borderId="13" xfId="0" applyNumberFormat="1" applyFont="1" applyFill="1" applyBorder="1" applyAlignment="1">
      <alignment/>
    </xf>
    <xf numFmtId="3" fontId="2" fillId="4" borderId="21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3" fontId="14" fillId="0" borderId="22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23" fillId="0" borderId="18" xfId="0" applyFont="1" applyBorder="1" applyAlignment="1">
      <alignment/>
    </xf>
    <xf numFmtId="3" fontId="23" fillId="0" borderId="19" xfId="0" applyNumberFormat="1" applyFont="1" applyBorder="1" applyAlignment="1">
      <alignment/>
    </xf>
    <xf numFmtId="3" fontId="34" fillId="0" borderId="68" xfId="0" applyNumberFormat="1" applyFont="1" applyFill="1" applyBorder="1" applyAlignment="1">
      <alignment/>
    </xf>
    <xf numFmtId="3" fontId="20" fillId="0" borderId="68" xfId="0" applyNumberFormat="1" applyFont="1" applyFill="1" applyBorder="1" applyAlignment="1">
      <alignment/>
    </xf>
    <xf numFmtId="3" fontId="20" fillId="0" borderId="7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3" fontId="39" fillId="0" borderId="63" xfId="0" applyNumberFormat="1" applyFont="1" applyFill="1" applyBorder="1" applyAlignment="1">
      <alignment horizontal="right"/>
    </xf>
    <xf numFmtId="3" fontId="38" fillId="0" borderId="66" xfId="0" applyNumberFormat="1" applyFont="1" applyFill="1" applyBorder="1" applyAlignment="1">
      <alignment/>
    </xf>
    <xf numFmtId="3" fontId="12" fillId="7" borderId="55" xfId="0" applyNumberFormat="1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0" fillId="7" borderId="34" xfId="0" applyNumberFormat="1" applyFont="1" applyFill="1" applyBorder="1" applyAlignment="1">
      <alignment/>
    </xf>
    <xf numFmtId="3" fontId="0" fillId="7" borderId="27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33" xfId="0" applyNumberFormat="1" applyFont="1" applyFill="1" applyBorder="1" applyAlignment="1">
      <alignment/>
    </xf>
    <xf numFmtId="9" fontId="0" fillId="0" borderId="0" xfId="45" applyAlignment="1">
      <alignment/>
    </xf>
    <xf numFmtId="3" fontId="0" fillId="0" borderId="3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13" fillId="0" borderId="22" xfId="0" applyNumberFormat="1" applyFont="1" applyFill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3" fontId="13" fillId="0" borderId="19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13" fillId="0" borderId="25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0" fillId="0" borderId="43" xfId="0" applyBorder="1" applyAlignment="1">
      <alignment/>
    </xf>
    <xf numFmtId="3" fontId="31" fillId="0" borderId="63" xfId="0" applyNumberFormat="1" applyFont="1" applyFill="1" applyBorder="1" applyAlignment="1">
      <alignment horizontal="right"/>
    </xf>
    <xf numFmtId="3" fontId="31" fillId="0" borderId="63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26" fillId="23" borderId="16" xfId="0" applyNumberFormat="1" applyFont="1" applyFill="1" applyBorder="1" applyAlignment="1">
      <alignment/>
    </xf>
    <xf numFmtId="0" fontId="28" fillId="17" borderId="73" xfId="0" applyFont="1" applyFill="1" applyBorder="1" applyAlignment="1">
      <alignment horizontal="center" vertical="center"/>
    </xf>
    <xf numFmtId="0" fontId="29" fillId="17" borderId="67" xfId="0" applyFont="1" applyFill="1" applyBorder="1" applyAlignment="1">
      <alignment horizontal="center"/>
    </xf>
    <xf numFmtId="0" fontId="30" fillId="17" borderId="22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/>
    </xf>
    <xf numFmtId="0" fontId="2" fillId="4" borderId="67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3" fontId="2" fillId="4" borderId="4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23" fillId="15" borderId="60" xfId="0" applyNumberFormat="1" applyFont="1" applyFill="1" applyBorder="1" applyAlignment="1">
      <alignment/>
    </xf>
    <xf numFmtId="3" fontId="23" fillId="15" borderId="46" xfId="0" applyNumberFormat="1" applyFont="1" applyFill="1" applyBorder="1" applyAlignment="1">
      <alignment/>
    </xf>
    <xf numFmtId="3" fontId="23" fillId="15" borderId="66" xfId="0" applyNumberFormat="1" applyFont="1" applyFill="1" applyBorder="1" applyAlignment="1">
      <alignment/>
    </xf>
    <xf numFmtId="3" fontId="23" fillId="15" borderId="27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23" fillId="15" borderId="64" xfId="0" applyNumberFormat="1" applyFont="1" applyFill="1" applyBorder="1" applyAlignment="1">
      <alignment/>
    </xf>
    <xf numFmtId="3" fontId="23" fillId="15" borderId="18" xfId="0" applyNumberFormat="1" applyFont="1" applyFill="1" applyBorder="1" applyAlignment="1">
      <alignment/>
    </xf>
    <xf numFmtId="3" fontId="34" fillId="0" borderId="68" xfId="0" applyNumberFormat="1" applyFont="1" applyFill="1" applyBorder="1" applyAlignment="1">
      <alignment/>
    </xf>
    <xf numFmtId="3" fontId="20" fillId="0" borderId="70" xfId="0" applyNumberFormat="1" applyFont="1" applyFill="1" applyBorder="1" applyAlignment="1">
      <alignment/>
    </xf>
    <xf numFmtId="3" fontId="23" fillId="7" borderId="71" xfId="0" applyNumberFormat="1" applyFont="1" applyFill="1" applyBorder="1" applyAlignment="1">
      <alignment/>
    </xf>
    <xf numFmtId="3" fontId="23" fillId="7" borderId="30" xfId="0" applyNumberFormat="1" applyFont="1" applyFill="1" applyBorder="1" applyAlignment="1">
      <alignment/>
    </xf>
    <xf numFmtId="3" fontId="0" fillId="7" borderId="17" xfId="0" applyNumberFormat="1" applyFont="1" applyFill="1" applyBorder="1" applyAlignment="1">
      <alignment/>
    </xf>
    <xf numFmtId="3" fontId="0" fillId="7" borderId="18" xfId="0" applyNumberFormat="1" applyFont="1" applyFill="1" applyBorder="1" applyAlignment="1">
      <alignment/>
    </xf>
    <xf numFmtId="3" fontId="0" fillId="7" borderId="55" xfId="0" applyNumberFormat="1" applyFont="1" applyFill="1" applyBorder="1" applyAlignment="1">
      <alignment/>
    </xf>
    <xf numFmtId="3" fontId="0" fillId="7" borderId="1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0" borderId="16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49" fontId="0" fillId="0" borderId="43" xfId="0" applyNumberFormat="1" applyFont="1" applyFill="1" applyBorder="1" applyAlignment="1">
      <alignment horizontal="right"/>
    </xf>
    <xf numFmtId="14" fontId="0" fillId="0" borderId="21" xfId="0" applyNumberFormat="1" applyBorder="1" applyAlignment="1">
      <alignment horizontal="center"/>
    </xf>
    <xf numFmtId="0" fontId="2" fillId="0" borderId="21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0" fontId="8" fillId="0" borderId="33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19" borderId="28" xfId="0" applyFont="1" applyFill="1" applyBorder="1" applyAlignment="1">
      <alignment horizontal="center" wrapText="1"/>
    </xf>
    <xf numFmtId="0" fontId="4" fillId="19" borderId="2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19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19" borderId="5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49" fontId="4" fillId="17" borderId="34" xfId="0" applyNumberFormat="1" applyFont="1" applyFill="1" applyBorder="1" applyAlignment="1">
      <alignment horizontal="left"/>
    </xf>
    <xf numFmtId="49" fontId="4" fillId="17" borderId="55" xfId="0" applyNumberFormat="1" applyFont="1" applyFill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0" fontId="6" fillId="8" borderId="71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76" xfId="0" applyFont="1" applyBorder="1" applyAlignment="1">
      <alignment horizontal="left"/>
    </xf>
    <xf numFmtId="0" fontId="3" fillId="17" borderId="10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28" fillId="19" borderId="28" xfId="0" applyFont="1" applyFill="1" applyBorder="1" applyAlignment="1">
      <alignment horizontal="center" wrapText="1"/>
    </xf>
    <xf numFmtId="0" fontId="28" fillId="19" borderId="25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17" borderId="74" xfId="0" applyFont="1" applyFill="1" applyBorder="1" applyAlignment="1">
      <alignment horizontal="center" vertical="center"/>
    </xf>
    <xf numFmtId="0" fontId="23" fillId="17" borderId="75" xfId="0" applyFont="1" applyFill="1" applyBorder="1" applyAlignment="1">
      <alignment horizontal="center" vertical="center"/>
    </xf>
    <xf numFmtId="0" fontId="0" fillId="17" borderId="75" xfId="0" applyFont="1" applyFill="1" applyBorder="1" applyAlignment="1">
      <alignment horizontal="center" vertical="center"/>
    </xf>
    <xf numFmtId="0" fontId="23" fillId="17" borderId="34" xfId="0" applyFont="1" applyFill="1" applyBorder="1" applyAlignment="1">
      <alignment horizontal="center" vertical="center"/>
    </xf>
    <xf numFmtId="0" fontId="23" fillId="17" borderId="52" xfId="0" applyFont="1" applyFill="1" applyBorder="1" applyAlignment="1">
      <alignment horizontal="center" vertical="center"/>
    </xf>
    <xf numFmtId="0" fontId="0" fillId="17" borderId="52" xfId="0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/>
    </xf>
    <xf numFmtId="49" fontId="4" fillId="7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/>
    </xf>
    <xf numFmtId="0" fontId="2" fillId="17" borderId="43" xfId="0" applyFont="1" applyFill="1" applyBorder="1" applyAlignment="1">
      <alignment horizontal="left"/>
    </xf>
    <xf numFmtId="0" fontId="2" fillId="17" borderId="76" xfId="0" applyFont="1" applyFill="1" applyBorder="1" applyAlignment="1">
      <alignment horizontal="left"/>
    </xf>
    <xf numFmtId="0" fontId="27" fillId="15" borderId="44" xfId="0" applyFont="1" applyFill="1" applyBorder="1" applyAlignment="1">
      <alignment horizontal="left"/>
    </xf>
    <xf numFmtId="0" fontId="0" fillId="15" borderId="77" xfId="0" applyFont="1" applyFill="1" applyBorder="1" applyAlignment="1">
      <alignment horizontal="left"/>
    </xf>
    <xf numFmtId="0" fontId="4" fillId="17" borderId="40" xfId="0" applyFont="1" applyFill="1" applyBorder="1" applyAlignment="1">
      <alignment horizontal="center" vertical="center"/>
    </xf>
    <xf numFmtId="0" fontId="4" fillId="17" borderId="35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28" fillId="17" borderId="41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horizontal="center" vertical="center"/>
    </xf>
    <xf numFmtId="0" fontId="0" fillId="17" borderId="43" xfId="0" applyFill="1" applyBorder="1" applyAlignment="1">
      <alignment horizontal="left" wrapText="1"/>
    </xf>
    <xf numFmtId="0" fontId="2" fillId="17" borderId="76" xfId="0" applyFont="1" applyFill="1" applyBorder="1" applyAlignment="1">
      <alignment horizontal="left" wrapText="1"/>
    </xf>
    <xf numFmtId="0" fontId="2" fillId="17" borderId="43" xfId="0" applyFont="1" applyFill="1" applyBorder="1" applyAlignment="1">
      <alignment horizontal="left" wrapText="1"/>
    </xf>
    <xf numFmtId="0" fontId="2" fillId="17" borderId="51" xfId="0" applyFont="1" applyFill="1" applyBorder="1" applyAlignment="1">
      <alignment horizontal="left"/>
    </xf>
    <xf numFmtId="0" fontId="2" fillId="17" borderId="78" xfId="0" applyFont="1" applyFill="1" applyBorder="1" applyAlignment="1">
      <alignment horizontal="left"/>
    </xf>
    <xf numFmtId="0" fontId="27" fillId="15" borderId="74" xfId="0" applyFont="1" applyFill="1" applyBorder="1" applyAlignment="1">
      <alignment horizontal="left"/>
    </xf>
    <xf numFmtId="0" fontId="0" fillId="15" borderId="75" xfId="0" applyFont="1" applyFill="1" applyBorder="1" applyAlignment="1">
      <alignment horizontal="left"/>
    </xf>
    <xf numFmtId="0" fontId="4" fillId="17" borderId="45" xfId="0" applyFont="1" applyFill="1" applyBorder="1" applyAlignment="1">
      <alignment horizontal="center" vertical="center"/>
    </xf>
    <xf numFmtId="0" fontId="28" fillId="17" borderId="46" xfId="0" applyFont="1" applyFill="1" applyBorder="1" applyAlignment="1">
      <alignment horizontal="center" vertical="center"/>
    </xf>
    <xf numFmtId="0" fontId="2" fillId="17" borderId="58" xfId="0" applyFont="1" applyFill="1" applyBorder="1" applyAlignment="1">
      <alignment horizontal="left"/>
    </xf>
    <xf numFmtId="0" fontId="2" fillId="17" borderId="77" xfId="0" applyFont="1" applyFill="1" applyBorder="1" applyAlignment="1">
      <alignment horizontal="left"/>
    </xf>
    <xf numFmtId="0" fontId="27" fillId="15" borderId="32" xfId="0" applyFont="1" applyFill="1" applyBorder="1" applyAlignment="1">
      <alignment horizontal="left"/>
    </xf>
    <xf numFmtId="0" fontId="0" fillId="15" borderId="79" xfId="0" applyFont="1" applyFill="1" applyBorder="1" applyAlignment="1">
      <alignment horizontal="left"/>
    </xf>
    <xf numFmtId="0" fontId="2" fillId="17" borderId="50" xfId="0" applyFont="1" applyFill="1" applyBorder="1" applyAlignment="1">
      <alignment horizontal="left"/>
    </xf>
    <xf numFmtId="0" fontId="2" fillId="17" borderId="79" xfId="0" applyFont="1" applyFill="1" applyBorder="1" applyAlignment="1">
      <alignment horizontal="left"/>
    </xf>
    <xf numFmtId="0" fontId="32" fillId="17" borderId="40" xfId="0" applyFont="1" applyFill="1" applyBorder="1" applyAlignment="1">
      <alignment horizontal="center" vertical="center"/>
    </xf>
    <xf numFmtId="0" fontId="32" fillId="17" borderId="3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17" borderId="65" xfId="0" applyFont="1" applyFill="1" applyBorder="1" applyAlignment="1">
      <alignment horizontal="left"/>
    </xf>
    <xf numFmtId="0" fontId="33" fillId="17" borderId="47" xfId="0" applyFont="1" applyFill="1" applyBorder="1" applyAlignment="1">
      <alignment horizontal="center" vertical="center"/>
    </xf>
    <xf numFmtId="0" fontId="33" fillId="17" borderId="34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32" fillId="7" borderId="38" xfId="0" applyFont="1" applyFill="1" applyBorder="1" applyAlignment="1">
      <alignment horizontal="center" vertical="center"/>
    </xf>
    <xf numFmtId="0" fontId="32" fillId="7" borderId="34" xfId="0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left"/>
    </xf>
    <xf numFmtId="0" fontId="2" fillId="7" borderId="78" xfId="0" applyFont="1" applyFill="1" applyBorder="1" applyAlignment="1">
      <alignment horizontal="left"/>
    </xf>
    <xf numFmtId="0" fontId="4" fillId="17" borderId="41" xfId="0" applyFont="1" applyFill="1" applyBorder="1" applyAlignment="1">
      <alignment horizontal="center" vertical="center"/>
    </xf>
    <xf numFmtId="0" fontId="4" fillId="17" borderId="36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/>
    </xf>
    <xf numFmtId="0" fontId="6" fillId="23" borderId="11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32" fillId="17" borderId="14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57421875" style="0" customWidth="1"/>
    <col min="3" max="3" width="10.140625" style="0" customWidth="1"/>
    <col min="4" max="4" width="19.421875" style="0" customWidth="1"/>
    <col min="5" max="5" width="11.28125" style="0" customWidth="1"/>
    <col min="6" max="6" width="11.7109375" style="0" customWidth="1"/>
  </cols>
  <sheetData>
    <row r="1" spans="1:6" ht="18">
      <c r="A1" s="504" t="s">
        <v>206</v>
      </c>
      <c r="B1" s="504"/>
      <c r="C1" s="504"/>
      <c r="D1" s="504"/>
      <c r="E1" s="504"/>
      <c r="F1" s="504"/>
    </row>
    <row r="4" spans="1:6" ht="15.75">
      <c r="A4" s="505" t="s">
        <v>207</v>
      </c>
      <c r="B4" s="505"/>
      <c r="C4" s="505"/>
      <c r="D4" s="505"/>
      <c r="E4" s="505"/>
      <c r="F4" s="505"/>
    </row>
    <row r="5" spans="1:6" ht="15.75">
      <c r="A5" s="505" t="s">
        <v>224</v>
      </c>
      <c r="B5" s="505"/>
      <c r="C5" s="505"/>
      <c r="D5" s="505"/>
      <c r="E5" s="505"/>
      <c r="F5" s="505"/>
    </row>
    <row r="6" ht="13.5" thickBot="1"/>
    <row r="7" spans="1:6" ht="39" thickBot="1">
      <c r="A7" s="175" t="s">
        <v>208</v>
      </c>
      <c r="B7" s="176" t="s">
        <v>209</v>
      </c>
      <c r="C7" s="176" t="s">
        <v>210</v>
      </c>
      <c r="D7" s="177" t="s">
        <v>211</v>
      </c>
      <c r="E7" s="178" t="s">
        <v>212</v>
      </c>
      <c r="F7" s="179" t="s">
        <v>213</v>
      </c>
    </row>
    <row r="8" spans="1:6" ht="12.75">
      <c r="A8" s="180" t="s">
        <v>214</v>
      </c>
      <c r="B8" s="181" t="s">
        <v>358</v>
      </c>
      <c r="C8" s="181" t="s">
        <v>223</v>
      </c>
      <c r="D8" s="182" t="s">
        <v>215</v>
      </c>
      <c r="E8" s="183">
        <v>488592</v>
      </c>
      <c r="F8" s="10">
        <v>488592</v>
      </c>
    </row>
    <row r="9" spans="1:6" ht="12.75">
      <c r="A9" s="184" t="s">
        <v>369</v>
      </c>
      <c r="B9" s="185" t="s">
        <v>395</v>
      </c>
      <c r="C9" s="185" t="s">
        <v>370</v>
      </c>
      <c r="D9" s="182" t="s">
        <v>215</v>
      </c>
      <c r="E9" s="186">
        <v>20161</v>
      </c>
      <c r="F9" s="13">
        <v>20161</v>
      </c>
    </row>
    <row r="10" spans="1:6" ht="12.75">
      <c r="A10" s="184" t="s">
        <v>400</v>
      </c>
      <c r="B10" s="185" t="s">
        <v>423</v>
      </c>
      <c r="C10" s="185" t="s">
        <v>424</v>
      </c>
      <c r="D10" s="182" t="s">
        <v>215</v>
      </c>
      <c r="E10" s="186">
        <v>15750</v>
      </c>
      <c r="F10" s="13">
        <v>15750</v>
      </c>
    </row>
    <row r="11" spans="1:6" ht="12.75">
      <c r="A11" s="184">
        <v>4</v>
      </c>
      <c r="B11" s="185" t="s">
        <v>472</v>
      </c>
      <c r="C11" s="493" t="s">
        <v>473</v>
      </c>
      <c r="D11" s="182" t="s">
        <v>215</v>
      </c>
      <c r="E11" s="186">
        <v>7086</v>
      </c>
      <c r="F11" s="13">
        <v>7086</v>
      </c>
    </row>
    <row r="12" spans="1:6" ht="12.75">
      <c r="A12" s="184"/>
      <c r="B12" s="185"/>
      <c r="C12" s="185"/>
      <c r="D12" s="187"/>
      <c r="E12" s="186"/>
      <c r="F12" s="13"/>
    </row>
    <row r="13" spans="1:6" ht="13.5" thickBot="1">
      <c r="A13" s="188"/>
      <c r="B13" s="189"/>
      <c r="C13" s="189"/>
      <c r="D13" s="190"/>
      <c r="E13" s="191"/>
      <c r="F13" s="16"/>
    </row>
    <row r="17" spans="1:4" ht="12.75">
      <c r="A17" t="s">
        <v>216</v>
      </c>
      <c r="D17" t="s">
        <v>217</v>
      </c>
    </row>
    <row r="21" ht="15.75">
      <c r="A21" s="192" t="s">
        <v>218</v>
      </c>
    </row>
    <row r="22" ht="12.75">
      <c r="A22" s="193" t="s">
        <v>219</v>
      </c>
    </row>
    <row r="23" spans="1:6" ht="12.75">
      <c r="A23" s="503" t="s">
        <v>220</v>
      </c>
      <c r="B23" s="503"/>
      <c r="C23" s="503"/>
      <c r="D23" s="503"/>
      <c r="E23" s="503"/>
      <c r="F23" s="503"/>
    </row>
    <row r="24" spans="1:6" ht="12.75">
      <c r="A24" s="503" t="s">
        <v>221</v>
      </c>
      <c r="B24" s="503"/>
      <c r="C24" s="503"/>
      <c r="D24" s="503"/>
      <c r="E24" s="503"/>
      <c r="F24" s="503"/>
    </row>
    <row r="25" spans="1:6" ht="27.75" customHeight="1">
      <c r="A25" s="503" t="s">
        <v>222</v>
      </c>
      <c r="B25" s="503"/>
      <c r="C25" s="503"/>
      <c r="D25" s="503"/>
      <c r="E25" s="503"/>
      <c r="F25" s="503"/>
    </row>
    <row r="26" ht="15" customHeight="1"/>
    <row r="27" ht="81" customHeight="1"/>
  </sheetData>
  <sheetProtection/>
  <mergeCells count="6">
    <mergeCell ref="A24:F24"/>
    <mergeCell ref="A25:F25"/>
    <mergeCell ref="A1:F1"/>
    <mergeCell ref="A4:F4"/>
    <mergeCell ref="A5:F5"/>
    <mergeCell ref="A23:F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.00390625" style="0" customWidth="1"/>
    <col min="2" max="2" width="2.00390625" style="0" customWidth="1"/>
    <col min="3" max="3" width="2.7109375" style="0" customWidth="1"/>
    <col min="4" max="4" width="27.57421875" style="0" customWidth="1"/>
    <col min="5" max="5" width="7.8515625" style="0" customWidth="1"/>
    <col min="6" max="6" width="7.421875" style="0" customWidth="1"/>
    <col min="7" max="7" width="7.7109375" style="0" customWidth="1"/>
    <col min="9" max="10" width="7.57421875" style="0" customWidth="1"/>
    <col min="11" max="11" width="7.140625" style="0" customWidth="1"/>
    <col min="12" max="12" width="8.7109375" style="0" customWidth="1"/>
    <col min="13" max="13" width="7.57421875" style="0" customWidth="1"/>
    <col min="14" max="14" width="7.28125" style="0" customWidth="1"/>
    <col min="15" max="16" width="7.7109375" style="0" customWidth="1"/>
  </cols>
  <sheetData>
    <row r="1" spans="1:16" ht="18">
      <c r="A1" s="552" t="s">
        <v>317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8.75" thickBot="1">
      <c r="A2" s="553" t="s">
        <v>350</v>
      </c>
      <c r="B2" s="553"/>
      <c r="C2" s="553"/>
      <c r="D2" s="553"/>
      <c r="E2" s="553"/>
      <c r="F2" s="553"/>
      <c r="G2" s="553"/>
      <c r="H2" s="553"/>
      <c r="I2" s="204" t="s">
        <v>443</v>
      </c>
      <c r="J2" s="204"/>
      <c r="K2" s="204"/>
      <c r="L2" s="204"/>
      <c r="M2" s="205"/>
      <c r="N2" s="205"/>
      <c r="O2" s="205"/>
      <c r="P2" s="205"/>
    </row>
    <row r="3" spans="1:16" ht="13.5" thickBot="1">
      <c r="A3" s="554" t="s">
        <v>234</v>
      </c>
      <c r="B3" s="555"/>
      <c r="C3" s="555"/>
      <c r="D3" s="556"/>
      <c r="E3" s="560" t="s">
        <v>351</v>
      </c>
      <c r="F3" s="561"/>
      <c r="G3" s="561"/>
      <c r="H3" s="562"/>
      <c r="I3" s="563" t="s">
        <v>352</v>
      </c>
      <c r="J3" s="563"/>
      <c r="K3" s="563"/>
      <c r="L3" s="564"/>
      <c r="M3" s="560" t="s">
        <v>444</v>
      </c>
      <c r="N3" s="561"/>
      <c r="O3" s="561"/>
      <c r="P3" s="562"/>
    </row>
    <row r="4" spans="1:16" ht="45" customHeight="1" thickBot="1">
      <c r="A4" s="557"/>
      <c r="B4" s="558"/>
      <c r="C4" s="558"/>
      <c r="D4" s="559"/>
      <c r="E4" s="206" t="s">
        <v>235</v>
      </c>
      <c r="F4" s="207" t="s">
        <v>236</v>
      </c>
      <c r="G4" s="208" t="s">
        <v>237</v>
      </c>
      <c r="H4" s="209" t="s">
        <v>238</v>
      </c>
      <c r="I4" s="210" t="s">
        <v>235</v>
      </c>
      <c r="J4" s="208" t="s">
        <v>236</v>
      </c>
      <c r="K4" s="207" t="s">
        <v>237</v>
      </c>
      <c r="L4" s="207" t="s">
        <v>238</v>
      </c>
      <c r="M4" s="206" t="s">
        <v>235</v>
      </c>
      <c r="N4" s="208" t="s">
        <v>236</v>
      </c>
      <c r="O4" s="207" t="s">
        <v>237</v>
      </c>
      <c r="P4" s="211" t="s">
        <v>238</v>
      </c>
    </row>
    <row r="5" spans="1:16" ht="30" customHeight="1" thickBot="1">
      <c r="A5" s="212" t="s">
        <v>239</v>
      </c>
      <c r="B5" s="213" t="s">
        <v>240</v>
      </c>
      <c r="C5" s="214" t="s">
        <v>241</v>
      </c>
      <c r="D5" s="215" t="s">
        <v>242</v>
      </c>
      <c r="E5" s="216">
        <f aca="true" t="shared" si="0" ref="E5:P5">E6+E14+E33+E36+E38+E42+E47+E50+E62+E68+E71</f>
        <v>858041</v>
      </c>
      <c r="F5" s="216">
        <f t="shared" si="0"/>
        <v>257420</v>
      </c>
      <c r="G5" s="216">
        <f t="shared" si="0"/>
        <v>40700</v>
      </c>
      <c r="H5" s="216">
        <f t="shared" si="0"/>
        <v>1156161</v>
      </c>
      <c r="I5" s="216">
        <f t="shared" si="0"/>
        <v>954790</v>
      </c>
      <c r="J5" s="216">
        <f t="shared" si="0"/>
        <v>659209</v>
      </c>
      <c r="K5" s="216">
        <f t="shared" si="0"/>
        <v>40700</v>
      </c>
      <c r="L5" s="217">
        <f t="shared" si="0"/>
        <v>1654699</v>
      </c>
      <c r="M5" s="216">
        <f t="shared" si="0"/>
        <v>585874.3900000001</v>
      </c>
      <c r="N5" s="216">
        <f t="shared" si="0"/>
        <v>72845.27</v>
      </c>
      <c r="O5" s="216">
        <f t="shared" si="0"/>
        <v>22641.97</v>
      </c>
      <c r="P5" s="218">
        <f t="shared" si="0"/>
        <v>681361.6299999999</v>
      </c>
    </row>
    <row r="6" spans="1:16" ht="15" thickBot="1">
      <c r="A6" s="567" t="s">
        <v>243</v>
      </c>
      <c r="B6" s="568"/>
      <c r="C6" s="568"/>
      <c r="D6" s="568"/>
      <c r="E6" s="219">
        <f aca="true" t="shared" si="1" ref="E6:P6">SUM(E7:E13)-E8-E9</f>
        <v>164301</v>
      </c>
      <c r="F6" s="219">
        <f t="shared" si="1"/>
        <v>30000</v>
      </c>
      <c r="G6" s="219">
        <f t="shared" si="1"/>
        <v>40700</v>
      </c>
      <c r="H6" s="219">
        <f t="shared" si="1"/>
        <v>235001</v>
      </c>
      <c r="I6" s="223">
        <f t="shared" si="1"/>
        <v>203781</v>
      </c>
      <c r="J6" s="224">
        <f t="shared" si="1"/>
        <v>33681</v>
      </c>
      <c r="K6" s="224">
        <f t="shared" si="1"/>
        <v>40700</v>
      </c>
      <c r="L6" s="225">
        <f t="shared" si="1"/>
        <v>278162</v>
      </c>
      <c r="M6" s="219">
        <f t="shared" si="1"/>
        <v>128516.40999999999</v>
      </c>
      <c r="N6" s="221">
        <f t="shared" si="1"/>
        <v>2260.84</v>
      </c>
      <c r="O6" s="221">
        <f t="shared" si="1"/>
        <v>22641.97</v>
      </c>
      <c r="P6" s="226">
        <f t="shared" si="1"/>
        <v>153419.21999999997</v>
      </c>
    </row>
    <row r="7" spans="1:16" ht="12.75">
      <c r="A7" s="569">
        <v>1</v>
      </c>
      <c r="B7" s="572">
        <v>1</v>
      </c>
      <c r="C7" s="565" t="s">
        <v>244</v>
      </c>
      <c r="D7" s="566"/>
      <c r="E7" s="227">
        <f aca="true" t="shared" si="2" ref="E7:P7">E8+E9</f>
        <v>152051</v>
      </c>
      <c r="F7" s="228">
        <f t="shared" si="2"/>
        <v>0</v>
      </c>
      <c r="G7" s="228">
        <f t="shared" si="2"/>
        <v>0</v>
      </c>
      <c r="H7" s="229">
        <f t="shared" si="2"/>
        <v>152051</v>
      </c>
      <c r="I7" s="456">
        <f t="shared" si="2"/>
        <v>153785</v>
      </c>
      <c r="J7" s="230">
        <f t="shared" si="2"/>
        <v>0</v>
      </c>
      <c r="K7" s="230">
        <f t="shared" si="2"/>
        <v>0</v>
      </c>
      <c r="L7" s="231">
        <f t="shared" si="2"/>
        <v>153785</v>
      </c>
      <c r="M7" s="227">
        <f t="shared" si="2"/>
        <v>98361.56999999999</v>
      </c>
      <c r="N7" s="228">
        <f t="shared" si="2"/>
        <v>0</v>
      </c>
      <c r="O7" s="228">
        <f t="shared" si="2"/>
        <v>0</v>
      </c>
      <c r="P7" s="229">
        <f t="shared" si="2"/>
        <v>98361.56999999999</v>
      </c>
    </row>
    <row r="8" spans="1:16" ht="12.75">
      <c r="A8" s="570"/>
      <c r="B8" s="573"/>
      <c r="C8" s="233">
        <v>1</v>
      </c>
      <c r="D8" s="234" t="s">
        <v>245</v>
      </c>
      <c r="E8" s="235">
        <v>147521</v>
      </c>
      <c r="F8" s="236"/>
      <c r="G8" s="237"/>
      <c r="H8" s="238">
        <f aca="true" t="shared" si="3" ref="H8:H13">SUM(E8:G8)</f>
        <v>147521</v>
      </c>
      <c r="I8" s="240">
        <v>149255</v>
      </c>
      <c r="J8" s="237"/>
      <c r="K8" s="237"/>
      <c r="L8" s="236">
        <f aca="true" t="shared" si="4" ref="L8:L13">SUM(I8:K8)</f>
        <v>149255</v>
      </c>
      <c r="M8" s="235">
        <v>96903.34</v>
      </c>
      <c r="N8" s="237"/>
      <c r="O8" s="237"/>
      <c r="P8" s="239">
        <f aca="true" t="shared" si="5" ref="P8:P13">SUM(M8:O8)</f>
        <v>96903.34</v>
      </c>
    </row>
    <row r="9" spans="1:16" ht="12.75">
      <c r="A9" s="570"/>
      <c r="B9" s="574"/>
      <c r="C9" s="233">
        <v>2</v>
      </c>
      <c r="D9" s="234" t="s">
        <v>246</v>
      </c>
      <c r="E9" s="235">
        <v>4530</v>
      </c>
      <c r="F9" s="236"/>
      <c r="G9" s="237"/>
      <c r="H9" s="238">
        <f t="shared" si="3"/>
        <v>4530</v>
      </c>
      <c r="I9" s="240">
        <v>4530</v>
      </c>
      <c r="J9" s="237"/>
      <c r="K9" s="237"/>
      <c r="L9" s="236">
        <f t="shared" si="4"/>
        <v>4530</v>
      </c>
      <c r="M9" s="235">
        <v>1458.23</v>
      </c>
      <c r="N9" s="237"/>
      <c r="O9" s="237"/>
      <c r="P9" s="239">
        <f t="shared" si="5"/>
        <v>1458.23</v>
      </c>
    </row>
    <row r="10" spans="1:16" ht="12.75">
      <c r="A10" s="570"/>
      <c r="B10" s="241">
        <v>2</v>
      </c>
      <c r="C10" s="565" t="s">
        <v>247</v>
      </c>
      <c r="D10" s="566"/>
      <c r="E10" s="242">
        <v>6350</v>
      </c>
      <c r="F10" s="243"/>
      <c r="G10" s="244"/>
      <c r="H10" s="245">
        <f t="shared" si="3"/>
        <v>6350</v>
      </c>
      <c r="I10" s="382">
        <v>6350</v>
      </c>
      <c r="J10" s="228"/>
      <c r="K10" s="244"/>
      <c r="L10" s="243">
        <f t="shared" si="4"/>
        <v>6350</v>
      </c>
      <c r="M10" s="242">
        <v>4178.98</v>
      </c>
      <c r="N10" s="244"/>
      <c r="O10" s="244"/>
      <c r="P10" s="247">
        <f t="shared" si="5"/>
        <v>4178.98</v>
      </c>
    </row>
    <row r="11" spans="1:16" ht="12.75">
      <c r="A11" s="570"/>
      <c r="B11" s="248">
        <v>3</v>
      </c>
      <c r="C11" s="575" t="s">
        <v>248</v>
      </c>
      <c r="D11" s="576"/>
      <c r="E11" s="242">
        <v>1500</v>
      </c>
      <c r="F11" s="243"/>
      <c r="G11" s="249"/>
      <c r="H11" s="245">
        <f t="shared" si="3"/>
        <v>1500</v>
      </c>
      <c r="I11" s="382">
        <v>1500</v>
      </c>
      <c r="J11" s="228"/>
      <c r="K11" s="249"/>
      <c r="L11" s="243">
        <f t="shared" si="4"/>
        <v>1500</v>
      </c>
      <c r="M11" s="242">
        <v>1178.58</v>
      </c>
      <c r="N11" s="244"/>
      <c r="O11" s="249"/>
      <c r="P11" s="247">
        <f t="shared" si="5"/>
        <v>1178.58</v>
      </c>
    </row>
    <row r="12" spans="1:16" ht="12.75">
      <c r="A12" s="570"/>
      <c r="B12" s="250">
        <v>4</v>
      </c>
      <c r="C12" s="577" t="s">
        <v>249</v>
      </c>
      <c r="D12" s="576"/>
      <c r="E12" s="251">
        <v>0</v>
      </c>
      <c r="F12" s="252">
        <v>30000</v>
      </c>
      <c r="G12" s="253">
        <v>40700</v>
      </c>
      <c r="H12" s="245">
        <f t="shared" si="3"/>
        <v>70700</v>
      </c>
      <c r="I12" s="411">
        <v>37746</v>
      </c>
      <c r="J12" s="457">
        <v>33681</v>
      </c>
      <c r="K12" s="412">
        <v>40700</v>
      </c>
      <c r="L12" s="243">
        <f t="shared" si="4"/>
        <v>112127</v>
      </c>
      <c r="M12" s="251">
        <v>23834.91</v>
      </c>
      <c r="N12" s="256">
        <v>2260.84</v>
      </c>
      <c r="O12" s="253">
        <v>22641.97</v>
      </c>
      <c r="P12" s="247">
        <f t="shared" si="5"/>
        <v>48737.72</v>
      </c>
    </row>
    <row r="13" spans="1:16" ht="13.5" thickBot="1">
      <c r="A13" s="571"/>
      <c r="B13" s="257">
        <v>5</v>
      </c>
      <c r="C13" s="578" t="s">
        <v>250</v>
      </c>
      <c r="D13" s="579"/>
      <c r="E13" s="258">
        <f>2000+1000+1400</f>
        <v>4400</v>
      </c>
      <c r="F13" s="259"/>
      <c r="G13" s="260"/>
      <c r="H13" s="261">
        <f t="shared" si="3"/>
        <v>4400</v>
      </c>
      <c r="I13" s="458">
        <f>2000+1000+1400</f>
        <v>4400</v>
      </c>
      <c r="J13" s="262"/>
      <c r="K13" s="260"/>
      <c r="L13" s="263">
        <f t="shared" si="4"/>
        <v>4400</v>
      </c>
      <c r="M13" s="258">
        <f>696.32+49.55+216.5</f>
        <v>962.37</v>
      </c>
      <c r="N13" s="262"/>
      <c r="O13" s="260"/>
      <c r="P13" s="264">
        <f t="shared" si="5"/>
        <v>962.37</v>
      </c>
    </row>
    <row r="14" spans="1:16" ht="15" thickBot="1">
      <c r="A14" s="580" t="s">
        <v>251</v>
      </c>
      <c r="B14" s="581"/>
      <c r="C14" s="581"/>
      <c r="D14" s="581"/>
      <c r="E14" s="265">
        <f aca="true" t="shared" si="6" ref="E14:P14">E15+E18+E19+E22+E25+E26+E27+E31</f>
        <v>161140</v>
      </c>
      <c r="F14" s="224">
        <f t="shared" si="6"/>
        <v>7550</v>
      </c>
      <c r="G14" s="224">
        <f t="shared" si="6"/>
        <v>0</v>
      </c>
      <c r="H14" s="266">
        <f t="shared" si="6"/>
        <v>168690</v>
      </c>
      <c r="I14" s="459">
        <f t="shared" si="6"/>
        <v>165624</v>
      </c>
      <c r="J14" s="460">
        <f t="shared" si="6"/>
        <v>7550</v>
      </c>
      <c r="K14" s="224">
        <f t="shared" si="6"/>
        <v>0</v>
      </c>
      <c r="L14" s="225">
        <f t="shared" si="6"/>
        <v>173174</v>
      </c>
      <c r="M14" s="265">
        <f t="shared" si="6"/>
        <v>91553.03</v>
      </c>
      <c r="N14" s="224">
        <f t="shared" si="6"/>
        <v>7550</v>
      </c>
      <c r="O14" s="224">
        <f t="shared" si="6"/>
        <v>0</v>
      </c>
      <c r="P14" s="266">
        <f t="shared" si="6"/>
        <v>99103.03</v>
      </c>
    </row>
    <row r="15" spans="1:16" ht="12.75">
      <c r="A15" s="582">
        <v>2</v>
      </c>
      <c r="B15" s="583">
        <v>1</v>
      </c>
      <c r="C15" s="584" t="s">
        <v>252</v>
      </c>
      <c r="D15" s="585"/>
      <c r="E15" s="267">
        <f aca="true" t="shared" si="7" ref="E15:P15">E16+E17</f>
        <v>400</v>
      </c>
      <c r="F15" s="268">
        <f t="shared" si="7"/>
        <v>0</v>
      </c>
      <c r="G15" s="268">
        <f t="shared" si="7"/>
        <v>0</v>
      </c>
      <c r="H15" s="269">
        <f t="shared" si="7"/>
        <v>400</v>
      </c>
      <c r="I15" s="456">
        <f t="shared" si="7"/>
        <v>550</v>
      </c>
      <c r="J15" s="230">
        <f t="shared" si="7"/>
        <v>0</v>
      </c>
      <c r="K15" s="268">
        <f t="shared" si="7"/>
        <v>0</v>
      </c>
      <c r="L15" s="271">
        <f t="shared" si="7"/>
        <v>550</v>
      </c>
      <c r="M15" s="267">
        <f t="shared" si="7"/>
        <v>158.59</v>
      </c>
      <c r="N15" s="268">
        <f t="shared" si="7"/>
        <v>0</v>
      </c>
      <c r="O15" s="268">
        <f t="shared" si="7"/>
        <v>0</v>
      </c>
      <c r="P15" s="269">
        <f t="shared" si="7"/>
        <v>158.59</v>
      </c>
    </row>
    <row r="16" spans="1:16" ht="12.75">
      <c r="A16" s="570"/>
      <c r="B16" s="573"/>
      <c r="C16" s="233">
        <v>1</v>
      </c>
      <c r="D16" s="234" t="s">
        <v>143</v>
      </c>
      <c r="E16" s="235">
        <v>300</v>
      </c>
      <c r="F16" s="236"/>
      <c r="G16" s="237"/>
      <c r="H16" s="272">
        <f>SUM(E16:G16)</f>
        <v>300</v>
      </c>
      <c r="I16" s="240">
        <v>300</v>
      </c>
      <c r="J16" s="237"/>
      <c r="K16" s="237"/>
      <c r="L16" s="273">
        <f>SUM(I16:K16)</f>
        <v>300</v>
      </c>
      <c r="M16" s="235">
        <v>158.59</v>
      </c>
      <c r="N16" s="237"/>
      <c r="O16" s="237"/>
      <c r="P16" s="274">
        <f>SUM(M16:O16)</f>
        <v>158.59</v>
      </c>
    </row>
    <row r="17" spans="1:16" ht="12.75">
      <c r="A17" s="570"/>
      <c r="B17" s="574"/>
      <c r="C17" s="233">
        <v>2</v>
      </c>
      <c r="D17" s="234" t="s">
        <v>112</v>
      </c>
      <c r="E17" s="235">
        <v>100</v>
      </c>
      <c r="F17" s="236"/>
      <c r="G17" s="237"/>
      <c r="H17" s="272">
        <f>SUM(E17:G17)</f>
        <v>100</v>
      </c>
      <c r="I17" s="240">
        <v>250</v>
      </c>
      <c r="J17" s="237"/>
      <c r="K17" s="237"/>
      <c r="L17" s="273">
        <f>SUM(I17:K17)</f>
        <v>250</v>
      </c>
      <c r="M17" s="235">
        <v>0</v>
      </c>
      <c r="N17" s="237"/>
      <c r="O17" s="237"/>
      <c r="P17" s="274">
        <f>SUM(M17:O17)</f>
        <v>0</v>
      </c>
    </row>
    <row r="18" spans="1:16" ht="12.75">
      <c r="A18" s="570"/>
      <c r="B18" s="241">
        <v>2</v>
      </c>
      <c r="C18" s="565" t="s">
        <v>253</v>
      </c>
      <c r="D18" s="566"/>
      <c r="E18" s="242">
        <v>3700</v>
      </c>
      <c r="F18" s="243"/>
      <c r="G18" s="244"/>
      <c r="H18" s="245">
        <f>SUM(E18:G18)</f>
        <v>3700</v>
      </c>
      <c r="I18" s="382">
        <v>3734</v>
      </c>
      <c r="J18" s="228"/>
      <c r="K18" s="244"/>
      <c r="L18" s="243">
        <f>SUM(I18:K18)</f>
        <v>3734</v>
      </c>
      <c r="M18" s="242">
        <v>3027.8</v>
      </c>
      <c r="N18" s="244"/>
      <c r="O18" s="244"/>
      <c r="P18" s="247">
        <f>SUM(M18:O18)</f>
        <v>3027.8</v>
      </c>
    </row>
    <row r="19" spans="1:16" ht="12.75">
      <c r="A19" s="570"/>
      <c r="B19" s="572">
        <v>3</v>
      </c>
      <c r="C19" s="565" t="s">
        <v>254</v>
      </c>
      <c r="D19" s="566"/>
      <c r="E19" s="242">
        <f aca="true" t="shared" si="8" ref="E19:P19">E20+E21</f>
        <v>8500</v>
      </c>
      <c r="F19" s="244">
        <f t="shared" si="8"/>
        <v>0</v>
      </c>
      <c r="G19" s="244">
        <f t="shared" si="8"/>
        <v>0</v>
      </c>
      <c r="H19" s="247">
        <f t="shared" si="8"/>
        <v>8500</v>
      </c>
      <c r="I19" s="382">
        <f t="shared" si="8"/>
        <v>9000</v>
      </c>
      <c r="J19" s="228">
        <f t="shared" si="8"/>
        <v>0</v>
      </c>
      <c r="K19" s="244">
        <f t="shared" si="8"/>
        <v>0</v>
      </c>
      <c r="L19" s="243">
        <f t="shared" si="8"/>
        <v>9000</v>
      </c>
      <c r="M19" s="242">
        <f t="shared" si="8"/>
        <v>3816.1000000000004</v>
      </c>
      <c r="N19" s="244">
        <f t="shared" si="8"/>
        <v>0</v>
      </c>
      <c r="O19" s="244">
        <f t="shared" si="8"/>
        <v>0</v>
      </c>
      <c r="P19" s="247">
        <f t="shared" si="8"/>
        <v>3816.1000000000004</v>
      </c>
    </row>
    <row r="20" spans="1:16" ht="12.75">
      <c r="A20" s="570"/>
      <c r="B20" s="573"/>
      <c r="C20" s="233">
        <v>1</v>
      </c>
      <c r="D20" s="234" t="s">
        <v>255</v>
      </c>
      <c r="E20" s="276">
        <v>5000</v>
      </c>
      <c r="F20" s="273"/>
      <c r="G20" s="277"/>
      <c r="H20" s="272">
        <f>SUM(E20:G20)</f>
        <v>5000</v>
      </c>
      <c r="I20" s="278">
        <v>5000</v>
      </c>
      <c r="J20" s="277"/>
      <c r="K20" s="277"/>
      <c r="L20" s="273">
        <f>SUM(I20:K20)</f>
        <v>5000</v>
      </c>
      <c r="M20" s="276">
        <v>1555.18</v>
      </c>
      <c r="N20" s="277"/>
      <c r="O20" s="277"/>
      <c r="P20" s="274">
        <f>SUM(M20:O20)</f>
        <v>1555.18</v>
      </c>
    </row>
    <row r="21" spans="1:16" ht="12.75">
      <c r="A21" s="570"/>
      <c r="B21" s="574"/>
      <c r="C21" s="233">
        <v>2</v>
      </c>
      <c r="D21" s="234" t="s">
        <v>256</v>
      </c>
      <c r="E21" s="276">
        <v>3500</v>
      </c>
      <c r="F21" s="273"/>
      <c r="G21" s="277"/>
      <c r="H21" s="272">
        <f>SUM(E21:G21)</f>
        <v>3500</v>
      </c>
      <c r="I21" s="278">
        <v>4000</v>
      </c>
      <c r="J21" s="277"/>
      <c r="K21" s="277"/>
      <c r="L21" s="273">
        <f>SUM(I21:K21)</f>
        <v>4000</v>
      </c>
      <c r="M21" s="276">
        <v>2260.92</v>
      </c>
      <c r="N21" s="277"/>
      <c r="O21" s="277"/>
      <c r="P21" s="274">
        <f>SUM(M21:O21)</f>
        <v>2260.92</v>
      </c>
    </row>
    <row r="22" spans="1:16" ht="12.75">
      <c r="A22" s="570"/>
      <c r="B22" s="572">
        <v>4</v>
      </c>
      <c r="C22" s="565" t="s">
        <v>257</v>
      </c>
      <c r="D22" s="566"/>
      <c r="E22" s="227">
        <f aca="true" t="shared" si="9" ref="E22:P22">SUM(E23:E24)</f>
        <v>2420</v>
      </c>
      <c r="F22" s="228">
        <f t="shared" si="9"/>
        <v>0</v>
      </c>
      <c r="G22" s="228">
        <f t="shared" si="9"/>
        <v>0</v>
      </c>
      <c r="H22" s="229">
        <f t="shared" si="9"/>
        <v>2420</v>
      </c>
      <c r="I22" s="382">
        <f t="shared" si="9"/>
        <v>3220</v>
      </c>
      <c r="J22" s="228">
        <f t="shared" si="9"/>
        <v>0</v>
      </c>
      <c r="K22" s="228">
        <f t="shared" si="9"/>
        <v>0</v>
      </c>
      <c r="L22" s="279">
        <f t="shared" si="9"/>
        <v>3220</v>
      </c>
      <c r="M22" s="227">
        <f t="shared" si="9"/>
        <v>2430.9</v>
      </c>
      <c r="N22" s="228">
        <f t="shared" si="9"/>
        <v>0</v>
      </c>
      <c r="O22" s="228">
        <f t="shared" si="9"/>
        <v>0</v>
      </c>
      <c r="P22" s="229">
        <f t="shared" si="9"/>
        <v>2430.9</v>
      </c>
    </row>
    <row r="23" spans="1:16" ht="12.75">
      <c r="A23" s="570"/>
      <c r="B23" s="573"/>
      <c r="C23" s="233">
        <v>1</v>
      </c>
      <c r="D23" s="234" t="s">
        <v>258</v>
      </c>
      <c r="E23" s="276">
        <v>1700</v>
      </c>
      <c r="F23" s="273"/>
      <c r="G23" s="277"/>
      <c r="H23" s="272">
        <f>SUM(E23:G23)</f>
        <v>1700</v>
      </c>
      <c r="I23" s="278">
        <v>2500</v>
      </c>
      <c r="J23" s="277"/>
      <c r="K23" s="277"/>
      <c r="L23" s="273">
        <f>SUM(I23:K23)</f>
        <v>2500</v>
      </c>
      <c r="M23" s="276">
        <v>1980.66</v>
      </c>
      <c r="N23" s="277"/>
      <c r="O23" s="277"/>
      <c r="P23" s="274">
        <f>SUM(M23:O23)</f>
        <v>1980.66</v>
      </c>
    </row>
    <row r="24" spans="1:16" ht="12.75">
      <c r="A24" s="570"/>
      <c r="B24" s="574"/>
      <c r="C24" s="280">
        <v>2</v>
      </c>
      <c r="D24" s="281" t="s">
        <v>259</v>
      </c>
      <c r="E24" s="282">
        <v>720</v>
      </c>
      <c r="F24" s="283"/>
      <c r="G24" s="284"/>
      <c r="H24" s="272">
        <f>SUM(E24:G24)</f>
        <v>720</v>
      </c>
      <c r="I24" s="285">
        <v>720</v>
      </c>
      <c r="J24" s="284"/>
      <c r="K24" s="284"/>
      <c r="L24" s="273">
        <f>SUM(I24:K24)</f>
        <v>720</v>
      </c>
      <c r="M24" s="282">
        <v>450.24</v>
      </c>
      <c r="N24" s="284"/>
      <c r="O24" s="284"/>
      <c r="P24" s="274">
        <f>SUM(M24:O24)</f>
        <v>450.24</v>
      </c>
    </row>
    <row r="25" spans="1:16" ht="12.75">
      <c r="A25" s="570"/>
      <c r="B25" s="286">
        <v>5</v>
      </c>
      <c r="C25" s="565" t="s">
        <v>260</v>
      </c>
      <c r="D25" s="566"/>
      <c r="E25" s="287">
        <v>14700</v>
      </c>
      <c r="F25" s="288"/>
      <c r="G25" s="289"/>
      <c r="H25" s="245">
        <f>SUM(E25:G25)</f>
        <v>14700</v>
      </c>
      <c r="I25" s="290">
        <v>15400</v>
      </c>
      <c r="J25" s="289"/>
      <c r="K25" s="289"/>
      <c r="L25" s="243">
        <f>SUM(I25:K25)</f>
        <v>15400</v>
      </c>
      <c r="M25" s="287">
        <v>10742.08</v>
      </c>
      <c r="N25" s="289"/>
      <c r="O25" s="289"/>
      <c r="P25" s="247">
        <f>SUM(M25:O25)</f>
        <v>10742.08</v>
      </c>
    </row>
    <row r="26" spans="1:16" ht="12.75">
      <c r="A26" s="570"/>
      <c r="B26" s="286">
        <v>6</v>
      </c>
      <c r="C26" s="565" t="s">
        <v>261</v>
      </c>
      <c r="D26" s="566"/>
      <c r="E26" s="287">
        <v>85420</v>
      </c>
      <c r="F26" s="288">
        <v>7550</v>
      </c>
      <c r="G26" s="289"/>
      <c r="H26" s="245">
        <f>SUM(E26:G26)</f>
        <v>92970</v>
      </c>
      <c r="I26" s="290">
        <v>87720</v>
      </c>
      <c r="J26" s="289">
        <v>7550</v>
      </c>
      <c r="K26" s="289"/>
      <c r="L26" s="243">
        <f>SUM(I26:K26)</f>
        <v>95270</v>
      </c>
      <c r="M26" s="287">
        <v>44320.4</v>
      </c>
      <c r="N26" s="289">
        <v>7550</v>
      </c>
      <c r="O26" s="289"/>
      <c r="P26" s="247">
        <f>SUM(M26:O26)</f>
        <v>51870.4</v>
      </c>
    </row>
    <row r="27" spans="1:16" ht="12.75">
      <c r="A27" s="570"/>
      <c r="B27" s="572">
        <v>7</v>
      </c>
      <c r="C27" s="565" t="s">
        <v>262</v>
      </c>
      <c r="D27" s="566"/>
      <c r="E27" s="287">
        <f aca="true" t="shared" si="10" ref="E27:P27">SUM(E28:E30)</f>
        <v>43000</v>
      </c>
      <c r="F27" s="289">
        <f t="shared" si="10"/>
        <v>0</v>
      </c>
      <c r="G27" s="289">
        <f t="shared" si="10"/>
        <v>0</v>
      </c>
      <c r="H27" s="291">
        <f t="shared" si="10"/>
        <v>43000</v>
      </c>
      <c r="I27" s="290">
        <f t="shared" si="10"/>
        <v>43000</v>
      </c>
      <c r="J27" s="289">
        <f t="shared" si="10"/>
        <v>0</v>
      </c>
      <c r="K27" s="289">
        <f t="shared" si="10"/>
        <v>0</v>
      </c>
      <c r="L27" s="288">
        <f t="shared" si="10"/>
        <v>43000</v>
      </c>
      <c r="M27" s="287">
        <f t="shared" si="10"/>
        <v>27057.159999999996</v>
      </c>
      <c r="N27" s="289">
        <f t="shared" si="10"/>
        <v>0</v>
      </c>
      <c r="O27" s="289">
        <f t="shared" si="10"/>
        <v>0</v>
      </c>
      <c r="P27" s="291">
        <f t="shared" si="10"/>
        <v>27057.159999999996</v>
      </c>
    </row>
    <row r="28" spans="1:16" ht="12.75">
      <c r="A28" s="570"/>
      <c r="B28" s="573"/>
      <c r="C28" s="233">
        <v>1</v>
      </c>
      <c r="D28" s="234" t="s">
        <v>85</v>
      </c>
      <c r="E28" s="235">
        <v>14000</v>
      </c>
      <c r="F28" s="236"/>
      <c r="G28" s="237"/>
      <c r="H28" s="272">
        <f>SUM(E28:G28)</f>
        <v>14000</v>
      </c>
      <c r="I28" s="240">
        <v>14000</v>
      </c>
      <c r="J28" s="237"/>
      <c r="K28" s="237"/>
      <c r="L28" s="273">
        <f>SUM(I28:K28)</f>
        <v>14000</v>
      </c>
      <c r="M28" s="235">
        <v>6860.9</v>
      </c>
      <c r="N28" s="237"/>
      <c r="O28" s="237"/>
      <c r="P28" s="274">
        <f>SUM(M28:O28)</f>
        <v>6860.9</v>
      </c>
    </row>
    <row r="29" spans="1:16" ht="12.75">
      <c r="A29" s="570"/>
      <c r="B29" s="573"/>
      <c r="C29" s="233">
        <v>2</v>
      </c>
      <c r="D29" s="234" t="s">
        <v>263</v>
      </c>
      <c r="E29" s="235">
        <v>18000</v>
      </c>
      <c r="F29" s="236"/>
      <c r="G29" s="237"/>
      <c r="H29" s="272">
        <f>SUM(E29:G29)</f>
        <v>18000</v>
      </c>
      <c r="I29" s="240">
        <v>18000</v>
      </c>
      <c r="J29" s="237"/>
      <c r="K29" s="237"/>
      <c r="L29" s="273">
        <f>SUM(I29:K29)</f>
        <v>18000</v>
      </c>
      <c r="M29" s="235">
        <v>11888.16</v>
      </c>
      <c r="N29" s="237"/>
      <c r="O29" s="237"/>
      <c r="P29" s="274">
        <f>SUM(M29:O29)</f>
        <v>11888.16</v>
      </c>
    </row>
    <row r="30" spans="1:16" ht="12.75">
      <c r="A30" s="570"/>
      <c r="B30" s="574"/>
      <c r="C30" s="233">
        <v>3</v>
      </c>
      <c r="D30" s="234" t="s">
        <v>264</v>
      </c>
      <c r="E30" s="235">
        <v>11000</v>
      </c>
      <c r="F30" s="236"/>
      <c r="G30" s="237"/>
      <c r="H30" s="272">
        <f>SUM(E30:G30)</f>
        <v>11000</v>
      </c>
      <c r="I30" s="240">
        <v>11000</v>
      </c>
      <c r="J30" s="237"/>
      <c r="K30" s="237"/>
      <c r="L30" s="273">
        <f>SUM(I30:K30)</f>
        <v>11000</v>
      </c>
      <c r="M30" s="235">
        <v>8308.1</v>
      </c>
      <c r="N30" s="237" t="s">
        <v>265</v>
      </c>
      <c r="O30" s="237"/>
      <c r="P30" s="274">
        <f>SUM(M30:O30)</f>
        <v>8308.1</v>
      </c>
    </row>
    <row r="31" spans="1:16" ht="12.75">
      <c r="A31" s="570"/>
      <c r="B31" s="572">
        <v>8</v>
      </c>
      <c r="C31" s="565" t="s">
        <v>266</v>
      </c>
      <c r="D31" s="566"/>
      <c r="E31" s="287">
        <f aca="true" t="shared" si="11" ref="E31:P31">SUM(E32:E32)</f>
        <v>3000</v>
      </c>
      <c r="F31" s="289">
        <f t="shared" si="11"/>
        <v>0</v>
      </c>
      <c r="G31" s="289">
        <f t="shared" si="11"/>
        <v>0</v>
      </c>
      <c r="H31" s="291">
        <f t="shared" si="11"/>
        <v>3000</v>
      </c>
      <c r="I31" s="290">
        <f t="shared" si="11"/>
        <v>3000</v>
      </c>
      <c r="J31" s="289">
        <f t="shared" si="11"/>
        <v>0</v>
      </c>
      <c r="K31" s="289">
        <f t="shared" si="11"/>
        <v>0</v>
      </c>
      <c r="L31" s="288">
        <f t="shared" si="11"/>
        <v>3000</v>
      </c>
      <c r="M31" s="287">
        <f t="shared" si="11"/>
        <v>0</v>
      </c>
      <c r="N31" s="289">
        <f t="shared" si="11"/>
        <v>0</v>
      </c>
      <c r="O31" s="289">
        <f t="shared" si="11"/>
        <v>0</v>
      </c>
      <c r="P31" s="291">
        <f t="shared" si="11"/>
        <v>0</v>
      </c>
    </row>
    <row r="32" spans="1:16" ht="13.5" thickBot="1">
      <c r="A32" s="570"/>
      <c r="B32" s="573"/>
      <c r="C32" s="233">
        <v>1</v>
      </c>
      <c r="D32" s="234" t="s">
        <v>74</v>
      </c>
      <c r="E32" s="235">
        <v>3000</v>
      </c>
      <c r="F32" s="236"/>
      <c r="G32" s="237"/>
      <c r="H32" s="272">
        <f>SUM(E32:G32)</f>
        <v>3000</v>
      </c>
      <c r="I32" s="240">
        <v>3000</v>
      </c>
      <c r="J32" s="237"/>
      <c r="K32" s="237"/>
      <c r="L32" s="273">
        <f>SUM(I32:K32)</f>
        <v>3000</v>
      </c>
      <c r="M32" s="235">
        <v>0</v>
      </c>
      <c r="N32" s="237"/>
      <c r="O32" s="237"/>
      <c r="P32" s="274">
        <f>SUM(M32:O32)</f>
        <v>0</v>
      </c>
    </row>
    <row r="33" spans="1:16" ht="14.25">
      <c r="A33" s="567" t="s">
        <v>267</v>
      </c>
      <c r="B33" s="568"/>
      <c r="C33" s="568"/>
      <c r="D33" s="568"/>
      <c r="E33" s="219">
        <f aca="true" t="shared" si="12" ref="E33:P33">SUM(E34:E35)</f>
        <v>4160</v>
      </c>
      <c r="F33" s="220">
        <f t="shared" si="12"/>
        <v>0</v>
      </c>
      <c r="G33" s="221">
        <f t="shared" si="12"/>
        <v>0</v>
      </c>
      <c r="H33" s="222">
        <f t="shared" si="12"/>
        <v>4160</v>
      </c>
      <c r="I33" s="461">
        <f t="shared" si="12"/>
        <v>5660</v>
      </c>
      <c r="J33" s="462">
        <f t="shared" si="12"/>
        <v>0</v>
      </c>
      <c r="K33" s="221">
        <f t="shared" si="12"/>
        <v>0</v>
      </c>
      <c r="L33" s="220">
        <f t="shared" si="12"/>
        <v>5660</v>
      </c>
      <c r="M33" s="219">
        <f t="shared" si="12"/>
        <v>3656.98</v>
      </c>
      <c r="N33" s="221">
        <f t="shared" si="12"/>
        <v>0</v>
      </c>
      <c r="O33" s="221">
        <f t="shared" si="12"/>
        <v>0</v>
      </c>
      <c r="P33" s="226">
        <f t="shared" si="12"/>
        <v>3656.98</v>
      </c>
    </row>
    <row r="34" spans="1:16" ht="12.75">
      <c r="A34" s="570">
        <v>3</v>
      </c>
      <c r="B34" s="293">
        <v>1</v>
      </c>
      <c r="C34" s="588" t="s">
        <v>268</v>
      </c>
      <c r="D34" s="589"/>
      <c r="E34" s="251">
        <v>4000</v>
      </c>
      <c r="F34" s="252"/>
      <c r="G34" s="256"/>
      <c r="H34" s="294">
        <f>SUM(E34:G34)</f>
        <v>4000</v>
      </c>
      <c r="I34" s="411">
        <v>5500</v>
      </c>
      <c r="J34" s="457"/>
      <c r="K34" s="256"/>
      <c r="L34" s="252">
        <f>SUM(I34:K34)</f>
        <v>5500</v>
      </c>
      <c r="M34" s="251">
        <v>3576.98</v>
      </c>
      <c r="N34" s="256"/>
      <c r="O34" s="256"/>
      <c r="P34" s="295">
        <f>SUM(M34:O34)</f>
        <v>3576.98</v>
      </c>
    </row>
    <row r="35" spans="1:16" ht="13.5" thickBot="1">
      <c r="A35" s="570"/>
      <c r="B35" s="241">
        <v>2</v>
      </c>
      <c r="C35" s="565" t="s">
        <v>75</v>
      </c>
      <c r="D35" s="566"/>
      <c r="E35" s="287">
        <v>160</v>
      </c>
      <c r="F35" s="288"/>
      <c r="G35" s="289"/>
      <c r="H35" s="296">
        <f>SUM(E35:G35)</f>
        <v>160</v>
      </c>
      <c r="I35" s="290">
        <v>160</v>
      </c>
      <c r="J35" s="289"/>
      <c r="K35" s="289"/>
      <c r="L35" s="279">
        <f>SUM(I35:K35)</f>
        <v>160</v>
      </c>
      <c r="M35" s="287">
        <v>80</v>
      </c>
      <c r="N35" s="289"/>
      <c r="O35" s="289"/>
      <c r="P35" s="229">
        <f>SUM(M35:O35)</f>
        <v>80</v>
      </c>
    </row>
    <row r="36" spans="1:16" ht="14.25">
      <c r="A36" s="567" t="s">
        <v>269</v>
      </c>
      <c r="B36" s="568"/>
      <c r="C36" s="568"/>
      <c r="D36" s="568"/>
      <c r="E36" s="219">
        <f aca="true" t="shared" si="13" ref="E36:P36">SUM(E37:E37)</f>
        <v>15000</v>
      </c>
      <c r="F36" s="220">
        <f t="shared" si="13"/>
        <v>0</v>
      </c>
      <c r="G36" s="221">
        <f t="shared" si="13"/>
        <v>0</v>
      </c>
      <c r="H36" s="222">
        <f t="shared" si="13"/>
        <v>15000</v>
      </c>
      <c r="I36" s="461">
        <f t="shared" si="13"/>
        <v>18670</v>
      </c>
      <c r="J36" s="462">
        <f t="shared" si="13"/>
        <v>0</v>
      </c>
      <c r="K36" s="221">
        <f t="shared" si="13"/>
        <v>0</v>
      </c>
      <c r="L36" s="220">
        <f t="shared" si="13"/>
        <v>18670</v>
      </c>
      <c r="M36" s="219">
        <f t="shared" si="13"/>
        <v>9651.31</v>
      </c>
      <c r="N36" s="221">
        <f t="shared" si="13"/>
        <v>0</v>
      </c>
      <c r="O36" s="221">
        <f t="shared" si="13"/>
        <v>0</v>
      </c>
      <c r="P36" s="226">
        <f t="shared" si="13"/>
        <v>9651.31</v>
      </c>
    </row>
    <row r="37" spans="1:16" ht="13.5" thickBot="1">
      <c r="A37" s="232">
        <v>4</v>
      </c>
      <c r="B37" s="293">
        <v>1</v>
      </c>
      <c r="C37" s="588" t="s">
        <v>270</v>
      </c>
      <c r="D37" s="589"/>
      <c r="E37" s="251">
        <v>15000</v>
      </c>
      <c r="F37" s="252"/>
      <c r="G37" s="256"/>
      <c r="H37" s="294">
        <f>SUM(E37:G37)</f>
        <v>15000</v>
      </c>
      <c r="I37" s="411">
        <v>18670</v>
      </c>
      <c r="J37" s="457"/>
      <c r="K37" s="256"/>
      <c r="L37" s="252">
        <f>SUM(I37:K37)</f>
        <v>18670</v>
      </c>
      <c r="M37" s="251">
        <v>9651.31</v>
      </c>
      <c r="N37" s="256"/>
      <c r="O37" s="256"/>
      <c r="P37" s="295">
        <f>SUM(M37:O37)</f>
        <v>9651.31</v>
      </c>
    </row>
    <row r="38" spans="1:16" ht="14.25">
      <c r="A38" s="567" t="s">
        <v>271</v>
      </c>
      <c r="B38" s="568"/>
      <c r="C38" s="568"/>
      <c r="D38" s="568"/>
      <c r="E38" s="219">
        <f aca="true" t="shared" si="14" ref="E38:P38">SUM(E39:E41)</f>
        <v>88700</v>
      </c>
      <c r="F38" s="220">
        <f t="shared" si="14"/>
        <v>30000</v>
      </c>
      <c r="G38" s="221">
        <f t="shared" si="14"/>
        <v>0</v>
      </c>
      <c r="H38" s="222">
        <f t="shared" si="14"/>
        <v>118700</v>
      </c>
      <c r="I38" s="461">
        <f t="shared" si="14"/>
        <v>115819</v>
      </c>
      <c r="J38" s="462">
        <f t="shared" si="14"/>
        <v>428108</v>
      </c>
      <c r="K38" s="221">
        <f t="shared" si="14"/>
        <v>0</v>
      </c>
      <c r="L38" s="220">
        <f t="shared" si="14"/>
        <v>543927</v>
      </c>
      <c r="M38" s="219">
        <f t="shared" si="14"/>
        <v>48307.74</v>
      </c>
      <c r="N38" s="221">
        <f t="shared" si="14"/>
        <v>63034.43</v>
      </c>
      <c r="O38" s="221">
        <f t="shared" si="14"/>
        <v>0</v>
      </c>
      <c r="P38" s="226">
        <f t="shared" si="14"/>
        <v>111342.17</v>
      </c>
    </row>
    <row r="39" spans="1:16" ht="12.75">
      <c r="A39" s="569">
        <v>5</v>
      </c>
      <c r="B39" s="241">
        <v>1</v>
      </c>
      <c r="C39" s="565" t="s">
        <v>272</v>
      </c>
      <c r="D39" s="566"/>
      <c r="E39" s="242">
        <v>23700</v>
      </c>
      <c r="F39" s="243"/>
      <c r="G39" s="244"/>
      <c r="H39" s="245">
        <f aca="true" t="shared" si="15" ref="H39:H46">SUM(E39:G39)</f>
        <v>23700</v>
      </c>
      <c r="I39" s="382">
        <v>23700</v>
      </c>
      <c r="J39" s="228"/>
      <c r="K39" s="244"/>
      <c r="L39" s="243">
        <f aca="true" t="shared" si="16" ref="L39:L46">SUM(I39:K39)</f>
        <v>23700</v>
      </c>
      <c r="M39" s="242">
        <v>14441.76</v>
      </c>
      <c r="N39" s="244"/>
      <c r="O39" s="244"/>
      <c r="P39" s="247">
        <f aca="true" t="shared" si="17" ref="P39:P46">SUM(M39:O39)</f>
        <v>14441.76</v>
      </c>
    </row>
    <row r="40" spans="1:16" ht="12.75">
      <c r="A40" s="570"/>
      <c r="B40" s="298">
        <v>2</v>
      </c>
      <c r="C40" s="565" t="s">
        <v>273</v>
      </c>
      <c r="D40" s="566"/>
      <c r="E40" s="299">
        <v>64900</v>
      </c>
      <c r="F40" s="300">
        <v>30000</v>
      </c>
      <c r="G40" s="301"/>
      <c r="H40" s="245">
        <f t="shared" si="15"/>
        <v>94900</v>
      </c>
      <c r="I40" s="463">
        <v>67500</v>
      </c>
      <c r="J40" s="464">
        <v>85900</v>
      </c>
      <c r="K40" s="301"/>
      <c r="L40" s="243">
        <f t="shared" si="16"/>
        <v>153400</v>
      </c>
      <c r="M40" s="299">
        <v>33849.64</v>
      </c>
      <c r="N40" s="301">
        <v>9954.28</v>
      </c>
      <c r="O40" s="301"/>
      <c r="P40" s="247">
        <f t="shared" si="17"/>
        <v>43803.92</v>
      </c>
    </row>
    <row r="41" spans="1:16" ht="13.5" thickBot="1">
      <c r="A41" s="571"/>
      <c r="B41" s="303">
        <v>3</v>
      </c>
      <c r="C41" s="578" t="s">
        <v>274</v>
      </c>
      <c r="D41" s="579"/>
      <c r="E41" s="304">
        <v>100</v>
      </c>
      <c r="F41" s="263">
        <v>0</v>
      </c>
      <c r="G41" s="305"/>
      <c r="H41" s="261">
        <f t="shared" si="15"/>
        <v>100</v>
      </c>
      <c r="I41" s="465">
        <v>24619</v>
      </c>
      <c r="J41" s="466">
        <v>342208</v>
      </c>
      <c r="K41" s="305"/>
      <c r="L41" s="263">
        <f t="shared" si="16"/>
        <v>366827</v>
      </c>
      <c r="M41" s="304">
        <v>16.34</v>
      </c>
      <c r="N41" s="305">
        <v>53080.15</v>
      </c>
      <c r="O41" s="305"/>
      <c r="P41" s="264">
        <f t="shared" si="17"/>
        <v>53096.49</v>
      </c>
    </row>
    <row r="42" spans="1:16" ht="15.75" customHeight="1">
      <c r="A42" s="586" t="s">
        <v>125</v>
      </c>
      <c r="B42" s="587"/>
      <c r="C42" s="587"/>
      <c r="D42" s="587"/>
      <c r="E42" s="307">
        <f>SUM(E43:E46)</f>
        <v>258520</v>
      </c>
      <c r="F42" s="308">
        <f>SUM(F43:F46)</f>
        <v>0</v>
      </c>
      <c r="G42" s="309">
        <f>SUM(G43:G46)</f>
        <v>0</v>
      </c>
      <c r="H42" s="310">
        <f t="shared" si="15"/>
        <v>258520</v>
      </c>
      <c r="I42" s="467">
        <f>SUM(I43:I46)</f>
        <v>261320</v>
      </c>
      <c r="J42" s="468">
        <f>SUM(J43:J46)</f>
        <v>0</v>
      </c>
      <c r="K42" s="309">
        <f>SUM(K43:K46)</f>
        <v>0</v>
      </c>
      <c r="L42" s="308">
        <f t="shared" si="16"/>
        <v>261320</v>
      </c>
      <c r="M42" s="307">
        <f>SUM(M43:M46)</f>
        <v>174774.85</v>
      </c>
      <c r="N42" s="309">
        <f>SUM(N43:N46)</f>
        <v>0</v>
      </c>
      <c r="O42" s="309">
        <f>SUM(O43:O46)</f>
        <v>0</v>
      </c>
      <c r="P42" s="312">
        <f t="shared" si="17"/>
        <v>174774.85</v>
      </c>
    </row>
    <row r="43" spans="1:16" ht="12.75">
      <c r="A43" s="569">
        <v>6</v>
      </c>
      <c r="B43" s="241">
        <v>1</v>
      </c>
      <c r="C43" s="565" t="s">
        <v>407</v>
      </c>
      <c r="D43" s="566"/>
      <c r="E43" s="242">
        <v>0</v>
      </c>
      <c r="F43" s="243"/>
      <c r="G43" s="244"/>
      <c r="H43" s="245">
        <f t="shared" si="15"/>
        <v>0</v>
      </c>
      <c r="I43" s="382">
        <v>0</v>
      </c>
      <c r="J43" s="228"/>
      <c r="K43" s="244"/>
      <c r="L43" s="243">
        <f t="shared" si="16"/>
        <v>0</v>
      </c>
      <c r="M43" s="242">
        <v>0</v>
      </c>
      <c r="N43" s="244">
        <v>0</v>
      </c>
      <c r="O43" s="244"/>
      <c r="P43" s="247">
        <f t="shared" si="17"/>
        <v>0</v>
      </c>
    </row>
    <row r="44" spans="1:16" ht="12.75">
      <c r="A44" s="570"/>
      <c r="B44" s="241">
        <v>2</v>
      </c>
      <c r="C44" s="565" t="s">
        <v>276</v>
      </c>
      <c r="D44" s="566"/>
      <c r="E44" s="242">
        <v>90000</v>
      </c>
      <c r="F44" s="243"/>
      <c r="G44" s="244"/>
      <c r="H44" s="245">
        <f t="shared" si="15"/>
        <v>90000</v>
      </c>
      <c r="I44" s="382">
        <v>90000</v>
      </c>
      <c r="J44" s="228"/>
      <c r="K44" s="244"/>
      <c r="L44" s="243">
        <f t="shared" si="16"/>
        <v>90000</v>
      </c>
      <c r="M44" s="242">
        <v>61583.93</v>
      </c>
      <c r="N44" s="244"/>
      <c r="O44" s="244"/>
      <c r="P44" s="247">
        <f t="shared" si="17"/>
        <v>61583.93</v>
      </c>
    </row>
    <row r="45" spans="1:16" ht="12.75">
      <c r="A45" s="570"/>
      <c r="B45" s="241">
        <v>3</v>
      </c>
      <c r="C45" s="565" t="s">
        <v>277</v>
      </c>
      <c r="D45" s="566"/>
      <c r="E45" s="242">
        <v>121340</v>
      </c>
      <c r="F45" s="243"/>
      <c r="G45" s="244"/>
      <c r="H45" s="245">
        <f t="shared" si="15"/>
        <v>121340</v>
      </c>
      <c r="I45" s="382">
        <v>124140</v>
      </c>
      <c r="J45" s="228"/>
      <c r="K45" s="244"/>
      <c r="L45" s="243">
        <f t="shared" si="16"/>
        <v>124140</v>
      </c>
      <c r="M45" s="242">
        <v>84373.26</v>
      </c>
      <c r="N45" s="244"/>
      <c r="O45" s="244"/>
      <c r="P45" s="247">
        <f t="shared" si="17"/>
        <v>84373.26</v>
      </c>
    </row>
    <row r="46" spans="1:16" ht="13.5" thickBot="1">
      <c r="A46" s="571"/>
      <c r="B46" s="241">
        <v>4</v>
      </c>
      <c r="C46" s="565" t="s">
        <v>278</v>
      </c>
      <c r="D46" s="566"/>
      <c r="E46" s="242">
        <v>47180</v>
      </c>
      <c r="F46" s="243">
        <v>0</v>
      </c>
      <c r="G46" s="244"/>
      <c r="H46" s="245">
        <f t="shared" si="15"/>
        <v>47180</v>
      </c>
      <c r="I46" s="382">
        <v>47180</v>
      </c>
      <c r="J46" s="228">
        <v>0</v>
      </c>
      <c r="K46" s="244"/>
      <c r="L46" s="243">
        <f t="shared" si="16"/>
        <v>47180</v>
      </c>
      <c r="M46" s="242">
        <v>28817.66</v>
      </c>
      <c r="N46" s="244">
        <v>0</v>
      </c>
      <c r="O46" s="244"/>
      <c r="P46" s="247">
        <f t="shared" si="17"/>
        <v>28817.66</v>
      </c>
    </row>
    <row r="47" spans="1:16" ht="14.25">
      <c r="A47" s="567" t="s">
        <v>279</v>
      </c>
      <c r="B47" s="568"/>
      <c r="C47" s="568"/>
      <c r="D47" s="568"/>
      <c r="E47" s="219">
        <f aca="true" t="shared" si="18" ref="E47:P47">SUM(E48:E49)</f>
        <v>11300</v>
      </c>
      <c r="F47" s="220">
        <f t="shared" si="18"/>
        <v>0</v>
      </c>
      <c r="G47" s="221">
        <f t="shared" si="18"/>
        <v>0</v>
      </c>
      <c r="H47" s="222">
        <f t="shared" si="18"/>
        <v>11300</v>
      </c>
      <c r="I47" s="461">
        <f t="shared" si="18"/>
        <v>12220</v>
      </c>
      <c r="J47" s="462">
        <f t="shared" si="18"/>
        <v>0</v>
      </c>
      <c r="K47" s="221">
        <f t="shared" si="18"/>
        <v>0</v>
      </c>
      <c r="L47" s="220">
        <f t="shared" si="18"/>
        <v>12220</v>
      </c>
      <c r="M47" s="219">
        <f t="shared" si="18"/>
        <v>10749.5</v>
      </c>
      <c r="N47" s="221">
        <f t="shared" si="18"/>
        <v>0</v>
      </c>
      <c r="O47" s="221">
        <f t="shared" si="18"/>
        <v>0</v>
      </c>
      <c r="P47" s="226">
        <f t="shared" si="18"/>
        <v>10749.5</v>
      </c>
    </row>
    <row r="48" spans="1:16" ht="12.75">
      <c r="A48" s="570">
        <v>7</v>
      </c>
      <c r="B48" s="293">
        <v>1</v>
      </c>
      <c r="C48" s="588" t="s">
        <v>280</v>
      </c>
      <c r="D48" s="589"/>
      <c r="E48" s="251">
        <v>7500</v>
      </c>
      <c r="F48" s="252"/>
      <c r="G48" s="256"/>
      <c r="H48" s="294">
        <f>SUM(E48:G48)</f>
        <v>7500</v>
      </c>
      <c r="I48" s="411">
        <v>6000</v>
      </c>
      <c r="J48" s="457"/>
      <c r="K48" s="256"/>
      <c r="L48" s="252">
        <f>SUM(I48:K48)</f>
        <v>6000</v>
      </c>
      <c r="M48" s="251">
        <v>6000</v>
      </c>
      <c r="N48" s="256"/>
      <c r="O48" s="256"/>
      <c r="P48" s="295">
        <f>SUM(M48:O48)</f>
        <v>6000</v>
      </c>
    </row>
    <row r="49" spans="1:16" ht="13.5" thickBot="1">
      <c r="A49" s="570"/>
      <c r="B49" s="241">
        <v>2</v>
      </c>
      <c r="C49" s="565" t="s">
        <v>281</v>
      </c>
      <c r="D49" s="566"/>
      <c r="E49" s="287">
        <v>3800</v>
      </c>
      <c r="F49" s="288"/>
      <c r="G49" s="289"/>
      <c r="H49" s="314">
        <f>SUM(E49:G49)</f>
        <v>3800</v>
      </c>
      <c r="I49" s="290">
        <v>6220</v>
      </c>
      <c r="J49" s="289"/>
      <c r="K49" s="289"/>
      <c r="L49" s="315">
        <f>SUM(I49:K49)</f>
        <v>6220</v>
      </c>
      <c r="M49" s="287">
        <v>4749.5</v>
      </c>
      <c r="N49" s="289"/>
      <c r="O49" s="289"/>
      <c r="P49" s="316">
        <f>SUM(M49:O49)</f>
        <v>4749.5</v>
      </c>
    </row>
    <row r="50" spans="1:16" ht="14.25">
      <c r="A50" s="567" t="s">
        <v>282</v>
      </c>
      <c r="B50" s="568"/>
      <c r="C50" s="568"/>
      <c r="D50" s="568"/>
      <c r="E50" s="219">
        <f>E51+E59+E60+E61</f>
        <v>42800</v>
      </c>
      <c r="F50" s="220">
        <f>SUM(F51:F61)</f>
        <v>0</v>
      </c>
      <c r="G50" s="221">
        <f>SUM(G51:G61)</f>
        <v>0</v>
      </c>
      <c r="H50" s="310">
        <f>SUM(E50:G50)</f>
        <v>42800</v>
      </c>
      <c r="I50" s="461">
        <f>I51+I59+I60+I61</f>
        <v>57976</v>
      </c>
      <c r="J50" s="462">
        <f>SUM(J51:J61)</f>
        <v>0</v>
      </c>
      <c r="K50" s="221">
        <f>SUM(K51:K61)</f>
        <v>0</v>
      </c>
      <c r="L50" s="308">
        <f>SUM(I50:K50)</f>
        <v>57976</v>
      </c>
      <c r="M50" s="219">
        <f>M51+M59+M60+M61</f>
        <v>49852.259999999995</v>
      </c>
      <c r="N50" s="221">
        <f>SUM(N51:N61)</f>
        <v>0</v>
      </c>
      <c r="O50" s="221">
        <f>SUM(O51:O61)</f>
        <v>0</v>
      </c>
      <c r="P50" s="312">
        <f>SUM(M50:O50)</f>
        <v>49852.259999999995</v>
      </c>
    </row>
    <row r="51" spans="1:16" ht="12.75">
      <c r="A51" s="569">
        <v>8</v>
      </c>
      <c r="B51" s="572">
        <v>1</v>
      </c>
      <c r="C51" s="565" t="s">
        <v>283</v>
      </c>
      <c r="D51" s="566"/>
      <c r="E51" s="242">
        <f aca="true" t="shared" si="19" ref="E51:P51">SUM(E52:E58)</f>
        <v>39300</v>
      </c>
      <c r="F51" s="242">
        <f t="shared" si="19"/>
        <v>0</v>
      </c>
      <c r="G51" s="242">
        <f t="shared" si="19"/>
        <v>0</v>
      </c>
      <c r="H51" s="242">
        <f t="shared" si="19"/>
        <v>39300</v>
      </c>
      <c r="I51" s="382">
        <f t="shared" si="19"/>
        <v>54106</v>
      </c>
      <c r="J51" s="382">
        <f t="shared" si="19"/>
        <v>0</v>
      </c>
      <c r="K51" s="246">
        <f t="shared" si="19"/>
        <v>0</v>
      </c>
      <c r="L51" s="246">
        <f t="shared" si="19"/>
        <v>54106</v>
      </c>
      <c r="M51" s="242">
        <f t="shared" si="19"/>
        <v>47890.52</v>
      </c>
      <c r="N51" s="242">
        <f t="shared" si="19"/>
        <v>0</v>
      </c>
      <c r="O51" s="242">
        <f t="shared" si="19"/>
        <v>0</v>
      </c>
      <c r="P51" s="242">
        <f t="shared" si="19"/>
        <v>46807.68</v>
      </c>
    </row>
    <row r="52" spans="1:16" ht="12.75">
      <c r="A52" s="570"/>
      <c r="B52" s="573"/>
      <c r="C52" s="280">
        <v>1</v>
      </c>
      <c r="D52" s="317" t="s">
        <v>284</v>
      </c>
      <c r="E52" s="282">
        <v>15000</v>
      </c>
      <c r="F52" s="283"/>
      <c r="G52" s="284"/>
      <c r="H52" s="272">
        <f aca="true" t="shared" si="20" ref="H52:H61">SUM(E52:G52)</f>
        <v>15000</v>
      </c>
      <c r="I52" s="285">
        <v>15800</v>
      </c>
      <c r="J52" s="284"/>
      <c r="K52" s="284"/>
      <c r="L52" s="273">
        <f aca="true" t="shared" si="21" ref="L52:L61">SUM(I52:K52)</f>
        <v>15800</v>
      </c>
      <c r="M52" s="282">
        <v>11413.21</v>
      </c>
      <c r="N52" s="284"/>
      <c r="O52" s="284"/>
      <c r="P52" s="274">
        <f aca="true" t="shared" si="22" ref="P52:P61">SUM(M52:O52)</f>
        <v>11413.21</v>
      </c>
    </row>
    <row r="53" spans="1:16" ht="12.75">
      <c r="A53" s="570"/>
      <c r="B53" s="573"/>
      <c r="C53" s="280">
        <v>2</v>
      </c>
      <c r="D53" s="317" t="s">
        <v>113</v>
      </c>
      <c r="E53" s="282">
        <v>1000</v>
      </c>
      <c r="F53" s="283"/>
      <c r="G53" s="284"/>
      <c r="H53" s="272">
        <f t="shared" si="20"/>
        <v>1000</v>
      </c>
      <c r="I53" s="285">
        <v>1000</v>
      </c>
      <c r="J53" s="284"/>
      <c r="K53" s="284"/>
      <c r="L53" s="273">
        <f t="shared" si="21"/>
        <v>1000</v>
      </c>
      <c r="M53" s="282">
        <v>986.21</v>
      </c>
      <c r="N53" s="284"/>
      <c r="O53" s="284"/>
      <c r="P53" s="274">
        <f t="shared" si="22"/>
        <v>986.21</v>
      </c>
    </row>
    <row r="54" spans="1:16" ht="12.75">
      <c r="A54" s="570"/>
      <c r="B54" s="573"/>
      <c r="C54" s="280">
        <v>3</v>
      </c>
      <c r="D54" s="317" t="s">
        <v>114</v>
      </c>
      <c r="E54" s="282">
        <v>2500</v>
      </c>
      <c r="F54" s="283"/>
      <c r="G54" s="284"/>
      <c r="H54" s="272">
        <f t="shared" si="20"/>
        <v>2500</v>
      </c>
      <c r="I54" s="285">
        <v>2000</v>
      </c>
      <c r="J54" s="284"/>
      <c r="K54" s="284"/>
      <c r="L54" s="273">
        <f t="shared" si="21"/>
        <v>2000</v>
      </c>
      <c r="M54" s="282">
        <v>2000</v>
      </c>
      <c r="N54" s="284"/>
      <c r="O54" s="284"/>
      <c r="P54" s="274">
        <f t="shared" si="22"/>
        <v>2000</v>
      </c>
    </row>
    <row r="55" spans="1:16" ht="12.75">
      <c r="A55" s="570"/>
      <c r="B55" s="573"/>
      <c r="C55" s="280">
        <v>4</v>
      </c>
      <c r="D55" s="317" t="s">
        <v>285</v>
      </c>
      <c r="E55" s="282">
        <v>20000</v>
      </c>
      <c r="F55" s="283"/>
      <c r="G55" s="284"/>
      <c r="H55" s="272">
        <f t="shared" si="20"/>
        <v>20000</v>
      </c>
      <c r="I55" s="285">
        <v>31406</v>
      </c>
      <c r="J55" s="284"/>
      <c r="K55" s="284"/>
      <c r="L55" s="273">
        <f t="shared" si="21"/>
        <v>31406</v>
      </c>
      <c r="M55" s="282">
        <v>31406</v>
      </c>
      <c r="N55" s="284"/>
      <c r="O55" s="284"/>
      <c r="P55" s="274">
        <f t="shared" si="22"/>
        <v>31406</v>
      </c>
    </row>
    <row r="56" spans="1:16" ht="12.75">
      <c r="A56" s="570"/>
      <c r="B56" s="573"/>
      <c r="C56" s="280">
        <v>5</v>
      </c>
      <c r="D56" s="317" t="s">
        <v>286</v>
      </c>
      <c r="E56" s="282">
        <v>100</v>
      </c>
      <c r="F56" s="283"/>
      <c r="G56" s="284"/>
      <c r="H56" s="272">
        <f t="shared" si="20"/>
        <v>100</v>
      </c>
      <c r="I56" s="285">
        <v>1100</v>
      </c>
      <c r="J56" s="284"/>
      <c r="K56" s="284"/>
      <c r="L56" s="273">
        <f t="shared" si="21"/>
        <v>1100</v>
      </c>
      <c r="M56" s="282">
        <v>1002.26</v>
      </c>
      <c r="N56" s="284"/>
      <c r="O56" s="284"/>
      <c r="P56" s="274">
        <f t="shared" si="22"/>
        <v>1002.26</v>
      </c>
    </row>
    <row r="57" spans="1:16" ht="12.75">
      <c r="A57" s="570"/>
      <c r="B57" s="573"/>
      <c r="C57" s="280">
        <v>6</v>
      </c>
      <c r="D57" s="317" t="s">
        <v>287</v>
      </c>
      <c r="E57" s="282">
        <v>700</v>
      </c>
      <c r="F57" s="283"/>
      <c r="G57" s="284"/>
      <c r="H57" s="272">
        <f t="shared" si="20"/>
        <v>700</v>
      </c>
      <c r="I57" s="285">
        <v>800</v>
      </c>
      <c r="J57" s="284"/>
      <c r="K57" s="284"/>
      <c r="L57" s="273">
        <f t="shared" si="21"/>
        <v>800</v>
      </c>
      <c r="M57" s="282">
        <v>0</v>
      </c>
      <c r="N57" s="284"/>
      <c r="O57" s="284"/>
      <c r="P57" s="274">
        <f t="shared" si="22"/>
        <v>0</v>
      </c>
    </row>
    <row r="58" spans="1:16" ht="12.75">
      <c r="A58" s="570"/>
      <c r="B58" s="445"/>
      <c r="C58" s="446">
        <v>7</v>
      </c>
      <c r="D58" s="447" t="s">
        <v>409</v>
      </c>
      <c r="E58" s="282">
        <v>0</v>
      </c>
      <c r="F58" s="283"/>
      <c r="G58" s="284"/>
      <c r="H58" s="272">
        <f t="shared" si="20"/>
        <v>0</v>
      </c>
      <c r="I58" s="285">
        <v>2000</v>
      </c>
      <c r="J58" s="284"/>
      <c r="K58" s="284"/>
      <c r="L58" s="273">
        <f t="shared" si="21"/>
        <v>2000</v>
      </c>
      <c r="M58" s="282">
        <v>1082.84</v>
      </c>
      <c r="N58" s="284"/>
      <c r="O58" s="284"/>
      <c r="P58" s="274">
        <v>0</v>
      </c>
    </row>
    <row r="59" spans="1:16" ht="12.75">
      <c r="A59" s="570"/>
      <c r="B59" s="298">
        <v>2</v>
      </c>
      <c r="C59" s="565" t="s">
        <v>108</v>
      </c>
      <c r="D59" s="566"/>
      <c r="E59" s="299">
        <v>1000</v>
      </c>
      <c r="F59" s="300"/>
      <c r="G59" s="301"/>
      <c r="H59" s="245">
        <f t="shared" si="20"/>
        <v>1000</v>
      </c>
      <c r="I59" s="463">
        <v>1000</v>
      </c>
      <c r="J59" s="464"/>
      <c r="K59" s="301"/>
      <c r="L59" s="243">
        <f t="shared" si="21"/>
        <v>1000</v>
      </c>
      <c r="M59" s="299">
        <v>542</v>
      </c>
      <c r="N59" s="301"/>
      <c r="O59" s="301"/>
      <c r="P59" s="247">
        <f t="shared" si="22"/>
        <v>542</v>
      </c>
    </row>
    <row r="60" spans="1:16" ht="12.75">
      <c r="A60" s="570"/>
      <c r="B60" s="298">
        <v>3</v>
      </c>
      <c r="C60" s="565" t="s">
        <v>110</v>
      </c>
      <c r="D60" s="566"/>
      <c r="E60" s="299">
        <v>1000</v>
      </c>
      <c r="F60" s="300"/>
      <c r="G60" s="301"/>
      <c r="H60" s="245">
        <f t="shared" si="20"/>
        <v>1000</v>
      </c>
      <c r="I60" s="463">
        <v>1370</v>
      </c>
      <c r="J60" s="464"/>
      <c r="K60" s="301"/>
      <c r="L60" s="243">
        <f t="shared" si="21"/>
        <v>1370</v>
      </c>
      <c r="M60" s="299">
        <v>719.74</v>
      </c>
      <c r="N60" s="301"/>
      <c r="O60" s="301"/>
      <c r="P60" s="247">
        <f t="shared" si="22"/>
        <v>719.74</v>
      </c>
    </row>
    <row r="61" spans="1:16" ht="13.5" thickBot="1">
      <c r="A61" s="571"/>
      <c r="B61" s="298">
        <v>4</v>
      </c>
      <c r="C61" s="578" t="s">
        <v>288</v>
      </c>
      <c r="D61" s="579"/>
      <c r="E61" s="304">
        <v>1500</v>
      </c>
      <c r="F61" s="263"/>
      <c r="G61" s="305"/>
      <c r="H61" s="261">
        <f t="shared" si="20"/>
        <v>1500</v>
      </c>
      <c r="I61" s="465">
        <v>1500</v>
      </c>
      <c r="J61" s="466"/>
      <c r="K61" s="305"/>
      <c r="L61" s="263">
        <f t="shared" si="21"/>
        <v>1500</v>
      </c>
      <c r="M61" s="304">
        <v>700</v>
      </c>
      <c r="N61" s="305"/>
      <c r="O61" s="305"/>
      <c r="P61" s="264">
        <f t="shared" si="22"/>
        <v>700</v>
      </c>
    </row>
    <row r="62" spans="1:16" ht="14.25">
      <c r="A62" s="567" t="s">
        <v>289</v>
      </c>
      <c r="B62" s="568"/>
      <c r="C62" s="568"/>
      <c r="D62" s="568"/>
      <c r="E62" s="307">
        <f>SUM(E63:E67)</f>
        <v>21340</v>
      </c>
      <c r="F62" s="307">
        <f aca="true" t="shared" si="23" ref="F62:P62">SUM(F63:F67)</f>
        <v>189870</v>
      </c>
      <c r="G62" s="307">
        <f t="shared" si="23"/>
        <v>0</v>
      </c>
      <c r="H62" s="307">
        <f t="shared" si="23"/>
        <v>211210</v>
      </c>
      <c r="I62" s="307">
        <f t="shared" si="23"/>
        <v>21440</v>
      </c>
      <c r="J62" s="307">
        <f t="shared" si="23"/>
        <v>189870</v>
      </c>
      <c r="K62" s="307">
        <f t="shared" si="23"/>
        <v>0</v>
      </c>
      <c r="L62" s="307">
        <f t="shared" si="23"/>
        <v>211310</v>
      </c>
      <c r="M62" s="307">
        <f t="shared" si="23"/>
        <v>13927</v>
      </c>
      <c r="N62" s="307">
        <f t="shared" si="23"/>
        <v>0</v>
      </c>
      <c r="O62" s="307">
        <f t="shared" si="23"/>
        <v>0</v>
      </c>
      <c r="P62" s="307">
        <f t="shared" si="23"/>
        <v>13927</v>
      </c>
    </row>
    <row r="63" spans="1:16" ht="12.75">
      <c r="A63" s="590">
        <v>9</v>
      </c>
      <c r="B63" s="241">
        <v>1</v>
      </c>
      <c r="C63" s="565" t="s">
        <v>100</v>
      </c>
      <c r="D63" s="566"/>
      <c r="E63" s="242">
        <v>15100</v>
      </c>
      <c r="F63" s="243">
        <v>189870</v>
      </c>
      <c r="G63" s="244"/>
      <c r="H63" s="245">
        <f>SUM(E63:G63)</f>
        <v>204970</v>
      </c>
      <c r="I63" s="382">
        <v>15100</v>
      </c>
      <c r="J63" s="228">
        <v>189870</v>
      </c>
      <c r="K63" s="244"/>
      <c r="L63" s="243">
        <f>SUM(I63:K63)</f>
        <v>204970</v>
      </c>
      <c r="M63" s="242">
        <v>10675.77</v>
      </c>
      <c r="N63" s="244"/>
      <c r="O63" s="244"/>
      <c r="P63" s="247">
        <f>SUM(M63:O63)</f>
        <v>10675.77</v>
      </c>
    </row>
    <row r="64" spans="1:16" ht="12.75">
      <c r="A64" s="591"/>
      <c r="B64" s="298">
        <v>2</v>
      </c>
      <c r="C64" s="565" t="s">
        <v>290</v>
      </c>
      <c r="D64" s="566"/>
      <c r="E64" s="299">
        <v>5840</v>
      </c>
      <c r="F64" s="300"/>
      <c r="G64" s="301"/>
      <c r="H64" s="245">
        <f>SUM(E64:G64)</f>
        <v>5840</v>
      </c>
      <c r="I64" s="463">
        <v>5840</v>
      </c>
      <c r="J64" s="464"/>
      <c r="K64" s="301"/>
      <c r="L64" s="243">
        <f>SUM(I64:K64)</f>
        <v>5840</v>
      </c>
      <c r="M64" s="299">
        <v>3251.23</v>
      </c>
      <c r="N64" s="301"/>
      <c r="O64" s="301"/>
      <c r="P64" s="247">
        <f>SUM(M64:O64)</f>
        <v>3251.23</v>
      </c>
    </row>
    <row r="65" spans="1:16" ht="12.75">
      <c r="A65" s="591"/>
      <c r="B65" s="298">
        <v>3</v>
      </c>
      <c r="C65" s="565" t="s">
        <v>291</v>
      </c>
      <c r="D65" s="566"/>
      <c r="E65" s="299">
        <v>0</v>
      </c>
      <c r="F65" s="300">
        <v>0</v>
      </c>
      <c r="G65" s="301">
        <v>0</v>
      </c>
      <c r="H65" s="245">
        <f>SUM(E65:G65)</f>
        <v>0</v>
      </c>
      <c r="I65" s="463">
        <v>0</v>
      </c>
      <c r="J65" s="464">
        <v>0</v>
      </c>
      <c r="K65" s="301"/>
      <c r="L65" s="243">
        <f>SUM(I65:K65)</f>
        <v>0</v>
      </c>
      <c r="M65" s="299">
        <v>0</v>
      </c>
      <c r="N65" s="301">
        <v>0</v>
      </c>
      <c r="O65" s="301"/>
      <c r="P65" s="247">
        <f>SUM(M65:O65)</f>
        <v>0</v>
      </c>
    </row>
    <row r="66" spans="1:16" ht="12.75">
      <c r="A66" s="591"/>
      <c r="B66" s="241">
        <v>4</v>
      </c>
      <c r="C66" s="565" t="s">
        <v>292</v>
      </c>
      <c r="D66" s="566"/>
      <c r="E66" s="242">
        <v>400</v>
      </c>
      <c r="F66" s="243">
        <v>0</v>
      </c>
      <c r="G66" s="244"/>
      <c r="H66" s="245">
        <f>SUM(E66:G66)</f>
        <v>400</v>
      </c>
      <c r="I66" s="382">
        <v>400</v>
      </c>
      <c r="J66" s="228"/>
      <c r="K66" s="244"/>
      <c r="L66" s="243">
        <f>SUM(I66:K66)</f>
        <v>400</v>
      </c>
      <c r="M66" s="242">
        <v>0</v>
      </c>
      <c r="N66" s="244"/>
      <c r="O66" s="244"/>
      <c r="P66" s="247">
        <f>SUM(M66:O66)</f>
        <v>0</v>
      </c>
    </row>
    <row r="67" spans="1:16" ht="13.5" thickBot="1">
      <c r="A67" s="592"/>
      <c r="B67" s="321">
        <v>5</v>
      </c>
      <c r="C67" s="578" t="s">
        <v>445</v>
      </c>
      <c r="D67" s="593"/>
      <c r="E67" s="477">
        <v>0</v>
      </c>
      <c r="F67" s="478"/>
      <c r="G67" s="479"/>
      <c r="H67" s="294"/>
      <c r="I67" s="480">
        <v>100</v>
      </c>
      <c r="J67" s="481"/>
      <c r="K67" s="479"/>
      <c r="L67" s="252">
        <f>SUM(I67:K67)</f>
        <v>100</v>
      </c>
      <c r="M67" s="477">
        <v>0</v>
      </c>
      <c r="N67" s="479"/>
      <c r="O67" s="479"/>
      <c r="P67" s="295">
        <f>SUM(M67:O67)</f>
        <v>0</v>
      </c>
    </row>
    <row r="68" spans="1:16" ht="14.25">
      <c r="A68" s="567" t="s">
        <v>293</v>
      </c>
      <c r="B68" s="568"/>
      <c r="C68" s="568"/>
      <c r="D68" s="568"/>
      <c r="E68" s="219">
        <f aca="true" t="shared" si="24" ref="E68:P68">SUM(E69:E70)</f>
        <v>1390</v>
      </c>
      <c r="F68" s="220">
        <f t="shared" si="24"/>
        <v>0</v>
      </c>
      <c r="G68" s="221">
        <f t="shared" si="24"/>
        <v>0</v>
      </c>
      <c r="H68" s="222">
        <f t="shared" si="24"/>
        <v>1390</v>
      </c>
      <c r="I68" s="461">
        <f t="shared" si="24"/>
        <v>2890</v>
      </c>
      <c r="J68" s="462">
        <f t="shared" si="24"/>
        <v>0</v>
      </c>
      <c r="K68" s="221">
        <f t="shared" si="24"/>
        <v>0</v>
      </c>
      <c r="L68" s="220">
        <f t="shared" si="24"/>
        <v>2890</v>
      </c>
      <c r="M68" s="219">
        <f t="shared" si="24"/>
        <v>977.74</v>
      </c>
      <c r="N68" s="221">
        <f t="shared" si="24"/>
        <v>0</v>
      </c>
      <c r="O68" s="221">
        <f t="shared" si="24"/>
        <v>0</v>
      </c>
      <c r="P68" s="226">
        <f t="shared" si="24"/>
        <v>977.74</v>
      </c>
    </row>
    <row r="69" spans="1:16" ht="12.75">
      <c r="A69" s="594">
        <v>10</v>
      </c>
      <c r="B69" s="286">
        <v>1</v>
      </c>
      <c r="C69" s="566" t="s">
        <v>294</v>
      </c>
      <c r="D69" s="566"/>
      <c r="E69" s="242">
        <v>1390</v>
      </c>
      <c r="F69" s="243"/>
      <c r="G69" s="244"/>
      <c r="H69" s="245">
        <f>SUM(E69:G69)</f>
        <v>1390</v>
      </c>
      <c r="I69" s="382">
        <f>850+2040</f>
        <v>2890</v>
      </c>
      <c r="J69" s="228"/>
      <c r="K69" s="244"/>
      <c r="L69" s="243">
        <f>SUM(I69:K69)</f>
        <v>2890</v>
      </c>
      <c r="M69" s="242">
        <f>622.72+355.02</f>
        <v>977.74</v>
      </c>
      <c r="N69" s="244"/>
      <c r="O69" s="244"/>
      <c r="P69" s="247">
        <f>SUM(M69:O69)</f>
        <v>977.74</v>
      </c>
    </row>
    <row r="70" spans="1:16" ht="13.5" thickBot="1">
      <c r="A70" s="595"/>
      <c r="B70" s="321">
        <v>2</v>
      </c>
      <c r="C70" s="579" t="s">
        <v>295</v>
      </c>
      <c r="D70" s="579"/>
      <c r="E70" s="258">
        <v>0</v>
      </c>
      <c r="F70" s="322">
        <v>0</v>
      </c>
      <c r="G70" s="323"/>
      <c r="H70" s="261">
        <f>SUM(E70:G70)</f>
        <v>0</v>
      </c>
      <c r="I70" s="458">
        <v>0</v>
      </c>
      <c r="J70" s="262">
        <v>0</v>
      </c>
      <c r="K70" s="323"/>
      <c r="L70" s="263">
        <f>SUM(I70:K70)</f>
        <v>0</v>
      </c>
      <c r="M70" s="258">
        <v>0</v>
      </c>
      <c r="N70" s="323">
        <v>0</v>
      </c>
      <c r="O70" s="323"/>
      <c r="P70" s="264">
        <f>SUM(M70:O70)</f>
        <v>0</v>
      </c>
    </row>
    <row r="71" spans="1:16" ht="14.25">
      <c r="A71" s="586" t="s">
        <v>296</v>
      </c>
      <c r="B71" s="587"/>
      <c r="C71" s="587"/>
      <c r="D71" s="587"/>
      <c r="E71" s="307">
        <f>E72+E73+E79</f>
        <v>89390</v>
      </c>
      <c r="F71" s="308">
        <f>SUM(F72:F79)</f>
        <v>0</v>
      </c>
      <c r="G71" s="309">
        <f>SUM(G72:G79)</f>
        <v>0</v>
      </c>
      <c r="H71" s="310">
        <f>SUM(E71:G71)</f>
        <v>89390</v>
      </c>
      <c r="I71" s="461">
        <f>I72+I73+I79</f>
        <v>89390</v>
      </c>
      <c r="J71" s="462">
        <f>SUM(J72:J79)</f>
        <v>0</v>
      </c>
      <c r="K71" s="221">
        <f>SUM(K72:K79)</f>
        <v>0</v>
      </c>
      <c r="L71" s="220">
        <f>SUM(I71:K71)</f>
        <v>89390</v>
      </c>
      <c r="M71" s="307">
        <f>M72+M73+M79</f>
        <v>53907.57000000001</v>
      </c>
      <c r="N71" s="309">
        <f>SUM(N72:N79)</f>
        <v>0</v>
      </c>
      <c r="O71" s="309">
        <f>SUM(O72:O79)</f>
        <v>0</v>
      </c>
      <c r="P71" s="312">
        <f>SUM(M71:O71)</f>
        <v>53907.57000000001</v>
      </c>
    </row>
    <row r="72" spans="1:16" ht="12.75">
      <c r="A72" s="569">
        <v>11</v>
      </c>
      <c r="B72" s="241">
        <v>1</v>
      </c>
      <c r="C72" s="565" t="s">
        <v>297</v>
      </c>
      <c r="D72" s="566"/>
      <c r="E72" s="242">
        <v>61100</v>
      </c>
      <c r="F72" s="243"/>
      <c r="G72" s="244"/>
      <c r="H72" s="245">
        <f>SUM(E72:G72)</f>
        <v>61100</v>
      </c>
      <c r="I72" s="382">
        <v>61100</v>
      </c>
      <c r="J72" s="228"/>
      <c r="K72" s="244"/>
      <c r="L72" s="243">
        <f>SUM(I72:K72)</f>
        <v>61100</v>
      </c>
      <c r="M72" s="242">
        <v>43477.79</v>
      </c>
      <c r="N72" s="244"/>
      <c r="O72" s="244"/>
      <c r="P72" s="247">
        <f>SUM(M72:O72)</f>
        <v>43477.79</v>
      </c>
    </row>
    <row r="73" spans="1:16" ht="12.75">
      <c r="A73" s="570"/>
      <c r="B73" s="572">
        <v>2</v>
      </c>
      <c r="C73" s="565" t="s">
        <v>298</v>
      </c>
      <c r="D73" s="566"/>
      <c r="E73" s="242">
        <f aca="true" t="shared" si="25" ref="E73:P73">SUM(E74:E78)</f>
        <v>24940</v>
      </c>
      <c r="F73" s="244">
        <f t="shared" si="25"/>
        <v>0</v>
      </c>
      <c r="G73" s="244">
        <f t="shared" si="25"/>
        <v>0</v>
      </c>
      <c r="H73" s="247">
        <f t="shared" si="25"/>
        <v>24940</v>
      </c>
      <c r="I73" s="382">
        <f t="shared" si="25"/>
        <v>24940</v>
      </c>
      <c r="J73" s="228">
        <f t="shared" si="25"/>
        <v>0</v>
      </c>
      <c r="K73" s="244">
        <f t="shared" si="25"/>
        <v>0</v>
      </c>
      <c r="L73" s="243">
        <f t="shared" si="25"/>
        <v>24940</v>
      </c>
      <c r="M73" s="242">
        <f t="shared" si="25"/>
        <v>9091.7</v>
      </c>
      <c r="N73" s="244">
        <f t="shared" si="25"/>
        <v>0</v>
      </c>
      <c r="O73" s="244">
        <f t="shared" si="25"/>
        <v>0</v>
      </c>
      <c r="P73" s="247">
        <f t="shared" si="25"/>
        <v>9091.7</v>
      </c>
    </row>
    <row r="74" spans="1:16" ht="12.75">
      <c r="A74" s="570"/>
      <c r="B74" s="573"/>
      <c r="C74" s="325">
        <v>1</v>
      </c>
      <c r="D74" s="326" t="s">
        <v>299</v>
      </c>
      <c r="E74" s="327">
        <v>7200</v>
      </c>
      <c r="F74" s="328"/>
      <c r="G74" s="329"/>
      <c r="H74" s="272">
        <f>SUM(E74:G74)</f>
        <v>7200</v>
      </c>
      <c r="I74" s="469">
        <v>7200</v>
      </c>
      <c r="J74" s="329"/>
      <c r="K74" s="329"/>
      <c r="L74" s="273">
        <f>SUM(I74:K74)</f>
        <v>7200</v>
      </c>
      <c r="M74" s="327">
        <v>4363.29</v>
      </c>
      <c r="N74" s="329"/>
      <c r="O74" s="329"/>
      <c r="P74" s="274">
        <f>SUM(M74:O74)</f>
        <v>4363.29</v>
      </c>
    </row>
    <row r="75" spans="1:16" ht="12.75">
      <c r="A75" s="570"/>
      <c r="B75" s="573"/>
      <c r="C75" s="325">
        <v>2</v>
      </c>
      <c r="D75" s="317" t="s">
        <v>300</v>
      </c>
      <c r="E75" s="327">
        <v>0</v>
      </c>
      <c r="F75" s="328"/>
      <c r="G75" s="329"/>
      <c r="H75" s="272">
        <f>SUM(E75:G75)</f>
        <v>0</v>
      </c>
      <c r="I75" s="469">
        <v>0</v>
      </c>
      <c r="J75" s="329"/>
      <c r="K75" s="329"/>
      <c r="L75" s="273">
        <f>SUM(I75:K75)</f>
        <v>0</v>
      </c>
      <c r="M75" s="327">
        <v>0</v>
      </c>
      <c r="N75" s="329"/>
      <c r="O75" s="329"/>
      <c r="P75" s="274">
        <f>SUM(M75:O75)</f>
        <v>0</v>
      </c>
    </row>
    <row r="76" spans="1:16" ht="12.75">
      <c r="A76" s="570"/>
      <c r="B76" s="573"/>
      <c r="C76" s="325">
        <v>3</v>
      </c>
      <c r="D76" s="317" t="s">
        <v>301</v>
      </c>
      <c r="E76" s="327">
        <v>3000</v>
      </c>
      <c r="F76" s="328"/>
      <c r="G76" s="329"/>
      <c r="H76" s="272">
        <f>SUM(E76:G76)</f>
        <v>3000</v>
      </c>
      <c r="I76" s="469">
        <v>3000</v>
      </c>
      <c r="J76" s="329"/>
      <c r="K76" s="329"/>
      <c r="L76" s="273">
        <f>SUM(I76:K76)</f>
        <v>3000</v>
      </c>
      <c r="M76" s="327">
        <v>1752.91</v>
      </c>
      <c r="N76" s="329"/>
      <c r="O76" s="329"/>
      <c r="P76" s="274">
        <f>SUM(M76:O76)</f>
        <v>1752.91</v>
      </c>
    </row>
    <row r="77" spans="1:16" ht="12.75">
      <c r="A77" s="570"/>
      <c r="B77" s="573"/>
      <c r="C77" s="325">
        <v>4</v>
      </c>
      <c r="D77" s="317" t="s">
        <v>302</v>
      </c>
      <c r="E77" s="327">
        <f>400+300</f>
        <v>700</v>
      </c>
      <c r="F77" s="328"/>
      <c r="G77" s="329"/>
      <c r="H77" s="272">
        <f>SUM(E77:G77)</f>
        <v>700</v>
      </c>
      <c r="I77" s="469">
        <f>400+300</f>
        <v>700</v>
      </c>
      <c r="J77" s="329"/>
      <c r="K77" s="329"/>
      <c r="L77" s="273">
        <f>SUM(I77:K77)</f>
        <v>700</v>
      </c>
      <c r="M77" s="327">
        <v>0</v>
      </c>
      <c r="N77" s="329"/>
      <c r="O77" s="329"/>
      <c r="P77" s="274">
        <f>SUM(M77:O77)</f>
        <v>0</v>
      </c>
    </row>
    <row r="78" spans="1:16" ht="12.75">
      <c r="A78" s="570"/>
      <c r="B78" s="574"/>
      <c r="C78" s="325">
        <v>5</v>
      </c>
      <c r="D78" s="317" t="s">
        <v>303</v>
      </c>
      <c r="E78" s="327">
        <v>14040</v>
      </c>
      <c r="F78" s="328"/>
      <c r="G78" s="329"/>
      <c r="H78" s="272">
        <f>SUM(E78:G78)</f>
        <v>14040</v>
      </c>
      <c r="I78" s="469">
        <v>14040</v>
      </c>
      <c r="J78" s="329"/>
      <c r="K78" s="329"/>
      <c r="L78" s="273">
        <f>SUM(I78:K78)</f>
        <v>14040</v>
      </c>
      <c r="M78" s="327">
        <v>2975.5</v>
      </c>
      <c r="N78" s="329"/>
      <c r="O78" s="329"/>
      <c r="P78" s="274">
        <f>SUM(M78:O78)</f>
        <v>2975.5</v>
      </c>
    </row>
    <row r="79" spans="1:16" ht="12.75">
      <c r="A79" s="570"/>
      <c r="B79" s="602">
        <v>3</v>
      </c>
      <c r="C79" s="565" t="s">
        <v>304</v>
      </c>
      <c r="D79" s="566"/>
      <c r="E79" s="299">
        <f aca="true" t="shared" si="26" ref="E79:P79">SUM(E80:E81)</f>
        <v>3350</v>
      </c>
      <c r="F79" s="301">
        <f t="shared" si="26"/>
        <v>0</v>
      </c>
      <c r="G79" s="301">
        <f t="shared" si="26"/>
        <v>0</v>
      </c>
      <c r="H79" s="330">
        <f t="shared" si="26"/>
        <v>3350</v>
      </c>
      <c r="I79" s="463">
        <f t="shared" si="26"/>
        <v>3350</v>
      </c>
      <c r="J79" s="464">
        <f t="shared" si="26"/>
        <v>0</v>
      </c>
      <c r="K79" s="301">
        <f t="shared" si="26"/>
        <v>0</v>
      </c>
      <c r="L79" s="300">
        <f t="shared" si="26"/>
        <v>3350</v>
      </c>
      <c r="M79" s="300">
        <f t="shared" si="26"/>
        <v>1338.08</v>
      </c>
      <c r="N79" s="301">
        <f t="shared" si="26"/>
        <v>0</v>
      </c>
      <c r="O79" s="301">
        <f t="shared" si="26"/>
        <v>0</v>
      </c>
      <c r="P79" s="330">
        <f t="shared" si="26"/>
        <v>1338.08</v>
      </c>
    </row>
    <row r="80" spans="1:16" ht="12.75">
      <c r="A80" s="570"/>
      <c r="B80" s="603"/>
      <c r="C80" s="331">
        <v>1</v>
      </c>
      <c r="D80" s="332" t="s">
        <v>305</v>
      </c>
      <c r="E80" s="282">
        <v>1800</v>
      </c>
      <c r="F80" s="283"/>
      <c r="G80" s="284"/>
      <c r="H80" s="272">
        <f>SUM(E80:G80)</f>
        <v>1800</v>
      </c>
      <c r="I80" s="285">
        <v>1800</v>
      </c>
      <c r="J80" s="284"/>
      <c r="K80" s="284"/>
      <c r="L80" s="273">
        <f>SUM(I80:K80)</f>
        <v>1800</v>
      </c>
      <c r="M80" s="282">
        <v>828</v>
      </c>
      <c r="N80" s="284"/>
      <c r="O80" s="284"/>
      <c r="P80" s="274">
        <f>SUM(M80:O80)</f>
        <v>828</v>
      </c>
    </row>
    <row r="81" spans="1:16" ht="13.5" thickBot="1">
      <c r="A81" s="571"/>
      <c r="B81" s="604"/>
      <c r="C81" s="333">
        <v>2</v>
      </c>
      <c r="D81" s="334" t="s">
        <v>306</v>
      </c>
      <c r="E81" s="335">
        <v>1550</v>
      </c>
      <c r="F81" s="336"/>
      <c r="G81" s="337"/>
      <c r="H81" s="338">
        <f>SUM(E81:G81)</f>
        <v>1550</v>
      </c>
      <c r="I81" s="470">
        <v>1550</v>
      </c>
      <c r="J81" s="337"/>
      <c r="K81" s="337"/>
      <c r="L81" s="336">
        <f>SUM(I81:K81)</f>
        <v>1550</v>
      </c>
      <c r="M81" s="335">
        <v>510.08</v>
      </c>
      <c r="N81" s="337"/>
      <c r="O81" s="337"/>
      <c r="P81" s="339">
        <f>SUM(M81:O81)</f>
        <v>510.08</v>
      </c>
    </row>
    <row r="82" spans="1:16" ht="15" thickBot="1">
      <c r="A82" s="596" t="s">
        <v>307</v>
      </c>
      <c r="B82" s="597"/>
      <c r="C82" s="597"/>
      <c r="D82" s="597"/>
      <c r="E82" s="340">
        <f aca="true" t="shared" si="27" ref="E82:P82">SUM(E83:E84)</f>
        <v>351000</v>
      </c>
      <c r="F82" s="341">
        <f t="shared" si="27"/>
        <v>0</v>
      </c>
      <c r="G82" s="342">
        <f t="shared" si="27"/>
        <v>0</v>
      </c>
      <c r="H82" s="343">
        <f t="shared" si="27"/>
        <v>351000</v>
      </c>
      <c r="I82" s="471">
        <f t="shared" si="27"/>
        <v>376965</v>
      </c>
      <c r="J82" s="472">
        <f t="shared" si="27"/>
        <v>0</v>
      </c>
      <c r="K82" s="342">
        <f t="shared" si="27"/>
        <v>0</v>
      </c>
      <c r="L82" s="341">
        <f t="shared" si="27"/>
        <v>376965</v>
      </c>
      <c r="M82" s="340">
        <f t="shared" si="27"/>
        <v>280364</v>
      </c>
      <c r="N82" s="342">
        <f t="shared" si="27"/>
        <v>0</v>
      </c>
      <c r="O82" s="342">
        <f t="shared" si="27"/>
        <v>0</v>
      </c>
      <c r="P82" s="345">
        <f t="shared" si="27"/>
        <v>280364</v>
      </c>
    </row>
    <row r="83" spans="1:16" ht="12.75">
      <c r="A83" s="598"/>
      <c r="B83" s="346">
        <v>1</v>
      </c>
      <c r="C83" s="600" t="s">
        <v>308</v>
      </c>
      <c r="D83" s="600"/>
      <c r="E83" s="347">
        <v>334000</v>
      </c>
      <c r="F83" s="348"/>
      <c r="G83" s="349"/>
      <c r="H83" s="350">
        <f>SUM(E83:G83)</f>
        <v>334000</v>
      </c>
      <c r="I83" s="473">
        <v>359365</v>
      </c>
      <c r="J83" s="474"/>
      <c r="K83" s="349"/>
      <c r="L83" s="348">
        <f>SUM(I83:K83)</f>
        <v>359365</v>
      </c>
      <c r="M83" s="416">
        <v>266123</v>
      </c>
      <c r="N83" s="418"/>
      <c r="O83" s="349"/>
      <c r="P83" s="352">
        <f>SUM(M83:O83)</f>
        <v>266123</v>
      </c>
    </row>
    <row r="84" spans="1:16" ht="13.5" thickBot="1">
      <c r="A84" s="599"/>
      <c r="B84" s="353">
        <v>2</v>
      </c>
      <c r="C84" s="601" t="s">
        <v>309</v>
      </c>
      <c r="D84" s="601"/>
      <c r="E84" s="354">
        <v>17000</v>
      </c>
      <c r="F84" s="355"/>
      <c r="G84" s="356"/>
      <c r="H84" s="357">
        <f>SUM(E84:G84)</f>
        <v>17000</v>
      </c>
      <c r="I84" s="475">
        <v>17600</v>
      </c>
      <c r="J84" s="476"/>
      <c r="K84" s="356"/>
      <c r="L84" s="358">
        <f>SUM(I84:K84)</f>
        <v>17600</v>
      </c>
      <c r="M84" s="417">
        <v>14241</v>
      </c>
      <c r="N84" s="356"/>
      <c r="O84" s="356"/>
      <c r="P84" s="359">
        <f>SUM(M84:O84)</f>
        <v>14241</v>
      </c>
    </row>
    <row r="85" spans="1:16" ht="13.5" thickBot="1">
      <c r="A85" s="360"/>
      <c r="B85" s="131"/>
      <c r="C85" s="131"/>
      <c r="D85" s="131"/>
      <c r="E85" s="131"/>
      <c r="F85" s="131"/>
      <c r="G85" s="361"/>
      <c r="H85" s="131"/>
      <c r="I85" s="131"/>
      <c r="J85" s="131"/>
      <c r="K85" s="131"/>
      <c r="L85" s="131"/>
      <c r="M85" s="360"/>
      <c r="N85" s="131"/>
      <c r="O85" s="131"/>
      <c r="P85" s="362"/>
    </row>
    <row r="86" spans="1:16" ht="45" customHeight="1" thickBot="1">
      <c r="A86" s="605" t="s">
        <v>310</v>
      </c>
      <c r="B86" s="606"/>
      <c r="C86" s="606"/>
      <c r="D86" s="606"/>
      <c r="E86" s="363" t="s">
        <v>311</v>
      </c>
      <c r="F86" s="364" t="s">
        <v>312</v>
      </c>
      <c r="G86" s="365" t="s">
        <v>313</v>
      </c>
      <c r="H86" s="366" t="s">
        <v>238</v>
      </c>
      <c r="I86" s="367" t="s">
        <v>311</v>
      </c>
      <c r="J86" s="365" t="s">
        <v>312</v>
      </c>
      <c r="K86" s="364" t="s">
        <v>313</v>
      </c>
      <c r="L86" s="364" t="s">
        <v>238</v>
      </c>
      <c r="M86" s="363" t="s">
        <v>311</v>
      </c>
      <c r="N86" s="365" t="s">
        <v>312</v>
      </c>
      <c r="O86" s="364" t="s">
        <v>313</v>
      </c>
      <c r="P86" s="368" t="s">
        <v>238</v>
      </c>
    </row>
    <row r="87" spans="1:16" ht="15.75" thickBot="1">
      <c r="A87" s="607" t="s">
        <v>314</v>
      </c>
      <c r="B87" s="608"/>
      <c r="C87" s="608"/>
      <c r="D87" s="608"/>
      <c r="E87" s="369">
        <v>1266364</v>
      </c>
      <c r="F87" s="370">
        <v>210370</v>
      </c>
      <c r="G87" s="371">
        <v>30427</v>
      </c>
      <c r="H87" s="372">
        <f>SUM(E87:G87)</f>
        <v>1507161</v>
      </c>
      <c r="I87" s="373">
        <v>1415657</v>
      </c>
      <c r="J87" s="370">
        <v>593259</v>
      </c>
      <c r="K87" s="371">
        <v>22748</v>
      </c>
      <c r="L87" s="370">
        <f>SUM(I87:K87)</f>
        <v>2031664</v>
      </c>
      <c r="M87" s="369">
        <v>966730</v>
      </c>
      <c r="N87" s="370">
        <v>52687</v>
      </c>
      <c r="O87" s="371">
        <v>3342</v>
      </c>
      <c r="P87" s="372">
        <f>SUM(M87:O87)</f>
        <v>1022759</v>
      </c>
    </row>
    <row r="88" spans="1:16" ht="15.75" thickBot="1">
      <c r="A88" s="607" t="s">
        <v>315</v>
      </c>
      <c r="B88" s="608"/>
      <c r="C88" s="608"/>
      <c r="D88" s="608"/>
      <c r="E88" s="374">
        <f aca="true" t="shared" si="28" ref="E88:P88">E5+E82</f>
        <v>1209041</v>
      </c>
      <c r="F88" s="374">
        <f t="shared" si="28"/>
        <v>257420</v>
      </c>
      <c r="G88" s="374">
        <f t="shared" si="28"/>
        <v>40700</v>
      </c>
      <c r="H88" s="374">
        <f t="shared" si="28"/>
        <v>1507161</v>
      </c>
      <c r="I88" s="374">
        <f t="shared" si="28"/>
        <v>1331755</v>
      </c>
      <c r="J88" s="374">
        <f t="shared" si="28"/>
        <v>659209</v>
      </c>
      <c r="K88" s="374">
        <f t="shared" si="28"/>
        <v>40700</v>
      </c>
      <c r="L88" s="374">
        <f t="shared" si="28"/>
        <v>2031664</v>
      </c>
      <c r="M88" s="374">
        <f t="shared" si="28"/>
        <v>866238.3900000001</v>
      </c>
      <c r="N88" s="374">
        <f t="shared" si="28"/>
        <v>72845.27</v>
      </c>
      <c r="O88" s="374">
        <f t="shared" si="28"/>
        <v>22641.97</v>
      </c>
      <c r="P88" s="374">
        <f t="shared" si="28"/>
        <v>961725.6299999999</v>
      </c>
    </row>
    <row r="89" spans="1:16" ht="13.5" thickBot="1">
      <c r="A89" s="609" t="s">
        <v>316</v>
      </c>
      <c r="B89" s="610"/>
      <c r="C89" s="610"/>
      <c r="D89" s="610"/>
      <c r="E89" s="375">
        <f aca="true" t="shared" si="29" ref="E89:P89">E87-E88</f>
        <v>57323</v>
      </c>
      <c r="F89" s="376">
        <f t="shared" si="29"/>
        <v>-47050</v>
      </c>
      <c r="G89" s="377">
        <f t="shared" si="29"/>
        <v>-10273</v>
      </c>
      <c r="H89" s="378">
        <f t="shared" si="29"/>
        <v>0</v>
      </c>
      <c r="I89" s="379">
        <f t="shared" si="29"/>
        <v>83902</v>
      </c>
      <c r="J89" s="380">
        <f t="shared" si="29"/>
        <v>-65950</v>
      </c>
      <c r="K89" s="380">
        <f t="shared" si="29"/>
        <v>-17952</v>
      </c>
      <c r="L89" s="376">
        <f t="shared" si="29"/>
        <v>0</v>
      </c>
      <c r="M89" s="375">
        <f t="shared" si="29"/>
        <v>100491.60999999987</v>
      </c>
      <c r="N89" s="380">
        <f t="shared" si="29"/>
        <v>-20158.270000000004</v>
      </c>
      <c r="O89" s="380">
        <f t="shared" si="29"/>
        <v>-19299.97</v>
      </c>
      <c r="P89" s="444">
        <f t="shared" si="29"/>
        <v>61033.37000000011</v>
      </c>
    </row>
  </sheetData>
  <sheetProtection/>
  <mergeCells count="83">
    <mergeCell ref="A86:D86"/>
    <mergeCell ref="A87:D87"/>
    <mergeCell ref="A88:D88"/>
    <mergeCell ref="A89:D89"/>
    <mergeCell ref="C70:D70"/>
    <mergeCell ref="A82:D82"/>
    <mergeCell ref="A83:A84"/>
    <mergeCell ref="C83:D83"/>
    <mergeCell ref="C84:D84"/>
    <mergeCell ref="A72:A81"/>
    <mergeCell ref="C72:D72"/>
    <mergeCell ref="B73:B78"/>
    <mergeCell ref="C73:D73"/>
    <mergeCell ref="B79:B81"/>
    <mergeCell ref="C79:D79"/>
    <mergeCell ref="A71:D71"/>
    <mergeCell ref="C66:D66"/>
    <mergeCell ref="A63:A67"/>
    <mergeCell ref="C67:D67"/>
    <mergeCell ref="A68:D68"/>
    <mergeCell ref="C63:D63"/>
    <mergeCell ref="C64:D64"/>
    <mergeCell ref="C65:D65"/>
    <mergeCell ref="A69:A70"/>
    <mergeCell ref="C69:D69"/>
    <mergeCell ref="A50:D50"/>
    <mergeCell ref="A51:A61"/>
    <mergeCell ref="B51:B57"/>
    <mergeCell ref="C51:D51"/>
    <mergeCell ref="C59:D59"/>
    <mergeCell ref="C60:D60"/>
    <mergeCell ref="C43:D43"/>
    <mergeCell ref="C44:D44"/>
    <mergeCell ref="C45:D45"/>
    <mergeCell ref="A62:D62"/>
    <mergeCell ref="C61:D61"/>
    <mergeCell ref="A47:D47"/>
    <mergeCell ref="A48:A49"/>
    <mergeCell ref="C48:D48"/>
    <mergeCell ref="C49:D49"/>
    <mergeCell ref="C46:D46"/>
    <mergeCell ref="A36:D36"/>
    <mergeCell ref="C37:D37"/>
    <mergeCell ref="A38:D38"/>
    <mergeCell ref="A39:A41"/>
    <mergeCell ref="C39:D39"/>
    <mergeCell ref="C40:D40"/>
    <mergeCell ref="C41:D41"/>
    <mergeCell ref="A42:D42"/>
    <mergeCell ref="A43:A46"/>
    <mergeCell ref="C26:D26"/>
    <mergeCell ref="B27:B30"/>
    <mergeCell ref="C27:D27"/>
    <mergeCell ref="B31:B32"/>
    <mergeCell ref="C31:D31"/>
    <mergeCell ref="A33:D33"/>
    <mergeCell ref="A34:A35"/>
    <mergeCell ref="C34:D34"/>
    <mergeCell ref="C35:D35"/>
    <mergeCell ref="A14:D14"/>
    <mergeCell ref="A15:A32"/>
    <mergeCell ref="B15:B17"/>
    <mergeCell ref="C15:D15"/>
    <mergeCell ref="C18:D18"/>
    <mergeCell ref="B19:B21"/>
    <mergeCell ref="C19:D19"/>
    <mergeCell ref="B22:B24"/>
    <mergeCell ref="C22:D22"/>
    <mergeCell ref="C25:D25"/>
    <mergeCell ref="A6:D6"/>
    <mergeCell ref="A7:A13"/>
    <mergeCell ref="B7:B9"/>
    <mergeCell ref="C7:D7"/>
    <mergeCell ref="C10:D10"/>
    <mergeCell ref="C11:D11"/>
    <mergeCell ref="C12:D12"/>
    <mergeCell ref="C13:D13"/>
    <mergeCell ref="A1:P1"/>
    <mergeCell ref="A2:H2"/>
    <mergeCell ref="A3:D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.00390625" style="0" customWidth="1"/>
    <col min="2" max="2" width="2.00390625" style="0" customWidth="1"/>
    <col min="3" max="3" width="2.7109375" style="0" customWidth="1"/>
    <col min="4" max="4" width="27.57421875" style="0" customWidth="1"/>
    <col min="5" max="5" width="7.8515625" style="0" customWidth="1"/>
    <col min="6" max="6" width="7.421875" style="0" customWidth="1"/>
    <col min="7" max="7" width="7.7109375" style="0" customWidth="1"/>
    <col min="9" max="10" width="7.57421875" style="0" customWidth="1"/>
    <col min="11" max="11" width="7.140625" style="0" customWidth="1"/>
    <col min="12" max="12" width="8.7109375" style="0" customWidth="1"/>
    <col min="13" max="13" width="7.57421875" style="0" customWidth="1"/>
    <col min="14" max="14" width="7.28125" style="0" customWidth="1"/>
    <col min="15" max="16" width="7.7109375" style="0" customWidth="1"/>
  </cols>
  <sheetData>
    <row r="1" spans="1:16" ht="18">
      <c r="A1" s="552" t="s">
        <v>317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8.75" thickBot="1">
      <c r="A2" s="553" t="s">
        <v>350</v>
      </c>
      <c r="B2" s="553"/>
      <c r="C2" s="553"/>
      <c r="D2" s="553"/>
      <c r="E2" s="553"/>
      <c r="F2" s="553"/>
      <c r="G2" s="553"/>
      <c r="H2" s="553"/>
      <c r="I2" s="204" t="s">
        <v>408</v>
      </c>
      <c r="J2" s="204"/>
      <c r="K2" s="204"/>
      <c r="L2" s="204"/>
      <c r="M2" s="205"/>
      <c r="N2" s="205"/>
      <c r="O2" s="205"/>
      <c r="P2" s="205"/>
    </row>
    <row r="3" spans="1:16" ht="13.5" thickBot="1">
      <c r="A3" s="554" t="s">
        <v>234</v>
      </c>
      <c r="B3" s="555"/>
      <c r="C3" s="555"/>
      <c r="D3" s="556"/>
      <c r="E3" s="560" t="s">
        <v>351</v>
      </c>
      <c r="F3" s="561"/>
      <c r="G3" s="561"/>
      <c r="H3" s="562"/>
      <c r="I3" s="563" t="s">
        <v>352</v>
      </c>
      <c r="J3" s="563"/>
      <c r="K3" s="563"/>
      <c r="L3" s="564"/>
      <c r="M3" s="560" t="s">
        <v>406</v>
      </c>
      <c r="N3" s="561"/>
      <c r="O3" s="561"/>
      <c r="P3" s="562"/>
    </row>
    <row r="4" spans="1:16" ht="45" customHeight="1" thickBot="1">
      <c r="A4" s="557"/>
      <c r="B4" s="558"/>
      <c r="C4" s="558"/>
      <c r="D4" s="559"/>
      <c r="E4" s="206" t="s">
        <v>235</v>
      </c>
      <c r="F4" s="207" t="s">
        <v>236</v>
      </c>
      <c r="G4" s="208" t="s">
        <v>237</v>
      </c>
      <c r="H4" s="209" t="s">
        <v>238</v>
      </c>
      <c r="I4" s="210" t="s">
        <v>235</v>
      </c>
      <c r="J4" s="208" t="s">
        <v>236</v>
      </c>
      <c r="K4" s="207" t="s">
        <v>237</v>
      </c>
      <c r="L4" s="207" t="s">
        <v>238</v>
      </c>
      <c r="M4" s="206" t="s">
        <v>235</v>
      </c>
      <c r="N4" s="208" t="s">
        <v>236</v>
      </c>
      <c r="O4" s="207" t="s">
        <v>237</v>
      </c>
      <c r="P4" s="211" t="s">
        <v>238</v>
      </c>
    </row>
    <row r="5" spans="1:16" ht="50.25" thickBot="1">
      <c r="A5" s="212" t="s">
        <v>239</v>
      </c>
      <c r="B5" s="213" t="s">
        <v>240</v>
      </c>
      <c r="C5" s="214" t="s">
        <v>241</v>
      </c>
      <c r="D5" s="215" t="s">
        <v>242</v>
      </c>
      <c r="E5" s="216">
        <f aca="true" t="shared" si="0" ref="E5:P5">E6+E14+E33+E36+E38+E42+E47+E50+E61+E66+E69</f>
        <v>858041</v>
      </c>
      <c r="F5" s="216">
        <f t="shared" si="0"/>
        <v>257420</v>
      </c>
      <c r="G5" s="216">
        <f t="shared" si="0"/>
        <v>40700</v>
      </c>
      <c r="H5" s="216">
        <f t="shared" si="0"/>
        <v>1156161</v>
      </c>
      <c r="I5" s="216">
        <f t="shared" si="0"/>
        <v>939740</v>
      </c>
      <c r="J5" s="216">
        <f t="shared" si="0"/>
        <v>659209</v>
      </c>
      <c r="K5" s="216">
        <f t="shared" si="0"/>
        <v>40700</v>
      </c>
      <c r="L5" s="217">
        <f t="shared" si="0"/>
        <v>1639649</v>
      </c>
      <c r="M5" s="216">
        <f t="shared" si="0"/>
        <v>413259.56</v>
      </c>
      <c r="N5" s="216">
        <f t="shared" si="0"/>
        <v>62890.990000000005</v>
      </c>
      <c r="O5" s="216">
        <f t="shared" si="0"/>
        <v>15038.03</v>
      </c>
      <c r="P5" s="218">
        <f t="shared" si="0"/>
        <v>491188.58</v>
      </c>
    </row>
    <row r="6" spans="1:16" ht="15" thickBot="1">
      <c r="A6" s="567" t="s">
        <v>243</v>
      </c>
      <c r="B6" s="568"/>
      <c r="C6" s="568"/>
      <c r="D6" s="568"/>
      <c r="E6" s="219">
        <f aca="true" t="shared" si="1" ref="E6:P6">SUM(E7:E13)-E8-E9</f>
        <v>164301</v>
      </c>
      <c r="F6" s="219">
        <f t="shared" si="1"/>
        <v>30000</v>
      </c>
      <c r="G6" s="219">
        <f t="shared" si="1"/>
        <v>40700</v>
      </c>
      <c r="H6" s="219">
        <f t="shared" si="1"/>
        <v>235001</v>
      </c>
      <c r="I6" s="223">
        <f t="shared" si="1"/>
        <v>203781</v>
      </c>
      <c r="J6" s="224">
        <f t="shared" si="1"/>
        <v>33681</v>
      </c>
      <c r="K6" s="224">
        <f t="shared" si="1"/>
        <v>40700</v>
      </c>
      <c r="L6" s="225">
        <f t="shared" si="1"/>
        <v>278162</v>
      </c>
      <c r="M6" s="219">
        <f t="shared" si="1"/>
        <v>94961.37999999999</v>
      </c>
      <c r="N6" s="221">
        <f t="shared" si="1"/>
        <v>2260.84</v>
      </c>
      <c r="O6" s="221">
        <f t="shared" si="1"/>
        <v>15038.03</v>
      </c>
      <c r="P6" s="226">
        <f t="shared" si="1"/>
        <v>112260.24999999999</v>
      </c>
    </row>
    <row r="7" spans="1:16" ht="12.75">
      <c r="A7" s="569">
        <v>1</v>
      </c>
      <c r="B7" s="572">
        <v>1</v>
      </c>
      <c r="C7" s="565" t="s">
        <v>244</v>
      </c>
      <c r="D7" s="566"/>
      <c r="E7" s="227">
        <f aca="true" t="shared" si="2" ref="E7:P7">E8+E9</f>
        <v>152051</v>
      </c>
      <c r="F7" s="228">
        <f t="shared" si="2"/>
        <v>0</v>
      </c>
      <c r="G7" s="228">
        <f t="shared" si="2"/>
        <v>0</v>
      </c>
      <c r="H7" s="229">
        <f t="shared" si="2"/>
        <v>152051</v>
      </c>
      <c r="I7" s="440">
        <f t="shared" si="2"/>
        <v>153785</v>
      </c>
      <c r="J7" s="230">
        <f t="shared" si="2"/>
        <v>0</v>
      </c>
      <c r="K7" s="230">
        <f t="shared" si="2"/>
        <v>0</v>
      </c>
      <c r="L7" s="231">
        <f t="shared" si="2"/>
        <v>153785</v>
      </c>
      <c r="M7" s="227">
        <f t="shared" si="2"/>
        <v>66428.23</v>
      </c>
      <c r="N7" s="228">
        <f t="shared" si="2"/>
        <v>0</v>
      </c>
      <c r="O7" s="228">
        <f t="shared" si="2"/>
        <v>0</v>
      </c>
      <c r="P7" s="229">
        <f t="shared" si="2"/>
        <v>66428.23</v>
      </c>
    </row>
    <row r="8" spans="1:16" ht="12.75">
      <c r="A8" s="570"/>
      <c r="B8" s="573"/>
      <c r="C8" s="233">
        <v>1</v>
      </c>
      <c r="D8" s="234" t="s">
        <v>245</v>
      </c>
      <c r="E8" s="235">
        <v>147521</v>
      </c>
      <c r="F8" s="236"/>
      <c r="G8" s="237"/>
      <c r="H8" s="238">
        <f aca="true" t="shared" si="3" ref="H8:H13">SUM(E8:G8)</f>
        <v>147521</v>
      </c>
      <c r="I8" s="438">
        <v>149255</v>
      </c>
      <c r="J8" s="237"/>
      <c r="K8" s="237"/>
      <c r="L8" s="236">
        <f aca="true" t="shared" si="4" ref="L8:L13">SUM(I8:K8)</f>
        <v>149255</v>
      </c>
      <c r="M8" s="235">
        <v>65813.56</v>
      </c>
      <c r="N8" s="237"/>
      <c r="O8" s="237"/>
      <c r="P8" s="239">
        <f aca="true" t="shared" si="5" ref="P8:P13">SUM(M8:O8)</f>
        <v>65813.56</v>
      </c>
    </row>
    <row r="9" spans="1:16" ht="12.75">
      <c r="A9" s="570"/>
      <c r="B9" s="574"/>
      <c r="C9" s="233">
        <v>2</v>
      </c>
      <c r="D9" s="234" t="s">
        <v>246</v>
      </c>
      <c r="E9" s="235">
        <v>4530</v>
      </c>
      <c r="F9" s="236"/>
      <c r="G9" s="237"/>
      <c r="H9" s="238">
        <f t="shared" si="3"/>
        <v>4530</v>
      </c>
      <c r="I9" s="240">
        <v>4530</v>
      </c>
      <c r="J9" s="237"/>
      <c r="K9" s="237"/>
      <c r="L9" s="236">
        <f t="shared" si="4"/>
        <v>4530</v>
      </c>
      <c r="M9" s="235">
        <v>614.67</v>
      </c>
      <c r="N9" s="237"/>
      <c r="O9" s="237"/>
      <c r="P9" s="239">
        <f t="shared" si="5"/>
        <v>614.67</v>
      </c>
    </row>
    <row r="10" spans="1:16" ht="12.75">
      <c r="A10" s="570"/>
      <c r="B10" s="241">
        <v>2</v>
      </c>
      <c r="C10" s="565" t="s">
        <v>247</v>
      </c>
      <c r="D10" s="566"/>
      <c r="E10" s="242">
        <v>6350</v>
      </c>
      <c r="F10" s="243"/>
      <c r="G10" s="244"/>
      <c r="H10" s="245">
        <f t="shared" si="3"/>
        <v>6350</v>
      </c>
      <c r="I10" s="246">
        <v>6350</v>
      </c>
      <c r="J10" s="244"/>
      <c r="K10" s="244"/>
      <c r="L10" s="243">
        <f t="shared" si="4"/>
        <v>6350</v>
      </c>
      <c r="M10" s="242">
        <v>2912.19</v>
      </c>
      <c r="N10" s="244"/>
      <c r="O10" s="244"/>
      <c r="P10" s="247">
        <f t="shared" si="5"/>
        <v>2912.19</v>
      </c>
    </row>
    <row r="11" spans="1:16" ht="12.75">
      <c r="A11" s="570"/>
      <c r="B11" s="248">
        <v>3</v>
      </c>
      <c r="C11" s="575" t="s">
        <v>248</v>
      </c>
      <c r="D11" s="576"/>
      <c r="E11" s="242">
        <v>1500</v>
      </c>
      <c r="F11" s="243"/>
      <c r="G11" s="249"/>
      <c r="H11" s="245">
        <f t="shared" si="3"/>
        <v>1500</v>
      </c>
      <c r="I11" s="246">
        <v>1500</v>
      </c>
      <c r="J11" s="244"/>
      <c r="K11" s="249"/>
      <c r="L11" s="243">
        <f t="shared" si="4"/>
        <v>1500</v>
      </c>
      <c r="M11" s="242">
        <v>1178.58</v>
      </c>
      <c r="N11" s="244"/>
      <c r="O11" s="249"/>
      <c r="P11" s="247">
        <f t="shared" si="5"/>
        <v>1178.58</v>
      </c>
    </row>
    <row r="12" spans="1:16" ht="12.75">
      <c r="A12" s="570"/>
      <c r="B12" s="250">
        <v>4</v>
      </c>
      <c r="C12" s="577" t="s">
        <v>249</v>
      </c>
      <c r="D12" s="576"/>
      <c r="E12" s="251">
        <v>0</v>
      </c>
      <c r="F12" s="252">
        <v>30000</v>
      </c>
      <c r="G12" s="253">
        <v>40700</v>
      </c>
      <c r="H12" s="245">
        <f t="shared" si="3"/>
        <v>70700</v>
      </c>
      <c r="I12" s="297">
        <v>37746</v>
      </c>
      <c r="J12" s="255">
        <v>33681</v>
      </c>
      <c r="K12" s="412">
        <v>40700</v>
      </c>
      <c r="L12" s="243">
        <f t="shared" si="4"/>
        <v>112127</v>
      </c>
      <c r="M12" s="251">
        <v>23834.91</v>
      </c>
      <c r="N12" s="256">
        <v>2260.84</v>
      </c>
      <c r="O12" s="253">
        <v>15038.03</v>
      </c>
      <c r="P12" s="247">
        <f t="shared" si="5"/>
        <v>41133.78</v>
      </c>
    </row>
    <row r="13" spans="1:16" ht="13.5" thickBot="1">
      <c r="A13" s="571"/>
      <c r="B13" s="257">
        <v>5</v>
      </c>
      <c r="C13" s="578" t="s">
        <v>250</v>
      </c>
      <c r="D13" s="579"/>
      <c r="E13" s="258">
        <f>2000+1000+1400</f>
        <v>4400</v>
      </c>
      <c r="F13" s="259"/>
      <c r="G13" s="260"/>
      <c r="H13" s="261">
        <f t="shared" si="3"/>
        <v>4400</v>
      </c>
      <c r="I13" s="324">
        <f>2000+1000+1400</f>
        <v>4400</v>
      </c>
      <c r="J13" s="262"/>
      <c r="K13" s="260"/>
      <c r="L13" s="263">
        <f t="shared" si="4"/>
        <v>4400</v>
      </c>
      <c r="M13" s="258">
        <f>357.39+33.58+216.5</f>
        <v>607.47</v>
      </c>
      <c r="N13" s="262"/>
      <c r="O13" s="260"/>
      <c r="P13" s="264">
        <f t="shared" si="5"/>
        <v>607.47</v>
      </c>
    </row>
    <row r="14" spans="1:16" ht="15" thickBot="1">
      <c r="A14" s="580" t="s">
        <v>251</v>
      </c>
      <c r="B14" s="581"/>
      <c r="C14" s="581"/>
      <c r="D14" s="581"/>
      <c r="E14" s="265">
        <f aca="true" t="shared" si="6" ref="E14:P14">E15+E18+E19+E22+E25+E26+E27+E31</f>
        <v>161140</v>
      </c>
      <c r="F14" s="224">
        <f t="shared" si="6"/>
        <v>7550</v>
      </c>
      <c r="G14" s="224">
        <f t="shared" si="6"/>
        <v>0</v>
      </c>
      <c r="H14" s="266">
        <f t="shared" si="6"/>
        <v>168690</v>
      </c>
      <c r="I14" s="223">
        <f t="shared" si="6"/>
        <v>162374</v>
      </c>
      <c r="J14" s="224">
        <f t="shared" si="6"/>
        <v>7550</v>
      </c>
      <c r="K14" s="224">
        <f t="shared" si="6"/>
        <v>0</v>
      </c>
      <c r="L14" s="225">
        <f t="shared" si="6"/>
        <v>169924</v>
      </c>
      <c r="M14" s="265">
        <f t="shared" si="6"/>
        <v>64212.649999999994</v>
      </c>
      <c r="N14" s="224">
        <f t="shared" si="6"/>
        <v>7550</v>
      </c>
      <c r="O14" s="224">
        <f t="shared" si="6"/>
        <v>0</v>
      </c>
      <c r="P14" s="266">
        <f t="shared" si="6"/>
        <v>71762.65000000001</v>
      </c>
    </row>
    <row r="15" spans="1:16" ht="12.75">
      <c r="A15" s="582">
        <v>2</v>
      </c>
      <c r="B15" s="583">
        <v>1</v>
      </c>
      <c r="C15" s="584" t="s">
        <v>252</v>
      </c>
      <c r="D15" s="585"/>
      <c r="E15" s="267">
        <f aca="true" t="shared" si="7" ref="E15:P15">E16+E17</f>
        <v>400</v>
      </c>
      <c r="F15" s="268">
        <f t="shared" si="7"/>
        <v>0</v>
      </c>
      <c r="G15" s="268">
        <f t="shared" si="7"/>
        <v>0</v>
      </c>
      <c r="H15" s="269">
        <f t="shared" si="7"/>
        <v>400</v>
      </c>
      <c r="I15" s="270">
        <f t="shared" si="7"/>
        <v>400</v>
      </c>
      <c r="J15" s="268">
        <f t="shared" si="7"/>
        <v>0</v>
      </c>
      <c r="K15" s="268">
        <f t="shared" si="7"/>
        <v>0</v>
      </c>
      <c r="L15" s="271">
        <f t="shared" si="7"/>
        <v>400</v>
      </c>
      <c r="M15" s="267">
        <f t="shared" si="7"/>
        <v>0</v>
      </c>
      <c r="N15" s="268">
        <f t="shared" si="7"/>
        <v>0</v>
      </c>
      <c r="O15" s="268">
        <f t="shared" si="7"/>
        <v>0</v>
      </c>
      <c r="P15" s="269">
        <f t="shared" si="7"/>
        <v>0</v>
      </c>
    </row>
    <row r="16" spans="1:16" ht="12.75">
      <c r="A16" s="570"/>
      <c r="B16" s="573"/>
      <c r="C16" s="233">
        <v>1</v>
      </c>
      <c r="D16" s="234" t="s">
        <v>143</v>
      </c>
      <c r="E16" s="235">
        <v>300</v>
      </c>
      <c r="F16" s="236"/>
      <c r="G16" s="237"/>
      <c r="H16" s="272">
        <f>SUM(E16:G16)</f>
        <v>300</v>
      </c>
      <c r="I16" s="240">
        <v>300</v>
      </c>
      <c r="J16" s="237"/>
      <c r="K16" s="237"/>
      <c r="L16" s="273">
        <f>SUM(I16:K16)</f>
        <v>300</v>
      </c>
      <c r="M16" s="235">
        <v>0</v>
      </c>
      <c r="N16" s="237"/>
      <c r="O16" s="237"/>
      <c r="P16" s="274">
        <f>SUM(M16:O16)</f>
        <v>0</v>
      </c>
    </row>
    <row r="17" spans="1:16" ht="12.75">
      <c r="A17" s="570"/>
      <c r="B17" s="574"/>
      <c r="C17" s="233">
        <v>2</v>
      </c>
      <c r="D17" s="234" t="s">
        <v>112</v>
      </c>
      <c r="E17" s="235">
        <v>100</v>
      </c>
      <c r="F17" s="236"/>
      <c r="G17" s="237"/>
      <c r="H17" s="272">
        <f>SUM(E17:G17)</f>
        <v>100</v>
      </c>
      <c r="I17" s="240">
        <v>100</v>
      </c>
      <c r="J17" s="237"/>
      <c r="K17" s="237"/>
      <c r="L17" s="273">
        <f>SUM(I17:K17)</f>
        <v>100</v>
      </c>
      <c r="M17" s="235">
        <v>0</v>
      </c>
      <c r="N17" s="237"/>
      <c r="O17" s="237"/>
      <c r="P17" s="274">
        <f>SUM(M17:O17)</f>
        <v>0</v>
      </c>
    </row>
    <row r="18" spans="1:16" ht="12.75">
      <c r="A18" s="570"/>
      <c r="B18" s="241">
        <v>2</v>
      </c>
      <c r="C18" s="565" t="s">
        <v>253</v>
      </c>
      <c r="D18" s="566"/>
      <c r="E18" s="242">
        <v>3700</v>
      </c>
      <c r="F18" s="243"/>
      <c r="G18" s="244"/>
      <c r="H18" s="245">
        <f>SUM(E18:G18)</f>
        <v>3700</v>
      </c>
      <c r="I18" s="275">
        <v>3734</v>
      </c>
      <c r="J18" s="244"/>
      <c r="K18" s="244"/>
      <c r="L18" s="243">
        <f>SUM(I18:K18)</f>
        <v>3734</v>
      </c>
      <c r="M18" s="242">
        <v>2075.86</v>
      </c>
      <c r="N18" s="244"/>
      <c r="O18" s="244"/>
      <c r="P18" s="247">
        <f>SUM(M18:O18)</f>
        <v>2075.86</v>
      </c>
    </row>
    <row r="19" spans="1:16" ht="12.75">
      <c r="A19" s="570"/>
      <c r="B19" s="572">
        <v>3</v>
      </c>
      <c r="C19" s="565" t="s">
        <v>254</v>
      </c>
      <c r="D19" s="566"/>
      <c r="E19" s="242">
        <f aca="true" t="shared" si="8" ref="E19:P19">E20+E21</f>
        <v>8500</v>
      </c>
      <c r="F19" s="244">
        <f t="shared" si="8"/>
        <v>0</v>
      </c>
      <c r="G19" s="244">
        <f t="shared" si="8"/>
        <v>0</v>
      </c>
      <c r="H19" s="247">
        <f t="shared" si="8"/>
        <v>8500</v>
      </c>
      <c r="I19" s="275">
        <f t="shared" si="8"/>
        <v>9000</v>
      </c>
      <c r="J19" s="244">
        <f t="shared" si="8"/>
        <v>0</v>
      </c>
      <c r="K19" s="244">
        <f t="shared" si="8"/>
        <v>0</v>
      </c>
      <c r="L19" s="243">
        <f t="shared" si="8"/>
        <v>9000</v>
      </c>
      <c r="M19" s="242">
        <f t="shared" si="8"/>
        <v>3064.77</v>
      </c>
      <c r="N19" s="244">
        <f t="shared" si="8"/>
        <v>0</v>
      </c>
      <c r="O19" s="244">
        <f t="shared" si="8"/>
        <v>0</v>
      </c>
      <c r="P19" s="247">
        <f t="shared" si="8"/>
        <v>3064.77</v>
      </c>
    </row>
    <row r="20" spans="1:16" ht="12.75">
      <c r="A20" s="570"/>
      <c r="B20" s="573"/>
      <c r="C20" s="233">
        <v>1</v>
      </c>
      <c r="D20" s="234" t="s">
        <v>255</v>
      </c>
      <c r="E20" s="276">
        <v>5000</v>
      </c>
      <c r="F20" s="273"/>
      <c r="G20" s="277"/>
      <c r="H20" s="272">
        <f>SUM(E20:G20)</f>
        <v>5000</v>
      </c>
      <c r="I20" s="278">
        <v>5000</v>
      </c>
      <c r="J20" s="277"/>
      <c r="K20" s="277"/>
      <c r="L20" s="273">
        <f>SUM(I20:K20)</f>
        <v>5000</v>
      </c>
      <c r="M20" s="276">
        <v>1365.65</v>
      </c>
      <c r="N20" s="277"/>
      <c r="O20" s="277"/>
      <c r="P20" s="274">
        <f>SUM(M20:O20)</f>
        <v>1365.65</v>
      </c>
    </row>
    <row r="21" spans="1:16" ht="12.75">
      <c r="A21" s="570"/>
      <c r="B21" s="574"/>
      <c r="C21" s="233">
        <v>2</v>
      </c>
      <c r="D21" s="234" t="s">
        <v>256</v>
      </c>
      <c r="E21" s="276">
        <v>3500</v>
      </c>
      <c r="F21" s="273"/>
      <c r="G21" s="277"/>
      <c r="H21" s="272">
        <f>SUM(E21:G21)</f>
        <v>3500</v>
      </c>
      <c r="I21" s="439">
        <v>4000</v>
      </c>
      <c r="J21" s="277"/>
      <c r="K21" s="277"/>
      <c r="L21" s="273">
        <f>SUM(I21:K21)</f>
        <v>4000</v>
      </c>
      <c r="M21" s="276">
        <v>1699.12</v>
      </c>
      <c r="N21" s="277"/>
      <c r="O21" s="277"/>
      <c r="P21" s="274">
        <f>SUM(M21:O21)</f>
        <v>1699.12</v>
      </c>
    </row>
    <row r="22" spans="1:16" ht="12.75">
      <c r="A22" s="570"/>
      <c r="B22" s="572">
        <v>4</v>
      </c>
      <c r="C22" s="565" t="s">
        <v>257</v>
      </c>
      <c r="D22" s="566"/>
      <c r="E22" s="227">
        <f aca="true" t="shared" si="9" ref="E22:P22">SUM(E23:E24)</f>
        <v>2420</v>
      </c>
      <c r="F22" s="228">
        <f t="shared" si="9"/>
        <v>0</v>
      </c>
      <c r="G22" s="228">
        <f t="shared" si="9"/>
        <v>0</v>
      </c>
      <c r="H22" s="229">
        <f t="shared" si="9"/>
        <v>2420</v>
      </c>
      <c r="I22" s="441">
        <f t="shared" si="9"/>
        <v>3120</v>
      </c>
      <c r="J22" s="228">
        <f t="shared" si="9"/>
        <v>0</v>
      </c>
      <c r="K22" s="228">
        <f t="shared" si="9"/>
        <v>0</v>
      </c>
      <c r="L22" s="279">
        <f t="shared" si="9"/>
        <v>3120</v>
      </c>
      <c r="M22" s="227">
        <f t="shared" si="9"/>
        <v>1298.6799999999998</v>
      </c>
      <c r="N22" s="228">
        <f t="shared" si="9"/>
        <v>0</v>
      </c>
      <c r="O22" s="228">
        <f t="shared" si="9"/>
        <v>0</v>
      </c>
      <c r="P22" s="229">
        <f t="shared" si="9"/>
        <v>1298.6799999999998</v>
      </c>
    </row>
    <row r="23" spans="1:16" ht="12.75">
      <c r="A23" s="570"/>
      <c r="B23" s="573"/>
      <c r="C23" s="233">
        <v>1</v>
      </c>
      <c r="D23" s="234" t="s">
        <v>258</v>
      </c>
      <c r="E23" s="276">
        <v>1700</v>
      </c>
      <c r="F23" s="273"/>
      <c r="G23" s="277"/>
      <c r="H23" s="272">
        <f>SUM(E23:G23)</f>
        <v>1700</v>
      </c>
      <c r="I23" s="439">
        <v>2400</v>
      </c>
      <c r="J23" s="277"/>
      <c r="K23" s="277"/>
      <c r="L23" s="273">
        <f>SUM(I23:K23)</f>
        <v>2400</v>
      </c>
      <c r="M23" s="276">
        <v>1073.56</v>
      </c>
      <c r="N23" s="277"/>
      <c r="O23" s="277"/>
      <c r="P23" s="274">
        <f>SUM(M23:O23)</f>
        <v>1073.56</v>
      </c>
    </row>
    <row r="24" spans="1:16" ht="12.75">
      <c r="A24" s="570"/>
      <c r="B24" s="574"/>
      <c r="C24" s="280">
        <v>2</v>
      </c>
      <c r="D24" s="281" t="s">
        <v>259</v>
      </c>
      <c r="E24" s="282">
        <v>720</v>
      </c>
      <c r="F24" s="283"/>
      <c r="G24" s="284"/>
      <c r="H24" s="272">
        <f>SUM(E24:G24)</f>
        <v>720</v>
      </c>
      <c r="I24" s="285">
        <v>720</v>
      </c>
      <c r="J24" s="284"/>
      <c r="K24" s="284"/>
      <c r="L24" s="273">
        <f>SUM(I24:K24)</f>
        <v>720</v>
      </c>
      <c r="M24" s="282">
        <v>225.12</v>
      </c>
      <c r="N24" s="284"/>
      <c r="O24" s="284"/>
      <c r="P24" s="274">
        <f>SUM(M24:O24)</f>
        <v>225.12</v>
      </c>
    </row>
    <row r="25" spans="1:16" ht="12.75">
      <c r="A25" s="570"/>
      <c r="B25" s="286">
        <v>5</v>
      </c>
      <c r="C25" s="565" t="s">
        <v>260</v>
      </c>
      <c r="D25" s="566"/>
      <c r="E25" s="287">
        <v>14700</v>
      </c>
      <c r="F25" s="288"/>
      <c r="G25" s="289"/>
      <c r="H25" s="245">
        <f>SUM(E25:G25)</f>
        <v>14700</v>
      </c>
      <c r="I25" s="290">
        <v>14700</v>
      </c>
      <c r="J25" s="289"/>
      <c r="K25" s="289"/>
      <c r="L25" s="243">
        <f>SUM(I25:K25)</f>
        <v>14700</v>
      </c>
      <c r="M25" s="287">
        <v>8987.59</v>
      </c>
      <c r="N25" s="289"/>
      <c r="O25" s="289"/>
      <c r="P25" s="247">
        <f>SUM(M25:O25)</f>
        <v>8987.59</v>
      </c>
    </row>
    <row r="26" spans="1:16" ht="12.75">
      <c r="A26" s="570"/>
      <c r="B26" s="286">
        <v>6</v>
      </c>
      <c r="C26" s="565" t="s">
        <v>261</v>
      </c>
      <c r="D26" s="566"/>
      <c r="E26" s="287">
        <v>85420</v>
      </c>
      <c r="F26" s="288">
        <v>7550</v>
      </c>
      <c r="G26" s="289"/>
      <c r="H26" s="245">
        <f>SUM(E26:G26)</f>
        <v>92970</v>
      </c>
      <c r="I26" s="290">
        <v>85420</v>
      </c>
      <c r="J26" s="289">
        <v>7550</v>
      </c>
      <c r="K26" s="289"/>
      <c r="L26" s="243">
        <f>SUM(I26:K26)</f>
        <v>92970</v>
      </c>
      <c r="M26" s="287">
        <v>31412.41</v>
      </c>
      <c r="N26" s="289">
        <v>7550</v>
      </c>
      <c r="O26" s="289"/>
      <c r="P26" s="247">
        <f>SUM(M26:O26)</f>
        <v>38962.41</v>
      </c>
    </row>
    <row r="27" spans="1:16" ht="12.75">
      <c r="A27" s="570"/>
      <c r="B27" s="572">
        <v>7</v>
      </c>
      <c r="C27" s="565" t="s">
        <v>262</v>
      </c>
      <c r="D27" s="566"/>
      <c r="E27" s="287">
        <f aca="true" t="shared" si="10" ref="E27:P27">SUM(E28:E30)</f>
        <v>43000</v>
      </c>
      <c r="F27" s="289">
        <f t="shared" si="10"/>
        <v>0</v>
      </c>
      <c r="G27" s="289">
        <f t="shared" si="10"/>
        <v>0</v>
      </c>
      <c r="H27" s="291">
        <f t="shared" si="10"/>
        <v>43000</v>
      </c>
      <c r="I27" s="290">
        <f t="shared" si="10"/>
        <v>43000</v>
      </c>
      <c r="J27" s="289">
        <f t="shared" si="10"/>
        <v>0</v>
      </c>
      <c r="K27" s="289">
        <f t="shared" si="10"/>
        <v>0</v>
      </c>
      <c r="L27" s="288">
        <f t="shared" si="10"/>
        <v>43000</v>
      </c>
      <c r="M27" s="287">
        <f t="shared" si="10"/>
        <v>17373.34</v>
      </c>
      <c r="N27" s="289">
        <f t="shared" si="10"/>
        <v>0</v>
      </c>
      <c r="O27" s="289">
        <f t="shared" si="10"/>
        <v>0</v>
      </c>
      <c r="P27" s="291">
        <f t="shared" si="10"/>
        <v>17373.34</v>
      </c>
    </row>
    <row r="28" spans="1:16" ht="12.75">
      <c r="A28" s="570"/>
      <c r="B28" s="573"/>
      <c r="C28" s="233">
        <v>1</v>
      </c>
      <c r="D28" s="234" t="s">
        <v>85</v>
      </c>
      <c r="E28" s="235">
        <v>14000</v>
      </c>
      <c r="F28" s="236"/>
      <c r="G28" s="237"/>
      <c r="H28" s="272">
        <f>SUM(E28:G28)</f>
        <v>14000</v>
      </c>
      <c r="I28" s="240">
        <v>14000</v>
      </c>
      <c r="J28" s="237"/>
      <c r="K28" s="237"/>
      <c r="L28" s="273">
        <f>SUM(I28:K28)</f>
        <v>14000</v>
      </c>
      <c r="M28" s="235">
        <v>4034.15</v>
      </c>
      <c r="N28" s="237"/>
      <c r="O28" s="237"/>
      <c r="P28" s="274">
        <f>SUM(M28:O28)</f>
        <v>4034.15</v>
      </c>
    </row>
    <row r="29" spans="1:16" ht="12.75">
      <c r="A29" s="570"/>
      <c r="B29" s="573"/>
      <c r="C29" s="233">
        <v>2</v>
      </c>
      <c r="D29" s="234" t="s">
        <v>263</v>
      </c>
      <c r="E29" s="235">
        <v>18000</v>
      </c>
      <c r="F29" s="236"/>
      <c r="G29" s="237"/>
      <c r="H29" s="272">
        <f>SUM(E29:G29)</f>
        <v>18000</v>
      </c>
      <c r="I29" s="240">
        <v>18000</v>
      </c>
      <c r="J29" s="237"/>
      <c r="K29" s="237"/>
      <c r="L29" s="273">
        <f>SUM(I29:K29)</f>
        <v>18000</v>
      </c>
      <c r="M29" s="235">
        <v>7766.18</v>
      </c>
      <c r="N29" s="237"/>
      <c r="O29" s="237"/>
      <c r="P29" s="274">
        <f>SUM(M29:O29)</f>
        <v>7766.18</v>
      </c>
    </row>
    <row r="30" spans="1:16" ht="12.75">
      <c r="A30" s="570"/>
      <c r="B30" s="574"/>
      <c r="C30" s="233">
        <v>3</v>
      </c>
      <c r="D30" s="234" t="s">
        <v>264</v>
      </c>
      <c r="E30" s="235">
        <v>11000</v>
      </c>
      <c r="F30" s="236"/>
      <c r="G30" s="237"/>
      <c r="H30" s="272">
        <f>SUM(E30:G30)</f>
        <v>11000</v>
      </c>
      <c r="I30" s="240">
        <v>11000</v>
      </c>
      <c r="J30" s="237"/>
      <c r="K30" s="237"/>
      <c r="L30" s="273">
        <f>SUM(I30:K30)</f>
        <v>11000</v>
      </c>
      <c r="M30" s="235">
        <v>5573.01</v>
      </c>
      <c r="N30" s="237" t="s">
        <v>265</v>
      </c>
      <c r="O30" s="237"/>
      <c r="P30" s="274">
        <f>SUM(M30:O30)</f>
        <v>5573.01</v>
      </c>
    </row>
    <row r="31" spans="1:16" ht="12.75">
      <c r="A31" s="570"/>
      <c r="B31" s="572">
        <v>8</v>
      </c>
      <c r="C31" s="565" t="s">
        <v>266</v>
      </c>
      <c r="D31" s="566"/>
      <c r="E31" s="287">
        <f aca="true" t="shared" si="11" ref="E31:P31">SUM(E32:E32)</f>
        <v>3000</v>
      </c>
      <c r="F31" s="289">
        <f t="shared" si="11"/>
        <v>0</v>
      </c>
      <c r="G31" s="289">
        <f t="shared" si="11"/>
        <v>0</v>
      </c>
      <c r="H31" s="291">
        <f t="shared" si="11"/>
        <v>3000</v>
      </c>
      <c r="I31" s="290">
        <f t="shared" si="11"/>
        <v>3000</v>
      </c>
      <c r="J31" s="289">
        <f t="shared" si="11"/>
        <v>0</v>
      </c>
      <c r="K31" s="289">
        <f t="shared" si="11"/>
        <v>0</v>
      </c>
      <c r="L31" s="288">
        <f t="shared" si="11"/>
        <v>3000</v>
      </c>
      <c r="M31" s="287">
        <f t="shared" si="11"/>
        <v>0</v>
      </c>
      <c r="N31" s="289">
        <f t="shared" si="11"/>
        <v>0</v>
      </c>
      <c r="O31" s="289">
        <f t="shared" si="11"/>
        <v>0</v>
      </c>
      <c r="P31" s="291">
        <f t="shared" si="11"/>
        <v>0</v>
      </c>
    </row>
    <row r="32" spans="1:16" ht="13.5" thickBot="1">
      <c r="A32" s="570"/>
      <c r="B32" s="573"/>
      <c r="C32" s="233">
        <v>1</v>
      </c>
      <c r="D32" s="234" t="s">
        <v>74</v>
      </c>
      <c r="E32" s="235">
        <v>3000</v>
      </c>
      <c r="F32" s="236"/>
      <c r="G32" s="237"/>
      <c r="H32" s="272">
        <f>SUM(E32:G32)</f>
        <v>3000</v>
      </c>
      <c r="I32" s="240">
        <v>3000</v>
      </c>
      <c r="J32" s="237"/>
      <c r="K32" s="237"/>
      <c r="L32" s="273">
        <f>SUM(I32:K32)</f>
        <v>3000</v>
      </c>
      <c r="M32" s="235">
        <v>0</v>
      </c>
      <c r="N32" s="237"/>
      <c r="O32" s="237"/>
      <c r="P32" s="274">
        <f>SUM(M32:O32)</f>
        <v>0</v>
      </c>
    </row>
    <row r="33" spans="1:16" ht="14.25">
      <c r="A33" s="567" t="s">
        <v>267</v>
      </c>
      <c r="B33" s="568"/>
      <c r="C33" s="568"/>
      <c r="D33" s="568"/>
      <c r="E33" s="219">
        <f aca="true" t="shared" si="12" ref="E33:P33">SUM(E34:E35)</f>
        <v>4160</v>
      </c>
      <c r="F33" s="220">
        <f t="shared" si="12"/>
        <v>0</v>
      </c>
      <c r="G33" s="221">
        <f t="shared" si="12"/>
        <v>0</v>
      </c>
      <c r="H33" s="222">
        <f t="shared" si="12"/>
        <v>4160</v>
      </c>
      <c r="I33" s="292">
        <f t="shared" si="12"/>
        <v>5660</v>
      </c>
      <c r="J33" s="221">
        <f t="shared" si="12"/>
        <v>0</v>
      </c>
      <c r="K33" s="221">
        <f t="shared" si="12"/>
        <v>0</v>
      </c>
      <c r="L33" s="220">
        <f t="shared" si="12"/>
        <v>5660</v>
      </c>
      <c r="M33" s="219">
        <f t="shared" si="12"/>
        <v>2766.99</v>
      </c>
      <c r="N33" s="221">
        <f t="shared" si="12"/>
        <v>0</v>
      </c>
      <c r="O33" s="221">
        <f t="shared" si="12"/>
        <v>0</v>
      </c>
      <c r="P33" s="226">
        <f t="shared" si="12"/>
        <v>2766.99</v>
      </c>
    </row>
    <row r="34" spans="1:16" ht="12.75">
      <c r="A34" s="570">
        <v>3</v>
      </c>
      <c r="B34" s="293">
        <v>1</v>
      </c>
      <c r="C34" s="588" t="s">
        <v>268</v>
      </c>
      <c r="D34" s="589"/>
      <c r="E34" s="251">
        <v>4000</v>
      </c>
      <c r="F34" s="252"/>
      <c r="G34" s="256"/>
      <c r="H34" s="294">
        <f>SUM(E34:G34)</f>
        <v>4000</v>
      </c>
      <c r="I34" s="297">
        <v>5500</v>
      </c>
      <c r="J34" s="256"/>
      <c r="K34" s="256"/>
      <c r="L34" s="252">
        <f>SUM(I34:K34)</f>
        <v>5500</v>
      </c>
      <c r="M34" s="251">
        <v>2766.99</v>
      </c>
      <c r="N34" s="256"/>
      <c r="O34" s="256"/>
      <c r="P34" s="295">
        <f>SUM(M34:O34)</f>
        <v>2766.99</v>
      </c>
    </row>
    <row r="35" spans="1:16" ht="13.5" thickBot="1">
      <c r="A35" s="570"/>
      <c r="B35" s="241">
        <v>2</v>
      </c>
      <c r="C35" s="565" t="s">
        <v>75</v>
      </c>
      <c r="D35" s="566"/>
      <c r="E35" s="287">
        <v>160</v>
      </c>
      <c r="F35" s="288"/>
      <c r="G35" s="289"/>
      <c r="H35" s="296">
        <f>SUM(E35:G35)</f>
        <v>160</v>
      </c>
      <c r="I35" s="290">
        <v>160</v>
      </c>
      <c r="J35" s="289"/>
      <c r="K35" s="289"/>
      <c r="L35" s="279">
        <f>SUM(I35:K35)</f>
        <v>160</v>
      </c>
      <c r="M35" s="287">
        <v>0</v>
      </c>
      <c r="N35" s="289"/>
      <c r="O35" s="289"/>
      <c r="P35" s="229">
        <f>SUM(M35:O35)</f>
        <v>0</v>
      </c>
    </row>
    <row r="36" spans="1:16" ht="14.25">
      <c r="A36" s="567" t="s">
        <v>269</v>
      </c>
      <c r="B36" s="568"/>
      <c r="C36" s="568"/>
      <c r="D36" s="568"/>
      <c r="E36" s="219">
        <f aca="true" t="shared" si="13" ref="E36:P36">SUM(E37:E37)</f>
        <v>15000</v>
      </c>
      <c r="F36" s="220">
        <f t="shared" si="13"/>
        <v>0</v>
      </c>
      <c r="G36" s="221">
        <f t="shared" si="13"/>
        <v>0</v>
      </c>
      <c r="H36" s="222">
        <f t="shared" si="13"/>
        <v>15000</v>
      </c>
      <c r="I36" s="292">
        <f t="shared" si="13"/>
        <v>18670</v>
      </c>
      <c r="J36" s="221">
        <f t="shared" si="13"/>
        <v>0</v>
      </c>
      <c r="K36" s="221">
        <f t="shared" si="13"/>
        <v>0</v>
      </c>
      <c r="L36" s="220">
        <f t="shared" si="13"/>
        <v>18670</v>
      </c>
      <c r="M36" s="219">
        <f t="shared" si="13"/>
        <v>8084.65</v>
      </c>
      <c r="N36" s="221">
        <f t="shared" si="13"/>
        <v>0</v>
      </c>
      <c r="O36" s="221">
        <f t="shared" si="13"/>
        <v>0</v>
      </c>
      <c r="P36" s="226">
        <f t="shared" si="13"/>
        <v>8084.65</v>
      </c>
    </row>
    <row r="37" spans="1:16" ht="13.5" thickBot="1">
      <c r="A37" s="232">
        <v>4</v>
      </c>
      <c r="B37" s="293">
        <v>1</v>
      </c>
      <c r="C37" s="588" t="s">
        <v>270</v>
      </c>
      <c r="D37" s="589"/>
      <c r="E37" s="251">
        <v>15000</v>
      </c>
      <c r="F37" s="252"/>
      <c r="G37" s="256"/>
      <c r="H37" s="294">
        <f>SUM(E37:G37)</f>
        <v>15000</v>
      </c>
      <c r="I37" s="442">
        <v>18670</v>
      </c>
      <c r="J37" s="256"/>
      <c r="K37" s="256"/>
      <c r="L37" s="252">
        <f>SUM(I37:K37)</f>
        <v>18670</v>
      </c>
      <c r="M37" s="251">
        <v>8084.65</v>
      </c>
      <c r="N37" s="256"/>
      <c r="O37" s="256"/>
      <c r="P37" s="295">
        <f>SUM(M37:O37)</f>
        <v>8084.65</v>
      </c>
    </row>
    <row r="38" spans="1:16" ht="14.25">
      <c r="A38" s="567" t="s">
        <v>271</v>
      </c>
      <c r="B38" s="568"/>
      <c r="C38" s="568"/>
      <c r="D38" s="568"/>
      <c r="E38" s="219">
        <f aca="true" t="shared" si="14" ref="E38:P38">SUM(E39:E41)</f>
        <v>88700</v>
      </c>
      <c r="F38" s="220">
        <f t="shared" si="14"/>
        <v>30000</v>
      </c>
      <c r="G38" s="221">
        <f t="shared" si="14"/>
        <v>0</v>
      </c>
      <c r="H38" s="222">
        <f t="shared" si="14"/>
        <v>118700</v>
      </c>
      <c r="I38" s="292">
        <f t="shared" si="14"/>
        <v>114719</v>
      </c>
      <c r="J38" s="221">
        <f t="shared" si="14"/>
        <v>428108</v>
      </c>
      <c r="K38" s="221">
        <f t="shared" si="14"/>
        <v>0</v>
      </c>
      <c r="L38" s="220">
        <f t="shared" si="14"/>
        <v>542827</v>
      </c>
      <c r="M38" s="219">
        <f t="shared" si="14"/>
        <v>37021.03</v>
      </c>
      <c r="N38" s="221">
        <f t="shared" si="14"/>
        <v>53080.15</v>
      </c>
      <c r="O38" s="221">
        <f t="shared" si="14"/>
        <v>0</v>
      </c>
      <c r="P38" s="226">
        <f t="shared" si="14"/>
        <v>90101.18</v>
      </c>
    </row>
    <row r="39" spans="1:16" ht="12.75">
      <c r="A39" s="569">
        <v>5</v>
      </c>
      <c r="B39" s="241">
        <v>1</v>
      </c>
      <c r="C39" s="565" t="s">
        <v>272</v>
      </c>
      <c r="D39" s="566"/>
      <c r="E39" s="242">
        <v>23700</v>
      </c>
      <c r="F39" s="243"/>
      <c r="G39" s="244"/>
      <c r="H39" s="245">
        <f aca="true" t="shared" si="15" ref="H39:H46">SUM(E39:G39)</f>
        <v>23700</v>
      </c>
      <c r="I39" s="246">
        <v>23700</v>
      </c>
      <c r="J39" s="244"/>
      <c r="K39" s="244"/>
      <c r="L39" s="243">
        <f aca="true" t="shared" si="16" ref="L39:L46">SUM(I39:K39)</f>
        <v>23700</v>
      </c>
      <c r="M39" s="242">
        <v>8737.72</v>
      </c>
      <c r="N39" s="244"/>
      <c r="O39" s="244"/>
      <c r="P39" s="247">
        <f aca="true" t="shared" si="17" ref="P39:P46">SUM(M39:O39)</f>
        <v>8737.72</v>
      </c>
    </row>
    <row r="40" spans="1:16" ht="12.75">
      <c r="A40" s="570"/>
      <c r="B40" s="298">
        <v>2</v>
      </c>
      <c r="C40" s="565" t="s">
        <v>273</v>
      </c>
      <c r="D40" s="566"/>
      <c r="E40" s="299">
        <v>64900</v>
      </c>
      <c r="F40" s="300">
        <v>30000</v>
      </c>
      <c r="G40" s="301"/>
      <c r="H40" s="245">
        <f t="shared" si="15"/>
        <v>94900</v>
      </c>
      <c r="I40" s="443">
        <v>66400</v>
      </c>
      <c r="J40" s="302">
        <v>85900</v>
      </c>
      <c r="K40" s="301"/>
      <c r="L40" s="243">
        <f t="shared" si="16"/>
        <v>152300</v>
      </c>
      <c r="M40" s="299">
        <v>28279.96</v>
      </c>
      <c r="N40" s="301">
        <v>0</v>
      </c>
      <c r="O40" s="301"/>
      <c r="P40" s="247">
        <f t="shared" si="17"/>
        <v>28279.96</v>
      </c>
    </row>
    <row r="41" spans="1:16" ht="13.5" thickBot="1">
      <c r="A41" s="571"/>
      <c r="B41" s="303">
        <v>3</v>
      </c>
      <c r="C41" s="578" t="s">
        <v>274</v>
      </c>
      <c r="D41" s="579"/>
      <c r="E41" s="304">
        <v>100</v>
      </c>
      <c r="F41" s="263">
        <v>0</v>
      </c>
      <c r="G41" s="305"/>
      <c r="H41" s="261">
        <f t="shared" si="15"/>
        <v>100</v>
      </c>
      <c r="I41" s="306">
        <v>24619</v>
      </c>
      <c r="J41" s="410">
        <v>342208</v>
      </c>
      <c r="K41" s="305"/>
      <c r="L41" s="263">
        <f t="shared" si="16"/>
        <v>366827</v>
      </c>
      <c r="M41" s="304">
        <v>3.35</v>
      </c>
      <c r="N41" s="305">
        <v>53080.15</v>
      </c>
      <c r="O41" s="305"/>
      <c r="P41" s="264">
        <f t="shared" si="17"/>
        <v>53083.5</v>
      </c>
    </row>
    <row r="42" spans="1:16" ht="15.75" customHeight="1">
      <c r="A42" s="586" t="s">
        <v>125</v>
      </c>
      <c r="B42" s="587"/>
      <c r="C42" s="587"/>
      <c r="D42" s="587"/>
      <c r="E42" s="307">
        <f>SUM(E43:E46)</f>
        <v>258520</v>
      </c>
      <c r="F42" s="308">
        <f>SUM(F43:F46)</f>
        <v>0</v>
      </c>
      <c r="G42" s="309">
        <f>SUM(G43:G46)</f>
        <v>0</v>
      </c>
      <c r="H42" s="310">
        <f t="shared" si="15"/>
        <v>258520</v>
      </c>
      <c r="I42" s="311">
        <f>SUM(I43:I46)</f>
        <v>258520</v>
      </c>
      <c r="J42" s="309">
        <f>SUM(J43:J46)</f>
        <v>0</v>
      </c>
      <c r="K42" s="309">
        <f>SUM(K43:K46)</f>
        <v>0</v>
      </c>
      <c r="L42" s="308">
        <f t="shared" si="16"/>
        <v>258520</v>
      </c>
      <c r="M42" s="307">
        <f>SUM(M43:M46)</f>
        <v>120629.53000000001</v>
      </c>
      <c r="N42" s="309">
        <f>SUM(N43:N46)</f>
        <v>0</v>
      </c>
      <c r="O42" s="309">
        <f>SUM(O43:O46)</f>
        <v>0</v>
      </c>
      <c r="P42" s="312">
        <f t="shared" si="17"/>
        <v>120629.53000000001</v>
      </c>
    </row>
    <row r="43" spans="1:16" ht="12.75">
      <c r="A43" s="569">
        <v>6</v>
      </c>
      <c r="B43" s="241">
        <v>1</v>
      </c>
      <c r="C43" s="565" t="s">
        <v>407</v>
      </c>
      <c r="D43" s="566"/>
      <c r="E43" s="242">
        <v>0</v>
      </c>
      <c r="F43" s="243"/>
      <c r="G43" s="244"/>
      <c r="H43" s="245">
        <f t="shared" si="15"/>
        <v>0</v>
      </c>
      <c r="I43" s="246">
        <v>0</v>
      </c>
      <c r="J43" s="313"/>
      <c r="K43" s="244"/>
      <c r="L43" s="243">
        <f t="shared" si="16"/>
        <v>0</v>
      </c>
      <c r="M43" s="242">
        <v>0</v>
      </c>
      <c r="N43" s="244">
        <v>0</v>
      </c>
      <c r="O43" s="244"/>
      <c r="P43" s="247">
        <f t="shared" si="17"/>
        <v>0</v>
      </c>
    </row>
    <row r="44" spans="1:16" ht="12.75">
      <c r="A44" s="570"/>
      <c r="B44" s="241">
        <v>2</v>
      </c>
      <c r="C44" s="565" t="s">
        <v>276</v>
      </c>
      <c r="D44" s="566"/>
      <c r="E44" s="242">
        <v>90000</v>
      </c>
      <c r="F44" s="243"/>
      <c r="G44" s="244"/>
      <c r="H44" s="245">
        <f t="shared" si="15"/>
        <v>90000</v>
      </c>
      <c r="I44" s="246">
        <v>90000</v>
      </c>
      <c r="J44" s="244"/>
      <c r="K44" s="244"/>
      <c r="L44" s="243">
        <f t="shared" si="16"/>
        <v>90000</v>
      </c>
      <c r="M44" s="242">
        <v>44210.05</v>
      </c>
      <c r="N44" s="244"/>
      <c r="O44" s="244"/>
      <c r="P44" s="247">
        <f t="shared" si="17"/>
        <v>44210.05</v>
      </c>
    </row>
    <row r="45" spans="1:16" ht="12.75">
      <c r="A45" s="570"/>
      <c r="B45" s="241">
        <v>3</v>
      </c>
      <c r="C45" s="565" t="s">
        <v>277</v>
      </c>
      <c r="D45" s="566"/>
      <c r="E45" s="242">
        <v>121340</v>
      </c>
      <c r="F45" s="243"/>
      <c r="G45" s="244"/>
      <c r="H45" s="245">
        <f t="shared" si="15"/>
        <v>121340</v>
      </c>
      <c r="I45" s="246">
        <v>121340</v>
      </c>
      <c r="J45" s="244"/>
      <c r="K45" s="244"/>
      <c r="L45" s="243">
        <f t="shared" si="16"/>
        <v>121340</v>
      </c>
      <c r="M45" s="242">
        <v>57101.74</v>
      </c>
      <c r="N45" s="244"/>
      <c r="O45" s="244"/>
      <c r="P45" s="247">
        <f t="shared" si="17"/>
        <v>57101.74</v>
      </c>
    </row>
    <row r="46" spans="1:16" ht="13.5" thickBot="1">
      <c r="A46" s="571"/>
      <c r="B46" s="241">
        <v>4</v>
      </c>
      <c r="C46" s="565" t="s">
        <v>278</v>
      </c>
      <c r="D46" s="566"/>
      <c r="E46" s="242">
        <v>47180</v>
      </c>
      <c r="F46" s="243">
        <v>0</v>
      </c>
      <c r="G46" s="244"/>
      <c r="H46" s="245">
        <f t="shared" si="15"/>
        <v>47180</v>
      </c>
      <c r="I46" s="246">
        <v>47180</v>
      </c>
      <c r="J46" s="244">
        <v>0</v>
      </c>
      <c r="K46" s="244"/>
      <c r="L46" s="243">
        <f t="shared" si="16"/>
        <v>47180</v>
      </c>
      <c r="M46" s="242">
        <v>19317.74</v>
      </c>
      <c r="N46" s="244">
        <v>0</v>
      </c>
      <c r="O46" s="244"/>
      <c r="P46" s="247">
        <f t="shared" si="17"/>
        <v>19317.74</v>
      </c>
    </row>
    <row r="47" spans="1:16" ht="14.25">
      <c r="A47" s="567" t="s">
        <v>279</v>
      </c>
      <c r="B47" s="568"/>
      <c r="C47" s="568"/>
      <c r="D47" s="568"/>
      <c r="E47" s="219">
        <f aca="true" t="shared" si="18" ref="E47:P47">SUM(E48:E49)</f>
        <v>11300</v>
      </c>
      <c r="F47" s="220">
        <f t="shared" si="18"/>
        <v>0</v>
      </c>
      <c r="G47" s="221">
        <f t="shared" si="18"/>
        <v>0</v>
      </c>
      <c r="H47" s="222">
        <f t="shared" si="18"/>
        <v>11300</v>
      </c>
      <c r="I47" s="292">
        <f t="shared" si="18"/>
        <v>11300</v>
      </c>
      <c r="J47" s="221">
        <f t="shared" si="18"/>
        <v>0</v>
      </c>
      <c r="K47" s="221">
        <f t="shared" si="18"/>
        <v>0</v>
      </c>
      <c r="L47" s="220">
        <f t="shared" si="18"/>
        <v>11300</v>
      </c>
      <c r="M47" s="219">
        <f t="shared" si="18"/>
        <v>6924.34</v>
      </c>
      <c r="N47" s="221">
        <f t="shared" si="18"/>
        <v>0</v>
      </c>
      <c r="O47" s="221">
        <f t="shared" si="18"/>
        <v>0</v>
      </c>
      <c r="P47" s="226">
        <f t="shared" si="18"/>
        <v>6924.34</v>
      </c>
    </row>
    <row r="48" spans="1:16" ht="12.75">
      <c r="A48" s="570">
        <v>7</v>
      </c>
      <c r="B48" s="293">
        <v>1</v>
      </c>
      <c r="C48" s="588" t="s">
        <v>280</v>
      </c>
      <c r="D48" s="589"/>
      <c r="E48" s="251">
        <v>7500</v>
      </c>
      <c r="F48" s="252"/>
      <c r="G48" s="256"/>
      <c r="H48" s="294">
        <f>SUM(E48:G48)</f>
        <v>7500</v>
      </c>
      <c r="I48" s="254">
        <v>7500</v>
      </c>
      <c r="J48" s="256"/>
      <c r="K48" s="256"/>
      <c r="L48" s="252">
        <f>SUM(I48:K48)</f>
        <v>7500</v>
      </c>
      <c r="M48" s="251">
        <v>4000</v>
      </c>
      <c r="N48" s="256"/>
      <c r="O48" s="256"/>
      <c r="P48" s="295">
        <f>SUM(M48:O48)</f>
        <v>4000</v>
      </c>
    </row>
    <row r="49" spans="1:16" ht="13.5" thickBot="1">
      <c r="A49" s="570"/>
      <c r="B49" s="241">
        <v>2</v>
      </c>
      <c r="C49" s="565" t="s">
        <v>281</v>
      </c>
      <c r="D49" s="566"/>
      <c r="E49" s="287">
        <v>3800</v>
      </c>
      <c r="F49" s="288"/>
      <c r="G49" s="289"/>
      <c r="H49" s="314">
        <f>SUM(E49:G49)</f>
        <v>3800</v>
      </c>
      <c r="I49" s="290">
        <v>3800</v>
      </c>
      <c r="J49" s="289"/>
      <c r="K49" s="289"/>
      <c r="L49" s="315">
        <f>SUM(I49:K49)</f>
        <v>3800</v>
      </c>
      <c r="M49" s="287">
        <v>2924.34</v>
      </c>
      <c r="N49" s="289"/>
      <c r="O49" s="289"/>
      <c r="P49" s="316">
        <f>SUM(M49:O49)</f>
        <v>2924.34</v>
      </c>
    </row>
    <row r="50" spans="1:16" ht="14.25">
      <c r="A50" s="567" t="s">
        <v>282</v>
      </c>
      <c r="B50" s="568"/>
      <c r="C50" s="568"/>
      <c r="D50" s="568"/>
      <c r="E50" s="219">
        <f>E51+E58+E59+E60</f>
        <v>42800</v>
      </c>
      <c r="F50" s="220">
        <f>SUM(F51:F60)</f>
        <v>0</v>
      </c>
      <c r="G50" s="221">
        <f>SUM(G51:G60)</f>
        <v>0</v>
      </c>
      <c r="H50" s="310">
        <f>SUM(E50:G50)</f>
        <v>42800</v>
      </c>
      <c r="I50" s="292">
        <f>I51+I58+I59+I60</f>
        <v>52596</v>
      </c>
      <c r="J50" s="221">
        <f>SUM(J51:J60)</f>
        <v>0</v>
      </c>
      <c r="K50" s="221">
        <f>SUM(K51:K60)</f>
        <v>0</v>
      </c>
      <c r="L50" s="308">
        <f>SUM(I50:K50)</f>
        <v>52596</v>
      </c>
      <c r="M50" s="219">
        <f>M51+M58+M59+M60</f>
        <v>35963.37</v>
      </c>
      <c r="N50" s="221">
        <f>SUM(N51:N60)</f>
        <v>0</v>
      </c>
      <c r="O50" s="221">
        <f>SUM(O51:O60)</f>
        <v>0</v>
      </c>
      <c r="P50" s="312">
        <f>SUM(M50:O50)</f>
        <v>35963.37</v>
      </c>
    </row>
    <row r="51" spans="1:16" ht="12.75">
      <c r="A51" s="569">
        <v>8</v>
      </c>
      <c r="B51" s="572">
        <v>1</v>
      </c>
      <c r="C51" s="565" t="s">
        <v>283</v>
      </c>
      <c r="D51" s="566"/>
      <c r="E51" s="242">
        <f aca="true" t="shared" si="19" ref="E51:P51">SUM(E52:E57)</f>
        <v>39300</v>
      </c>
      <c r="F51" s="244">
        <f t="shared" si="19"/>
        <v>0</v>
      </c>
      <c r="G51" s="244">
        <f t="shared" si="19"/>
        <v>0</v>
      </c>
      <c r="H51" s="247">
        <f t="shared" si="19"/>
        <v>39300</v>
      </c>
      <c r="I51" s="275">
        <f t="shared" si="19"/>
        <v>49096</v>
      </c>
      <c r="J51" s="244">
        <f t="shared" si="19"/>
        <v>0</v>
      </c>
      <c r="K51" s="244">
        <f t="shared" si="19"/>
        <v>0</v>
      </c>
      <c r="L51" s="243">
        <f t="shared" si="19"/>
        <v>49096</v>
      </c>
      <c r="M51" s="242">
        <f t="shared" si="19"/>
        <v>35339.52</v>
      </c>
      <c r="N51" s="244">
        <f t="shared" si="19"/>
        <v>0</v>
      </c>
      <c r="O51" s="244">
        <f t="shared" si="19"/>
        <v>0</v>
      </c>
      <c r="P51" s="247">
        <f t="shared" si="19"/>
        <v>35339.52</v>
      </c>
    </row>
    <row r="52" spans="1:16" ht="12.75">
      <c r="A52" s="570"/>
      <c r="B52" s="573"/>
      <c r="C52" s="280">
        <v>1</v>
      </c>
      <c r="D52" s="317" t="s">
        <v>284</v>
      </c>
      <c r="E52" s="282">
        <v>15000</v>
      </c>
      <c r="F52" s="283"/>
      <c r="G52" s="284"/>
      <c r="H52" s="272">
        <f aca="true" t="shared" si="20" ref="H52:H60">SUM(E52:G52)</f>
        <v>15000</v>
      </c>
      <c r="I52" s="318">
        <v>15800</v>
      </c>
      <c r="J52" s="284"/>
      <c r="K52" s="284"/>
      <c r="L52" s="273">
        <f aca="true" t="shared" si="21" ref="L52:L60">SUM(I52:K52)</f>
        <v>15800</v>
      </c>
      <c r="M52" s="282">
        <v>8002.35</v>
      </c>
      <c r="N52" s="284"/>
      <c r="O52" s="284"/>
      <c r="P52" s="274">
        <f aca="true" t="shared" si="22" ref="P52:P60">SUM(M52:O52)</f>
        <v>8002.35</v>
      </c>
    </row>
    <row r="53" spans="1:16" ht="12.75">
      <c r="A53" s="570"/>
      <c r="B53" s="573"/>
      <c r="C53" s="280">
        <v>2</v>
      </c>
      <c r="D53" s="317" t="s">
        <v>113</v>
      </c>
      <c r="E53" s="282">
        <v>1000</v>
      </c>
      <c r="F53" s="283"/>
      <c r="G53" s="284"/>
      <c r="H53" s="272">
        <f t="shared" si="20"/>
        <v>1000</v>
      </c>
      <c r="I53" s="285">
        <v>1000</v>
      </c>
      <c r="J53" s="284"/>
      <c r="K53" s="284"/>
      <c r="L53" s="273">
        <f t="shared" si="21"/>
        <v>1000</v>
      </c>
      <c r="M53" s="282">
        <v>954.09</v>
      </c>
      <c r="N53" s="284"/>
      <c r="O53" s="284"/>
      <c r="P53" s="274">
        <f t="shared" si="22"/>
        <v>954.09</v>
      </c>
    </row>
    <row r="54" spans="1:16" ht="12.75">
      <c r="A54" s="570"/>
      <c r="B54" s="573"/>
      <c r="C54" s="280">
        <v>3</v>
      </c>
      <c r="D54" s="317" t="s">
        <v>114</v>
      </c>
      <c r="E54" s="282">
        <v>2500</v>
      </c>
      <c r="F54" s="283"/>
      <c r="G54" s="284"/>
      <c r="H54" s="272">
        <f t="shared" si="20"/>
        <v>2500</v>
      </c>
      <c r="I54" s="318">
        <v>2000</v>
      </c>
      <c r="J54" s="284"/>
      <c r="K54" s="284"/>
      <c r="L54" s="273">
        <f t="shared" si="21"/>
        <v>2000</v>
      </c>
      <c r="M54" s="282">
        <v>1771.59</v>
      </c>
      <c r="N54" s="284"/>
      <c r="O54" s="284"/>
      <c r="P54" s="274">
        <f t="shared" si="22"/>
        <v>1771.59</v>
      </c>
    </row>
    <row r="55" spans="1:16" ht="12.75">
      <c r="A55" s="570"/>
      <c r="B55" s="573"/>
      <c r="C55" s="280">
        <v>4</v>
      </c>
      <c r="D55" s="317" t="s">
        <v>285</v>
      </c>
      <c r="E55" s="282">
        <v>20000</v>
      </c>
      <c r="F55" s="283"/>
      <c r="G55" s="284"/>
      <c r="H55" s="272">
        <f t="shared" si="20"/>
        <v>20000</v>
      </c>
      <c r="I55" s="318">
        <v>28846</v>
      </c>
      <c r="J55" s="284"/>
      <c r="K55" s="284"/>
      <c r="L55" s="273">
        <f t="shared" si="21"/>
        <v>28846</v>
      </c>
      <c r="M55" s="282">
        <v>23995.22</v>
      </c>
      <c r="N55" s="284"/>
      <c r="O55" s="284"/>
      <c r="P55" s="274">
        <f t="shared" si="22"/>
        <v>23995.22</v>
      </c>
    </row>
    <row r="56" spans="1:16" ht="12.75">
      <c r="A56" s="570"/>
      <c r="B56" s="573"/>
      <c r="C56" s="280">
        <v>5</v>
      </c>
      <c r="D56" s="317" t="s">
        <v>286</v>
      </c>
      <c r="E56" s="282">
        <v>100</v>
      </c>
      <c r="F56" s="283"/>
      <c r="G56" s="284"/>
      <c r="H56" s="272">
        <f t="shared" si="20"/>
        <v>100</v>
      </c>
      <c r="I56" s="318">
        <v>750</v>
      </c>
      <c r="J56" s="284"/>
      <c r="K56" s="284"/>
      <c r="L56" s="273">
        <f t="shared" si="21"/>
        <v>750</v>
      </c>
      <c r="M56" s="282">
        <v>616.27</v>
      </c>
      <c r="N56" s="284"/>
      <c r="O56" s="284"/>
      <c r="P56" s="274">
        <f t="shared" si="22"/>
        <v>616.27</v>
      </c>
    </row>
    <row r="57" spans="1:16" ht="12.75">
      <c r="A57" s="570"/>
      <c r="B57" s="573"/>
      <c r="C57" s="280">
        <v>6</v>
      </c>
      <c r="D57" s="317" t="s">
        <v>287</v>
      </c>
      <c r="E57" s="282">
        <v>700</v>
      </c>
      <c r="F57" s="283"/>
      <c r="G57" s="284"/>
      <c r="H57" s="272">
        <f t="shared" si="20"/>
        <v>700</v>
      </c>
      <c r="I57" s="285">
        <v>700</v>
      </c>
      <c r="J57" s="284"/>
      <c r="K57" s="284"/>
      <c r="L57" s="273">
        <f t="shared" si="21"/>
        <v>700</v>
      </c>
      <c r="M57" s="282">
        <v>0</v>
      </c>
      <c r="N57" s="284"/>
      <c r="O57" s="284"/>
      <c r="P57" s="274">
        <f t="shared" si="22"/>
        <v>0</v>
      </c>
    </row>
    <row r="58" spans="1:16" ht="12.75">
      <c r="A58" s="570"/>
      <c r="B58" s="298">
        <v>2</v>
      </c>
      <c r="C58" s="565" t="s">
        <v>108</v>
      </c>
      <c r="D58" s="566"/>
      <c r="E58" s="299">
        <v>1000</v>
      </c>
      <c r="F58" s="300"/>
      <c r="G58" s="301"/>
      <c r="H58" s="245">
        <f t="shared" si="20"/>
        <v>1000</v>
      </c>
      <c r="I58" s="319">
        <v>1000</v>
      </c>
      <c r="J58" s="301"/>
      <c r="K58" s="301"/>
      <c r="L58" s="243">
        <f t="shared" si="21"/>
        <v>1000</v>
      </c>
      <c r="M58" s="299">
        <v>310</v>
      </c>
      <c r="N58" s="301"/>
      <c r="O58" s="301"/>
      <c r="P58" s="247">
        <f t="shared" si="22"/>
        <v>310</v>
      </c>
    </row>
    <row r="59" spans="1:16" ht="12.75">
      <c r="A59" s="570"/>
      <c r="B59" s="298">
        <v>3</v>
      </c>
      <c r="C59" s="565" t="s">
        <v>110</v>
      </c>
      <c r="D59" s="566"/>
      <c r="E59" s="299">
        <v>1000</v>
      </c>
      <c r="F59" s="300"/>
      <c r="G59" s="301"/>
      <c r="H59" s="245">
        <f t="shared" si="20"/>
        <v>1000</v>
      </c>
      <c r="I59" s="319">
        <v>1000</v>
      </c>
      <c r="J59" s="301"/>
      <c r="K59" s="301"/>
      <c r="L59" s="243">
        <f t="shared" si="21"/>
        <v>1000</v>
      </c>
      <c r="M59" s="299">
        <v>262.19</v>
      </c>
      <c r="N59" s="301"/>
      <c r="O59" s="301"/>
      <c r="P59" s="247">
        <f t="shared" si="22"/>
        <v>262.19</v>
      </c>
    </row>
    <row r="60" spans="1:16" ht="13.5" thickBot="1">
      <c r="A60" s="571"/>
      <c r="B60" s="298">
        <v>4</v>
      </c>
      <c r="C60" s="578" t="s">
        <v>288</v>
      </c>
      <c r="D60" s="579"/>
      <c r="E60" s="304">
        <v>1500</v>
      </c>
      <c r="F60" s="263"/>
      <c r="G60" s="305"/>
      <c r="H60" s="261">
        <f t="shared" si="20"/>
        <v>1500</v>
      </c>
      <c r="I60" s="320">
        <v>1500</v>
      </c>
      <c r="J60" s="305"/>
      <c r="K60" s="305"/>
      <c r="L60" s="263">
        <f t="shared" si="21"/>
        <v>1500</v>
      </c>
      <c r="M60" s="304">
        <v>51.66</v>
      </c>
      <c r="N60" s="305"/>
      <c r="O60" s="305"/>
      <c r="P60" s="264">
        <f t="shared" si="22"/>
        <v>51.66</v>
      </c>
    </row>
    <row r="61" spans="1:16" ht="14.25">
      <c r="A61" s="567" t="s">
        <v>289</v>
      </c>
      <c r="B61" s="568"/>
      <c r="C61" s="568"/>
      <c r="D61" s="568"/>
      <c r="E61" s="307">
        <f aca="true" t="shared" si="23" ref="E61:P61">SUM(E62:E65)</f>
        <v>21340</v>
      </c>
      <c r="F61" s="308">
        <f t="shared" si="23"/>
        <v>189870</v>
      </c>
      <c r="G61" s="309">
        <f t="shared" si="23"/>
        <v>0</v>
      </c>
      <c r="H61" s="310">
        <f t="shared" si="23"/>
        <v>211210</v>
      </c>
      <c r="I61" s="311">
        <f t="shared" si="23"/>
        <v>21340</v>
      </c>
      <c r="J61" s="309">
        <f t="shared" si="23"/>
        <v>189870</v>
      </c>
      <c r="K61" s="309">
        <f t="shared" si="23"/>
        <v>0</v>
      </c>
      <c r="L61" s="308">
        <f t="shared" si="23"/>
        <v>211210</v>
      </c>
      <c r="M61" s="307">
        <f t="shared" si="23"/>
        <v>7724.24</v>
      </c>
      <c r="N61" s="309">
        <f t="shared" si="23"/>
        <v>0</v>
      </c>
      <c r="O61" s="309">
        <f t="shared" si="23"/>
        <v>0</v>
      </c>
      <c r="P61" s="312">
        <f t="shared" si="23"/>
        <v>7724.24</v>
      </c>
    </row>
    <row r="62" spans="1:16" ht="12.75">
      <c r="A62" s="590">
        <v>9</v>
      </c>
      <c r="B62" s="241">
        <v>1</v>
      </c>
      <c r="C62" s="565" t="s">
        <v>100</v>
      </c>
      <c r="D62" s="566"/>
      <c r="E62" s="242">
        <v>15100</v>
      </c>
      <c r="F62" s="243">
        <v>189870</v>
      </c>
      <c r="G62" s="244"/>
      <c r="H62" s="245">
        <f>SUM(E62:G62)</f>
        <v>204970</v>
      </c>
      <c r="I62" s="246">
        <v>15100</v>
      </c>
      <c r="J62" s="244">
        <v>189870</v>
      </c>
      <c r="K62" s="244"/>
      <c r="L62" s="243">
        <f>SUM(I62:K62)</f>
        <v>204970</v>
      </c>
      <c r="M62" s="242">
        <v>6711.36</v>
      </c>
      <c r="N62" s="244"/>
      <c r="O62" s="244"/>
      <c r="P62" s="247">
        <f>SUM(M62:O62)</f>
        <v>6711.36</v>
      </c>
    </row>
    <row r="63" spans="1:16" ht="12.75">
      <c r="A63" s="591"/>
      <c r="B63" s="298">
        <v>2</v>
      </c>
      <c r="C63" s="565" t="s">
        <v>290</v>
      </c>
      <c r="D63" s="566"/>
      <c r="E63" s="299">
        <v>5840</v>
      </c>
      <c r="F63" s="300"/>
      <c r="G63" s="301"/>
      <c r="H63" s="245">
        <f>SUM(E63:G63)</f>
        <v>5840</v>
      </c>
      <c r="I63" s="319">
        <v>5840</v>
      </c>
      <c r="J63" s="301"/>
      <c r="K63" s="301"/>
      <c r="L63" s="243">
        <f>SUM(I63:K63)</f>
        <v>5840</v>
      </c>
      <c r="M63" s="299">
        <v>1012.88</v>
      </c>
      <c r="N63" s="301"/>
      <c r="O63" s="301"/>
      <c r="P63" s="247">
        <f>SUM(M63:O63)</f>
        <v>1012.88</v>
      </c>
    </row>
    <row r="64" spans="1:16" ht="12.75">
      <c r="A64" s="591"/>
      <c r="B64" s="298">
        <v>3</v>
      </c>
      <c r="C64" s="565" t="s">
        <v>291</v>
      </c>
      <c r="D64" s="566"/>
      <c r="E64" s="299">
        <v>0</v>
      </c>
      <c r="F64" s="300">
        <v>0</v>
      </c>
      <c r="G64" s="301">
        <v>0</v>
      </c>
      <c r="H64" s="245">
        <f>SUM(E64:G64)</f>
        <v>0</v>
      </c>
      <c r="I64" s="319">
        <v>0</v>
      </c>
      <c r="J64" s="301">
        <v>0</v>
      </c>
      <c r="K64" s="301"/>
      <c r="L64" s="243">
        <f>SUM(I64:K64)</f>
        <v>0</v>
      </c>
      <c r="M64" s="299">
        <v>0</v>
      </c>
      <c r="N64" s="301">
        <v>0</v>
      </c>
      <c r="O64" s="301"/>
      <c r="P64" s="247">
        <f>SUM(M64:O64)</f>
        <v>0</v>
      </c>
    </row>
    <row r="65" spans="1:16" ht="13.5" thickBot="1">
      <c r="A65" s="611"/>
      <c r="B65" s="303">
        <v>4</v>
      </c>
      <c r="C65" s="578" t="s">
        <v>292</v>
      </c>
      <c r="D65" s="579"/>
      <c r="E65" s="304">
        <v>400</v>
      </c>
      <c r="F65" s="263">
        <v>0</v>
      </c>
      <c r="G65" s="305"/>
      <c r="H65" s="245">
        <f>SUM(E65:G65)</f>
        <v>400</v>
      </c>
      <c r="I65" s="320">
        <v>400</v>
      </c>
      <c r="J65" s="305"/>
      <c r="K65" s="305"/>
      <c r="L65" s="243">
        <f>SUM(I65:K65)</f>
        <v>400</v>
      </c>
      <c r="M65" s="304">
        <v>0</v>
      </c>
      <c r="N65" s="305"/>
      <c r="O65" s="305"/>
      <c r="P65" s="247">
        <f>SUM(M65:O65)</f>
        <v>0</v>
      </c>
    </row>
    <row r="66" spans="1:16" ht="14.25">
      <c r="A66" s="567" t="s">
        <v>293</v>
      </c>
      <c r="B66" s="568"/>
      <c r="C66" s="568"/>
      <c r="D66" s="568"/>
      <c r="E66" s="219">
        <f aca="true" t="shared" si="24" ref="E66:P66">SUM(E67:E68)</f>
        <v>1390</v>
      </c>
      <c r="F66" s="220">
        <f t="shared" si="24"/>
        <v>0</v>
      </c>
      <c r="G66" s="221">
        <f t="shared" si="24"/>
        <v>0</v>
      </c>
      <c r="H66" s="222">
        <f t="shared" si="24"/>
        <v>1390</v>
      </c>
      <c r="I66" s="292">
        <f t="shared" si="24"/>
        <v>1390</v>
      </c>
      <c r="J66" s="221">
        <f t="shared" si="24"/>
        <v>0</v>
      </c>
      <c r="K66" s="221">
        <f t="shared" si="24"/>
        <v>0</v>
      </c>
      <c r="L66" s="220">
        <f t="shared" si="24"/>
        <v>1390</v>
      </c>
      <c r="M66" s="219">
        <f t="shared" si="24"/>
        <v>699.9200000000001</v>
      </c>
      <c r="N66" s="221">
        <f t="shared" si="24"/>
        <v>0</v>
      </c>
      <c r="O66" s="221">
        <f t="shared" si="24"/>
        <v>0</v>
      </c>
      <c r="P66" s="226">
        <f t="shared" si="24"/>
        <v>699.9200000000001</v>
      </c>
    </row>
    <row r="67" spans="1:16" ht="12.75">
      <c r="A67" s="594">
        <v>10</v>
      </c>
      <c r="B67" s="286">
        <v>1</v>
      </c>
      <c r="C67" s="566" t="s">
        <v>294</v>
      </c>
      <c r="D67" s="566"/>
      <c r="E67" s="242">
        <v>1390</v>
      </c>
      <c r="F67" s="243"/>
      <c r="G67" s="244"/>
      <c r="H67" s="245">
        <f>SUM(E67:G67)</f>
        <v>1390</v>
      </c>
      <c r="I67" s="246">
        <v>1390</v>
      </c>
      <c r="J67" s="244"/>
      <c r="K67" s="244"/>
      <c r="L67" s="243">
        <f>SUM(I67:K67)</f>
        <v>1390</v>
      </c>
      <c r="M67" s="242">
        <f>433.62+266.3</f>
        <v>699.9200000000001</v>
      </c>
      <c r="N67" s="244"/>
      <c r="O67" s="244"/>
      <c r="P67" s="247">
        <f>SUM(M67:O67)</f>
        <v>699.9200000000001</v>
      </c>
    </row>
    <row r="68" spans="1:16" ht="13.5" thickBot="1">
      <c r="A68" s="595"/>
      <c r="B68" s="321">
        <v>2</v>
      </c>
      <c r="C68" s="579" t="s">
        <v>295</v>
      </c>
      <c r="D68" s="579"/>
      <c r="E68" s="258">
        <v>0</v>
      </c>
      <c r="F68" s="322">
        <v>0</v>
      </c>
      <c r="G68" s="323"/>
      <c r="H68" s="261">
        <f>SUM(E68:G68)</f>
        <v>0</v>
      </c>
      <c r="I68" s="324">
        <v>0</v>
      </c>
      <c r="J68" s="323">
        <v>0</v>
      </c>
      <c r="K68" s="323"/>
      <c r="L68" s="263">
        <f>SUM(I68:K68)</f>
        <v>0</v>
      </c>
      <c r="M68" s="258">
        <v>0</v>
      </c>
      <c r="N68" s="323">
        <v>0</v>
      </c>
      <c r="O68" s="323"/>
      <c r="P68" s="264">
        <f>SUM(M68:O68)</f>
        <v>0</v>
      </c>
    </row>
    <row r="69" spans="1:16" ht="14.25">
      <c r="A69" s="586" t="s">
        <v>296</v>
      </c>
      <c r="B69" s="587"/>
      <c r="C69" s="587"/>
      <c r="D69" s="587"/>
      <c r="E69" s="307">
        <f>E70+E71+E77</f>
        <v>89390</v>
      </c>
      <c r="F69" s="308">
        <f>SUM(F70:F77)</f>
        <v>0</v>
      </c>
      <c r="G69" s="309">
        <f>SUM(G70:G77)</f>
        <v>0</v>
      </c>
      <c r="H69" s="310">
        <f>SUM(E69:G69)</f>
        <v>89390</v>
      </c>
      <c r="I69" s="292">
        <f>I70+I71+I77</f>
        <v>89390</v>
      </c>
      <c r="J69" s="221">
        <f>SUM(J70:J77)</f>
        <v>0</v>
      </c>
      <c r="K69" s="221">
        <f>SUM(K70:K77)</f>
        <v>0</v>
      </c>
      <c r="L69" s="220">
        <f>SUM(I69:K69)</f>
        <v>89390</v>
      </c>
      <c r="M69" s="307">
        <f>M70+M71+M77</f>
        <v>34271.46</v>
      </c>
      <c r="N69" s="309">
        <f>SUM(N70:N77)</f>
        <v>0</v>
      </c>
      <c r="O69" s="309">
        <f>SUM(O70:O77)</f>
        <v>0</v>
      </c>
      <c r="P69" s="312">
        <f>SUM(M69:O69)</f>
        <v>34271.46</v>
      </c>
    </row>
    <row r="70" spans="1:16" ht="12.75">
      <c r="A70" s="569">
        <v>11</v>
      </c>
      <c r="B70" s="241">
        <v>1</v>
      </c>
      <c r="C70" s="565" t="s">
        <v>297</v>
      </c>
      <c r="D70" s="566"/>
      <c r="E70" s="242">
        <v>61100</v>
      </c>
      <c r="F70" s="243"/>
      <c r="G70" s="244"/>
      <c r="H70" s="245">
        <f>SUM(E70:G70)</f>
        <v>61100</v>
      </c>
      <c r="I70" s="246">
        <v>61100</v>
      </c>
      <c r="J70" s="244"/>
      <c r="K70" s="244"/>
      <c r="L70" s="243">
        <f>SUM(I70:K70)</f>
        <v>61100</v>
      </c>
      <c r="M70" s="242">
        <v>29614.93</v>
      </c>
      <c r="N70" s="244"/>
      <c r="O70" s="244"/>
      <c r="P70" s="247">
        <f>SUM(M70:O70)</f>
        <v>29614.93</v>
      </c>
    </row>
    <row r="71" spans="1:16" ht="12.75">
      <c r="A71" s="570"/>
      <c r="B71" s="572">
        <v>2</v>
      </c>
      <c r="C71" s="565" t="s">
        <v>298</v>
      </c>
      <c r="D71" s="566"/>
      <c r="E71" s="242">
        <f aca="true" t="shared" si="25" ref="E71:P71">SUM(E72:E76)</f>
        <v>24940</v>
      </c>
      <c r="F71" s="244">
        <f t="shared" si="25"/>
        <v>0</v>
      </c>
      <c r="G71" s="244">
        <f t="shared" si="25"/>
        <v>0</v>
      </c>
      <c r="H71" s="247">
        <f t="shared" si="25"/>
        <v>24940</v>
      </c>
      <c r="I71" s="246">
        <f t="shared" si="25"/>
        <v>24940</v>
      </c>
      <c r="J71" s="244">
        <f t="shared" si="25"/>
        <v>0</v>
      </c>
      <c r="K71" s="244">
        <f t="shared" si="25"/>
        <v>0</v>
      </c>
      <c r="L71" s="243">
        <f t="shared" si="25"/>
        <v>24940</v>
      </c>
      <c r="M71" s="242">
        <f t="shared" si="25"/>
        <v>4243.71</v>
      </c>
      <c r="N71" s="244">
        <f t="shared" si="25"/>
        <v>0</v>
      </c>
      <c r="O71" s="244">
        <f t="shared" si="25"/>
        <v>0</v>
      </c>
      <c r="P71" s="247">
        <f t="shared" si="25"/>
        <v>4243.71</v>
      </c>
    </row>
    <row r="72" spans="1:16" ht="12.75">
      <c r="A72" s="570"/>
      <c r="B72" s="573"/>
      <c r="C72" s="325">
        <v>1</v>
      </c>
      <c r="D72" s="326" t="s">
        <v>299</v>
      </c>
      <c r="E72" s="327">
        <v>7200</v>
      </c>
      <c r="F72" s="328"/>
      <c r="G72" s="329"/>
      <c r="H72" s="272">
        <f>SUM(E72:G72)</f>
        <v>7200</v>
      </c>
      <c r="I72" s="407">
        <v>7200</v>
      </c>
      <c r="J72" s="329"/>
      <c r="K72" s="329"/>
      <c r="L72" s="273">
        <f>SUM(I72:K72)</f>
        <v>7200</v>
      </c>
      <c r="M72" s="327">
        <v>3686.06</v>
      </c>
      <c r="N72" s="329"/>
      <c r="O72" s="329"/>
      <c r="P72" s="274">
        <f>SUM(M72:O72)</f>
        <v>3686.06</v>
      </c>
    </row>
    <row r="73" spans="1:16" ht="12.75">
      <c r="A73" s="570"/>
      <c r="B73" s="573"/>
      <c r="C73" s="325">
        <v>2</v>
      </c>
      <c r="D73" s="317" t="s">
        <v>300</v>
      </c>
      <c r="E73" s="327">
        <v>0</v>
      </c>
      <c r="F73" s="328"/>
      <c r="G73" s="329"/>
      <c r="H73" s="272">
        <f>SUM(E73:G73)</f>
        <v>0</v>
      </c>
      <c r="I73" s="407">
        <v>0</v>
      </c>
      <c r="J73" s="329"/>
      <c r="K73" s="329"/>
      <c r="L73" s="273">
        <f>SUM(I73:K73)</f>
        <v>0</v>
      </c>
      <c r="M73" s="327">
        <v>0</v>
      </c>
      <c r="N73" s="329"/>
      <c r="O73" s="329"/>
      <c r="P73" s="274">
        <f>SUM(M73:O73)</f>
        <v>0</v>
      </c>
    </row>
    <row r="74" spans="1:16" ht="12.75">
      <c r="A74" s="570"/>
      <c r="B74" s="573"/>
      <c r="C74" s="325">
        <v>3</v>
      </c>
      <c r="D74" s="317" t="s">
        <v>301</v>
      </c>
      <c r="E74" s="327">
        <v>3000</v>
      </c>
      <c r="F74" s="328"/>
      <c r="G74" s="329"/>
      <c r="H74" s="272">
        <f>SUM(E74:G74)</f>
        <v>3000</v>
      </c>
      <c r="I74" s="407">
        <v>3000</v>
      </c>
      <c r="J74" s="329"/>
      <c r="K74" s="329"/>
      <c r="L74" s="273">
        <f>SUM(I74:K74)</f>
        <v>3000</v>
      </c>
      <c r="M74" s="327">
        <v>557.65</v>
      </c>
      <c r="N74" s="329"/>
      <c r="O74" s="329"/>
      <c r="P74" s="274">
        <f>SUM(M74:O74)</f>
        <v>557.65</v>
      </c>
    </row>
    <row r="75" spans="1:16" ht="12.75">
      <c r="A75" s="570"/>
      <c r="B75" s="573"/>
      <c r="C75" s="325">
        <v>4</v>
      </c>
      <c r="D75" s="317" t="s">
        <v>302</v>
      </c>
      <c r="E75" s="327">
        <f>400+300</f>
        <v>700</v>
      </c>
      <c r="F75" s="328"/>
      <c r="G75" s="329"/>
      <c r="H75" s="272">
        <f>SUM(E75:G75)</f>
        <v>700</v>
      </c>
      <c r="I75" s="407">
        <f>400+300</f>
        <v>700</v>
      </c>
      <c r="J75" s="329"/>
      <c r="K75" s="329"/>
      <c r="L75" s="273">
        <f>SUM(I75:K75)</f>
        <v>700</v>
      </c>
      <c r="M75" s="327">
        <v>0</v>
      </c>
      <c r="N75" s="329"/>
      <c r="O75" s="329"/>
      <c r="P75" s="274">
        <f>SUM(M75:O75)</f>
        <v>0</v>
      </c>
    </row>
    <row r="76" spans="1:16" ht="12.75">
      <c r="A76" s="570"/>
      <c r="B76" s="574"/>
      <c r="C76" s="325">
        <v>5</v>
      </c>
      <c r="D76" s="317" t="s">
        <v>303</v>
      </c>
      <c r="E76" s="327">
        <v>14040</v>
      </c>
      <c r="F76" s="328"/>
      <c r="G76" s="329"/>
      <c r="H76" s="272">
        <f>SUM(E76:G76)</f>
        <v>14040</v>
      </c>
      <c r="I76" s="407">
        <v>14040</v>
      </c>
      <c r="J76" s="329"/>
      <c r="K76" s="329"/>
      <c r="L76" s="273">
        <f>SUM(I76:K76)</f>
        <v>14040</v>
      </c>
      <c r="M76" s="327">
        <v>0</v>
      </c>
      <c r="N76" s="329"/>
      <c r="O76" s="329"/>
      <c r="P76" s="274">
        <f>SUM(M76:O76)</f>
        <v>0</v>
      </c>
    </row>
    <row r="77" spans="1:16" ht="12.75">
      <c r="A77" s="570"/>
      <c r="B77" s="602">
        <v>3</v>
      </c>
      <c r="C77" s="565" t="s">
        <v>304</v>
      </c>
      <c r="D77" s="566"/>
      <c r="E77" s="299">
        <f aca="true" t="shared" si="26" ref="E77:P77">SUM(E78:E79)</f>
        <v>3350</v>
      </c>
      <c r="F77" s="301">
        <f t="shared" si="26"/>
        <v>0</v>
      </c>
      <c r="G77" s="301">
        <f t="shared" si="26"/>
        <v>0</v>
      </c>
      <c r="H77" s="330">
        <f t="shared" si="26"/>
        <v>3350</v>
      </c>
      <c r="I77" s="319">
        <f t="shared" si="26"/>
        <v>3350</v>
      </c>
      <c r="J77" s="301">
        <f t="shared" si="26"/>
        <v>0</v>
      </c>
      <c r="K77" s="301">
        <f t="shared" si="26"/>
        <v>0</v>
      </c>
      <c r="L77" s="300">
        <f t="shared" si="26"/>
        <v>3350</v>
      </c>
      <c r="M77" s="299">
        <f t="shared" si="26"/>
        <v>412.82</v>
      </c>
      <c r="N77" s="301">
        <f t="shared" si="26"/>
        <v>0</v>
      </c>
      <c r="O77" s="301">
        <f t="shared" si="26"/>
        <v>0</v>
      </c>
      <c r="P77" s="330">
        <f t="shared" si="26"/>
        <v>412.82</v>
      </c>
    </row>
    <row r="78" spans="1:16" ht="12.75">
      <c r="A78" s="570"/>
      <c r="B78" s="603"/>
      <c r="C78" s="331">
        <v>1</v>
      </c>
      <c r="D78" s="332" t="s">
        <v>305</v>
      </c>
      <c r="E78" s="282">
        <v>1800</v>
      </c>
      <c r="F78" s="283"/>
      <c r="G78" s="284"/>
      <c r="H78" s="272">
        <f>SUM(E78:G78)</f>
        <v>1800</v>
      </c>
      <c r="I78" s="408">
        <v>1800</v>
      </c>
      <c r="J78" s="284"/>
      <c r="K78" s="284"/>
      <c r="L78" s="273">
        <f>SUM(I78:K78)</f>
        <v>1800</v>
      </c>
      <c r="M78" s="282">
        <v>0</v>
      </c>
      <c r="N78" s="284"/>
      <c r="O78" s="284"/>
      <c r="P78" s="274">
        <f>SUM(M78:O78)</f>
        <v>0</v>
      </c>
    </row>
    <row r="79" spans="1:16" ht="13.5" thickBot="1">
      <c r="A79" s="571"/>
      <c r="B79" s="604"/>
      <c r="C79" s="333">
        <v>2</v>
      </c>
      <c r="D79" s="334" t="s">
        <v>306</v>
      </c>
      <c r="E79" s="335">
        <v>1550</v>
      </c>
      <c r="F79" s="336"/>
      <c r="G79" s="337"/>
      <c r="H79" s="338">
        <f>SUM(E79:G79)</f>
        <v>1550</v>
      </c>
      <c r="I79" s="409">
        <v>1550</v>
      </c>
      <c r="J79" s="337"/>
      <c r="K79" s="337"/>
      <c r="L79" s="336">
        <f>SUM(I79:K79)</f>
        <v>1550</v>
      </c>
      <c r="M79" s="335">
        <v>412.82</v>
      </c>
      <c r="N79" s="337"/>
      <c r="O79" s="337"/>
      <c r="P79" s="339">
        <f>SUM(M79:O79)</f>
        <v>412.82</v>
      </c>
    </row>
    <row r="80" spans="1:16" ht="15" thickBot="1">
      <c r="A80" s="596" t="s">
        <v>307</v>
      </c>
      <c r="B80" s="597"/>
      <c r="C80" s="597"/>
      <c r="D80" s="597"/>
      <c r="E80" s="340">
        <f aca="true" t="shared" si="27" ref="E80:P80">SUM(E81:E82)</f>
        <v>351000</v>
      </c>
      <c r="F80" s="341">
        <f t="shared" si="27"/>
        <v>0</v>
      </c>
      <c r="G80" s="342">
        <f t="shared" si="27"/>
        <v>0</v>
      </c>
      <c r="H80" s="343">
        <f t="shared" si="27"/>
        <v>351000</v>
      </c>
      <c r="I80" s="344">
        <f t="shared" si="27"/>
        <v>376265</v>
      </c>
      <c r="J80" s="342">
        <f t="shared" si="27"/>
        <v>0</v>
      </c>
      <c r="K80" s="342">
        <f t="shared" si="27"/>
        <v>0</v>
      </c>
      <c r="L80" s="341">
        <f t="shared" si="27"/>
        <v>376265</v>
      </c>
      <c r="M80" s="340">
        <f t="shared" si="27"/>
        <v>190973</v>
      </c>
      <c r="N80" s="342">
        <f t="shared" si="27"/>
        <v>0</v>
      </c>
      <c r="O80" s="342">
        <f t="shared" si="27"/>
        <v>0</v>
      </c>
      <c r="P80" s="345">
        <f t="shared" si="27"/>
        <v>190973</v>
      </c>
    </row>
    <row r="81" spans="1:16" ht="12.75">
      <c r="A81" s="598"/>
      <c r="B81" s="346">
        <v>1</v>
      </c>
      <c r="C81" s="600" t="s">
        <v>308</v>
      </c>
      <c r="D81" s="600"/>
      <c r="E81" s="347">
        <v>334000</v>
      </c>
      <c r="F81" s="348"/>
      <c r="G81" s="349"/>
      <c r="H81" s="350">
        <f>SUM(E81:G81)</f>
        <v>334000</v>
      </c>
      <c r="I81" s="351">
        <v>358865</v>
      </c>
      <c r="J81" s="349"/>
      <c r="K81" s="349"/>
      <c r="L81" s="348">
        <f>SUM(I81:K81)</f>
        <v>358865</v>
      </c>
      <c r="M81" s="416">
        <v>181132</v>
      </c>
      <c r="N81" s="418"/>
      <c r="O81" s="349"/>
      <c r="P81" s="352">
        <f>SUM(M81:O81)</f>
        <v>181132</v>
      </c>
    </row>
    <row r="82" spans="1:16" ht="13.5" thickBot="1">
      <c r="A82" s="599"/>
      <c r="B82" s="353">
        <v>2</v>
      </c>
      <c r="C82" s="601" t="s">
        <v>309</v>
      </c>
      <c r="D82" s="601"/>
      <c r="E82" s="354">
        <v>17000</v>
      </c>
      <c r="F82" s="355"/>
      <c r="G82" s="356"/>
      <c r="H82" s="357">
        <f>SUM(E82:G82)</f>
        <v>17000</v>
      </c>
      <c r="I82" s="415">
        <v>17400</v>
      </c>
      <c r="J82" s="356"/>
      <c r="K82" s="356"/>
      <c r="L82" s="358">
        <f>SUM(I82:K82)</f>
        <v>17400</v>
      </c>
      <c r="M82" s="417">
        <v>9841</v>
      </c>
      <c r="N82" s="356"/>
      <c r="O82" s="356"/>
      <c r="P82" s="359">
        <f>SUM(M82:O82)</f>
        <v>9841</v>
      </c>
    </row>
    <row r="83" spans="1:16" ht="13.5" thickBot="1">
      <c r="A83" s="360"/>
      <c r="B83" s="131"/>
      <c r="C83" s="131"/>
      <c r="D83" s="131"/>
      <c r="E83" s="131"/>
      <c r="F83" s="131"/>
      <c r="G83" s="361"/>
      <c r="H83" s="131"/>
      <c r="I83" s="131"/>
      <c r="J83" s="131"/>
      <c r="K83" s="131"/>
      <c r="L83" s="131"/>
      <c r="M83" s="360"/>
      <c r="N83" s="131"/>
      <c r="O83" s="131"/>
      <c r="P83" s="362"/>
    </row>
    <row r="84" spans="1:16" ht="45" customHeight="1" thickBot="1">
      <c r="A84" s="605" t="s">
        <v>310</v>
      </c>
      <c r="B84" s="606"/>
      <c r="C84" s="606"/>
      <c r="D84" s="606"/>
      <c r="E84" s="363" t="s">
        <v>311</v>
      </c>
      <c r="F84" s="364" t="s">
        <v>312</v>
      </c>
      <c r="G84" s="365" t="s">
        <v>313</v>
      </c>
      <c r="H84" s="366" t="s">
        <v>238</v>
      </c>
      <c r="I84" s="367" t="s">
        <v>311</v>
      </c>
      <c r="J84" s="365" t="s">
        <v>312</v>
      </c>
      <c r="K84" s="364" t="s">
        <v>313</v>
      </c>
      <c r="L84" s="364" t="s">
        <v>238</v>
      </c>
      <c r="M84" s="363" t="s">
        <v>311</v>
      </c>
      <c r="N84" s="365" t="s">
        <v>312</v>
      </c>
      <c r="O84" s="364" t="s">
        <v>313</v>
      </c>
      <c r="P84" s="368" t="s">
        <v>238</v>
      </c>
    </row>
    <row r="85" spans="1:16" ht="15.75" thickBot="1">
      <c r="A85" s="607" t="s">
        <v>314</v>
      </c>
      <c r="B85" s="608"/>
      <c r="C85" s="608"/>
      <c r="D85" s="608"/>
      <c r="E85" s="369">
        <v>1266364</v>
      </c>
      <c r="F85" s="370">
        <v>210370</v>
      </c>
      <c r="G85" s="371">
        <v>30427</v>
      </c>
      <c r="H85" s="372">
        <f>SUM(E85:G85)</f>
        <v>1507161</v>
      </c>
      <c r="I85" s="373">
        <v>1375557</v>
      </c>
      <c r="J85" s="370">
        <v>592186</v>
      </c>
      <c r="K85" s="371">
        <v>48171</v>
      </c>
      <c r="L85" s="370">
        <f>SUM(I85:K85)</f>
        <v>2015914</v>
      </c>
      <c r="M85" s="369">
        <v>669951</v>
      </c>
      <c r="N85" s="370">
        <v>52687</v>
      </c>
      <c r="O85" s="371">
        <v>3342</v>
      </c>
      <c r="P85" s="372">
        <f>SUM(M85:O85)</f>
        <v>725980</v>
      </c>
    </row>
    <row r="86" spans="1:16" ht="15.75" thickBot="1">
      <c r="A86" s="607" t="s">
        <v>315</v>
      </c>
      <c r="B86" s="608"/>
      <c r="C86" s="608"/>
      <c r="D86" s="608"/>
      <c r="E86" s="374">
        <f aca="true" t="shared" si="28" ref="E86:P86">E5+E80</f>
        <v>1209041</v>
      </c>
      <c r="F86" s="374">
        <f t="shared" si="28"/>
        <v>257420</v>
      </c>
      <c r="G86" s="374">
        <f t="shared" si="28"/>
        <v>40700</v>
      </c>
      <c r="H86" s="374">
        <f t="shared" si="28"/>
        <v>1507161</v>
      </c>
      <c r="I86" s="374">
        <f t="shared" si="28"/>
        <v>1316005</v>
      </c>
      <c r="J86" s="374">
        <f t="shared" si="28"/>
        <v>659209</v>
      </c>
      <c r="K86" s="374">
        <f t="shared" si="28"/>
        <v>40700</v>
      </c>
      <c r="L86" s="374">
        <f t="shared" si="28"/>
        <v>2015914</v>
      </c>
      <c r="M86" s="374">
        <f t="shared" si="28"/>
        <v>604232.56</v>
      </c>
      <c r="N86" s="374">
        <f t="shared" si="28"/>
        <v>62890.990000000005</v>
      </c>
      <c r="O86" s="374">
        <f t="shared" si="28"/>
        <v>15038.03</v>
      </c>
      <c r="P86" s="374">
        <f t="shared" si="28"/>
        <v>682161.5800000001</v>
      </c>
    </row>
    <row r="87" spans="1:16" ht="13.5" thickBot="1">
      <c r="A87" s="609" t="s">
        <v>316</v>
      </c>
      <c r="B87" s="610"/>
      <c r="C87" s="610"/>
      <c r="D87" s="610"/>
      <c r="E87" s="375">
        <f aca="true" t="shared" si="29" ref="E87:P87">E85-E86</f>
        <v>57323</v>
      </c>
      <c r="F87" s="376">
        <f t="shared" si="29"/>
        <v>-47050</v>
      </c>
      <c r="G87" s="377">
        <f t="shared" si="29"/>
        <v>-10273</v>
      </c>
      <c r="H87" s="378">
        <f t="shared" si="29"/>
        <v>0</v>
      </c>
      <c r="I87" s="379">
        <f t="shared" si="29"/>
        <v>59552</v>
      </c>
      <c r="J87" s="380">
        <f t="shared" si="29"/>
        <v>-67023</v>
      </c>
      <c r="K87" s="380">
        <f t="shared" si="29"/>
        <v>7471</v>
      </c>
      <c r="L87" s="376">
        <f t="shared" si="29"/>
        <v>0</v>
      </c>
      <c r="M87" s="375">
        <f t="shared" si="29"/>
        <v>65718.43999999994</v>
      </c>
      <c r="N87" s="380">
        <f t="shared" si="29"/>
        <v>-10203.990000000005</v>
      </c>
      <c r="O87" s="380">
        <f t="shared" si="29"/>
        <v>-11696.03</v>
      </c>
      <c r="P87" s="444">
        <f t="shared" si="29"/>
        <v>43818.419999999925</v>
      </c>
    </row>
  </sheetData>
  <sheetProtection/>
  <mergeCells count="82">
    <mergeCell ref="A1:P1"/>
    <mergeCell ref="A2:H2"/>
    <mergeCell ref="A3:D4"/>
    <mergeCell ref="E3:H3"/>
    <mergeCell ref="I3:L3"/>
    <mergeCell ref="M3:P3"/>
    <mergeCell ref="A6:D6"/>
    <mergeCell ref="A7:A13"/>
    <mergeCell ref="B7:B9"/>
    <mergeCell ref="C7:D7"/>
    <mergeCell ref="C10:D10"/>
    <mergeCell ref="C11:D11"/>
    <mergeCell ref="C12:D12"/>
    <mergeCell ref="C13:D13"/>
    <mergeCell ref="A14:D14"/>
    <mergeCell ref="A15:A32"/>
    <mergeCell ref="B15:B17"/>
    <mergeCell ref="C15:D15"/>
    <mergeCell ref="C18:D18"/>
    <mergeCell ref="B19:B21"/>
    <mergeCell ref="C19:D19"/>
    <mergeCell ref="B22:B24"/>
    <mergeCell ref="C22:D22"/>
    <mergeCell ref="C25:D25"/>
    <mergeCell ref="C37:D37"/>
    <mergeCell ref="A38:D38"/>
    <mergeCell ref="C26:D26"/>
    <mergeCell ref="B27:B30"/>
    <mergeCell ref="C27:D27"/>
    <mergeCell ref="B31:B32"/>
    <mergeCell ref="C31:D31"/>
    <mergeCell ref="A33:D33"/>
    <mergeCell ref="A34:A35"/>
    <mergeCell ref="C34:D34"/>
    <mergeCell ref="C35:D35"/>
    <mergeCell ref="A36:D36"/>
    <mergeCell ref="A42:D42"/>
    <mergeCell ref="A43:A46"/>
    <mergeCell ref="C43:D43"/>
    <mergeCell ref="C44:D44"/>
    <mergeCell ref="C45:D45"/>
    <mergeCell ref="C46:D46"/>
    <mergeCell ref="A39:A41"/>
    <mergeCell ref="C39:D39"/>
    <mergeCell ref="C40:D40"/>
    <mergeCell ref="C41:D41"/>
    <mergeCell ref="A50:D50"/>
    <mergeCell ref="A51:A60"/>
    <mergeCell ref="B51:B57"/>
    <mergeCell ref="C51:D51"/>
    <mergeCell ref="C58:D58"/>
    <mergeCell ref="C59:D59"/>
    <mergeCell ref="A47:D47"/>
    <mergeCell ref="A48:A49"/>
    <mergeCell ref="A62:A65"/>
    <mergeCell ref="C62:D62"/>
    <mergeCell ref="C63:D63"/>
    <mergeCell ref="C64:D64"/>
    <mergeCell ref="C65:D65"/>
    <mergeCell ref="C48:D48"/>
    <mergeCell ref="C49:D49"/>
    <mergeCell ref="C60:D60"/>
    <mergeCell ref="A61:D61"/>
    <mergeCell ref="A66:D66"/>
    <mergeCell ref="A67:A68"/>
    <mergeCell ref="C67:D67"/>
    <mergeCell ref="C68:D68"/>
    <mergeCell ref="A69:D69"/>
    <mergeCell ref="A70:A79"/>
    <mergeCell ref="C70:D70"/>
    <mergeCell ref="B71:B76"/>
    <mergeCell ref="C71:D71"/>
    <mergeCell ref="B77:B79"/>
    <mergeCell ref="A85:D85"/>
    <mergeCell ref="A86:D86"/>
    <mergeCell ref="A87:D87"/>
    <mergeCell ref="C77:D77"/>
    <mergeCell ref="A80:D80"/>
    <mergeCell ref="A81:A82"/>
    <mergeCell ref="C81:D81"/>
    <mergeCell ref="C82:D82"/>
    <mergeCell ref="A84:D8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M3" sqref="M3:P3"/>
    </sheetView>
  </sheetViews>
  <sheetFormatPr defaultColWidth="9.140625" defaultRowHeight="12.75"/>
  <cols>
    <col min="1" max="1" width="3.00390625" style="0" customWidth="1"/>
    <col min="2" max="2" width="2.00390625" style="0" customWidth="1"/>
    <col min="3" max="3" width="2.7109375" style="0" customWidth="1"/>
    <col min="4" max="4" width="27.57421875" style="0" customWidth="1"/>
    <col min="5" max="5" width="7.8515625" style="0" customWidth="1"/>
    <col min="6" max="6" width="7.421875" style="0" customWidth="1"/>
    <col min="7" max="7" width="7.7109375" style="0" customWidth="1"/>
    <col min="9" max="10" width="7.57421875" style="0" customWidth="1"/>
    <col min="11" max="11" width="7.8515625" style="0" customWidth="1"/>
    <col min="12" max="12" width="9.00390625" style="0" customWidth="1"/>
    <col min="13" max="13" width="7.57421875" style="0" customWidth="1"/>
    <col min="14" max="14" width="7.28125" style="0" customWidth="1"/>
    <col min="15" max="16" width="7.7109375" style="0" customWidth="1"/>
  </cols>
  <sheetData>
    <row r="1" spans="1:16" ht="18">
      <c r="A1" s="552" t="s">
        <v>317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8.75" thickBot="1">
      <c r="A2" s="553" t="s">
        <v>350</v>
      </c>
      <c r="B2" s="553"/>
      <c r="C2" s="553"/>
      <c r="D2" s="553"/>
      <c r="E2" s="553"/>
      <c r="F2" s="553"/>
      <c r="G2" s="553"/>
      <c r="H2" s="553"/>
      <c r="I2" s="204" t="s">
        <v>360</v>
      </c>
      <c r="J2" s="204"/>
      <c r="K2" s="204"/>
      <c r="L2" s="204"/>
      <c r="M2" s="205"/>
      <c r="N2" s="205"/>
      <c r="O2" s="205"/>
      <c r="P2" s="205"/>
    </row>
    <row r="3" spans="1:16" ht="13.5" thickBot="1">
      <c r="A3" s="554" t="s">
        <v>234</v>
      </c>
      <c r="B3" s="555"/>
      <c r="C3" s="555"/>
      <c r="D3" s="556"/>
      <c r="E3" s="560" t="s">
        <v>351</v>
      </c>
      <c r="F3" s="561"/>
      <c r="G3" s="561"/>
      <c r="H3" s="562"/>
      <c r="I3" s="563" t="s">
        <v>352</v>
      </c>
      <c r="J3" s="563"/>
      <c r="K3" s="563"/>
      <c r="L3" s="564"/>
      <c r="M3" s="560" t="s">
        <v>353</v>
      </c>
      <c r="N3" s="561"/>
      <c r="O3" s="561"/>
      <c r="P3" s="562"/>
    </row>
    <row r="4" spans="1:16" ht="45" customHeight="1" thickBot="1">
      <c r="A4" s="557"/>
      <c r="B4" s="558"/>
      <c r="C4" s="558"/>
      <c r="D4" s="559"/>
      <c r="E4" s="206" t="s">
        <v>235</v>
      </c>
      <c r="F4" s="207" t="s">
        <v>236</v>
      </c>
      <c r="G4" s="208" t="s">
        <v>237</v>
      </c>
      <c r="H4" s="209" t="s">
        <v>238</v>
      </c>
      <c r="I4" s="210" t="s">
        <v>235</v>
      </c>
      <c r="J4" s="208" t="s">
        <v>236</v>
      </c>
      <c r="K4" s="207" t="s">
        <v>237</v>
      </c>
      <c r="L4" s="207" t="s">
        <v>238</v>
      </c>
      <c r="M4" s="206" t="s">
        <v>235</v>
      </c>
      <c r="N4" s="208" t="s">
        <v>236</v>
      </c>
      <c r="O4" s="207" t="s">
        <v>237</v>
      </c>
      <c r="P4" s="211" t="s">
        <v>238</v>
      </c>
    </row>
    <row r="5" spans="1:16" ht="50.25" thickBot="1">
      <c r="A5" s="212" t="s">
        <v>239</v>
      </c>
      <c r="B5" s="213" t="s">
        <v>240</v>
      </c>
      <c r="C5" s="214" t="s">
        <v>241</v>
      </c>
      <c r="D5" s="215" t="s">
        <v>242</v>
      </c>
      <c r="E5" s="216">
        <f aca="true" t="shared" si="0" ref="E5:P5">E6+E14+E33+E36+E38+E42+E47+E50+E61+E66+E69</f>
        <v>858041</v>
      </c>
      <c r="F5" s="216">
        <f t="shared" si="0"/>
        <v>257420</v>
      </c>
      <c r="G5" s="216">
        <f t="shared" si="0"/>
        <v>40700</v>
      </c>
      <c r="H5" s="216">
        <f t="shared" si="0"/>
        <v>1156161</v>
      </c>
      <c r="I5" s="216">
        <f t="shared" si="0"/>
        <v>922040</v>
      </c>
      <c r="J5" s="216">
        <f t="shared" si="0"/>
        <v>656948</v>
      </c>
      <c r="K5" s="216">
        <f t="shared" si="0"/>
        <v>40700</v>
      </c>
      <c r="L5" s="217">
        <f t="shared" si="0"/>
        <v>1619688</v>
      </c>
      <c r="M5" s="216">
        <f t="shared" si="0"/>
        <v>191875.91</v>
      </c>
      <c r="N5" s="216">
        <f t="shared" si="0"/>
        <v>0</v>
      </c>
      <c r="O5" s="216">
        <f t="shared" si="0"/>
        <v>7510</v>
      </c>
      <c r="P5" s="218">
        <f t="shared" si="0"/>
        <v>199385.91</v>
      </c>
    </row>
    <row r="6" spans="1:16" ht="15" thickBot="1">
      <c r="A6" s="567" t="s">
        <v>243</v>
      </c>
      <c r="B6" s="568"/>
      <c r="C6" s="568"/>
      <c r="D6" s="568"/>
      <c r="E6" s="219">
        <f aca="true" t="shared" si="1" ref="E6:P6">SUM(E7:E13)-E8-E9</f>
        <v>164301</v>
      </c>
      <c r="F6" s="219">
        <f t="shared" si="1"/>
        <v>30000</v>
      </c>
      <c r="G6" s="219">
        <f t="shared" si="1"/>
        <v>40700</v>
      </c>
      <c r="H6" s="219">
        <f t="shared" si="1"/>
        <v>235001</v>
      </c>
      <c r="I6" s="223">
        <f t="shared" si="1"/>
        <v>202947</v>
      </c>
      <c r="J6" s="224">
        <f t="shared" si="1"/>
        <v>31420</v>
      </c>
      <c r="K6" s="224">
        <f t="shared" si="1"/>
        <v>40700</v>
      </c>
      <c r="L6" s="225">
        <f t="shared" si="1"/>
        <v>275067</v>
      </c>
      <c r="M6" s="219">
        <f t="shared" si="1"/>
        <v>38104.25</v>
      </c>
      <c r="N6" s="221">
        <f t="shared" si="1"/>
        <v>0</v>
      </c>
      <c r="O6" s="221">
        <f t="shared" si="1"/>
        <v>7510</v>
      </c>
      <c r="P6" s="226">
        <f t="shared" si="1"/>
        <v>45614.25</v>
      </c>
    </row>
    <row r="7" spans="1:16" ht="12.75">
      <c r="A7" s="569">
        <v>1</v>
      </c>
      <c r="B7" s="572">
        <v>1</v>
      </c>
      <c r="C7" s="565" t="s">
        <v>244</v>
      </c>
      <c r="D7" s="566"/>
      <c r="E7" s="227">
        <v>152051</v>
      </c>
      <c r="F7" s="228">
        <f aca="true" t="shared" si="2" ref="F7:P7">F8+F9</f>
        <v>0</v>
      </c>
      <c r="G7" s="228">
        <f t="shared" si="2"/>
        <v>0</v>
      </c>
      <c r="H7" s="229">
        <f t="shared" si="2"/>
        <v>152051</v>
      </c>
      <c r="I7" s="414">
        <v>153251</v>
      </c>
      <c r="J7" s="230">
        <f t="shared" si="2"/>
        <v>0</v>
      </c>
      <c r="K7" s="230">
        <f t="shared" si="2"/>
        <v>0</v>
      </c>
      <c r="L7" s="231">
        <f t="shared" si="2"/>
        <v>153251</v>
      </c>
      <c r="M7" s="227">
        <v>36404.09</v>
      </c>
      <c r="N7" s="228">
        <f t="shared" si="2"/>
        <v>0</v>
      </c>
      <c r="O7" s="228">
        <f t="shared" si="2"/>
        <v>0</v>
      </c>
      <c r="P7" s="229">
        <f t="shared" si="2"/>
        <v>36404.09</v>
      </c>
    </row>
    <row r="8" spans="1:16" ht="12.75">
      <c r="A8" s="570"/>
      <c r="B8" s="573"/>
      <c r="C8" s="233">
        <v>1</v>
      </c>
      <c r="D8" s="234" t="s">
        <v>245</v>
      </c>
      <c r="E8" s="235">
        <v>147521</v>
      </c>
      <c r="F8" s="236"/>
      <c r="G8" s="237"/>
      <c r="H8" s="238">
        <f aca="true" t="shared" si="3" ref="H8:H13">SUM(E8:G8)</f>
        <v>147521</v>
      </c>
      <c r="I8" s="413">
        <v>148721</v>
      </c>
      <c r="J8" s="237"/>
      <c r="K8" s="237"/>
      <c r="L8" s="236">
        <f aca="true" t="shared" si="4" ref="L8:L13">SUM(I8:K8)</f>
        <v>148721</v>
      </c>
      <c r="M8" s="235">
        <v>36072.31</v>
      </c>
      <c r="N8" s="237"/>
      <c r="O8" s="237"/>
      <c r="P8" s="239">
        <f aca="true" t="shared" si="5" ref="P8:P13">SUM(M8:O8)</f>
        <v>36072.31</v>
      </c>
    </row>
    <row r="9" spans="1:16" ht="12.75">
      <c r="A9" s="570"/>
      <c r="B9" s="574"/>
      <c r="C9" s="233">
        <v>2</v>
      </c>
      <c r="D9" s="234" t="s">
        <v>246</v>
      </c>
      <c r="E9" s="235">
        <v>4530</v>
      </c>
      <c r="F9" s="236"/>
      <c r="G9" s="237"/>
      <c r="H9" s="238">
        <f t="shared" si="3"/>
        <v>4530</v>
      </c>
      <c r="I9" s="240">
        <v>4530</v>
      </c>
      <c r="J9" s="237"/>
      <c r="K9" s="237"/>
      <c r="L9" s="236">
        <f t="shared" si="4"/>
        <v>4530</v>
      </c>
      <c r="M9" s="235">
        <v>331.78</v>
      </c>
      <c r="N9" s="237"/>
      <c r="O9" s="237"/>
      <c r="P9" s="239">
        <f t="shared" si="5"/>
        <v>331.78</v>
      </c>
    </row>
    <row r="10" spans="1:16" ht="12.75">
      <c r="A10" s="570"/>
      <c r="B10" s="241">
        <v>2</v>
      </c>
      <c r="C10" s="565" t="s">
        <v>247</v>
      </c>
      <c r="D10" s="566"/>
      <c r="E10" s="242">
        <v>6350</v>
      </c>
      <c r="F10" s="243"/>
      <c r="G10" s="244"/>
      <c r="H10" s="245">
        <f t="shared" si="3"/>
        <v>6350</v>
      </c>
      <c r="I10" s="246">
        <v>6350</v>
      </c>
      <c r="J10" s="244"/>
      <c r="K10" s="244"/>
      <c r="L10" s="243">
        <f t="shared" si="4"/>
        <v>6350</v>
      </c>
      <c r="M10" s="242">
        <v>1198.67</v>
      </c>
      <c r="N10" s="244"/>
      <c r="O10" s="244"/>
      <c r="P10" s="247">
        <f t="shared" si="5"/>
        <v>1198.67</v>
      </c>
    </row>
    <row r="11" spans="1:16" ht="12.75">
      <c r="A11" s="570"/>
      <c r="B11" s="248">
        <v>3</v>
      </c>
      <c r="C11" s="575" t="s">
        <v>248</v>
      </c>
      <c r="D11" s="576"/>
      <c r="E11" s="242">
        <v>1500</v>
      </c>
      <c r="F11" s="243"/>
      <c r="G11" s="249"/>
      <c r="H11" s="245">
        <f t="shared" si="3"/>
        <v>1500</v>
      </c>
      <c r="I11" s="246">
        <v>1500</v>
      </c>
      <c r="J11" s="244"/>
      <c r="K11" s="249"/>
      <c r="L11" s="243">
        <f t="shared" si="4"/>
        <v>1500</v>
      </c>
      <c r="M11" s="242">
        <v>211.13</v>
      </c>
      <c r="N11" s="244"/>
      <c r="O11" s="249"/>
      <c r="P11" s="247">
        <f t="shared" si="5"/>
        <v>211.13</v>
      </c>
    </row>
    <row r="12" spans="1:16" ht="12.75">
      <c r="A12" s="570"/>
      <c r="B12" s="250">
        <v>4</v>
      </c>
      <c r="C12" s="577" t="s">
        <v>249</v>
      </c>
      <c r="D12" s="576"/>
      <c r="E12" s="251">
        <v>0</v>
      </c>
      <c r="F12" s="252">
        <v>30000</v>
      </c>
      <c r="G12" s="253">
        <v>40700</v>
      </c>
      <c r="H12" s="245">
        <f t="shared" si="3"/>
        <v>70700</v>
      </c>
      <c r="I12" s="297">
        <v>37446</v>
      </c>
      <c r="J12" s="255">
        <v>31420</v>
      </c>
      <c r="K12" s="412">
        <v>40700</v>
      </c>
      <c r="L12" s="243">
        <f t="shared" si="4"/>
        <v>109566</v>
      </c>
      <c r="M12" s="251">
        <v>0</v>
      </c>
      <c r="N12" s="256">
        <v>0</v>
      </c>
      <c r="O12" s="253">
        <v>7510</v>
      </c>
      <c r="P12" s="247">
        <f t="shared" si="5"/>
        <v>7510</v>
      </c>
    </row>
    <row r="13" spans="1:16" ht="13.5" thickBot="1">
      <c r="A13" s="571"/>
      <c r="B13" s="257">
        <v>5</v>
      </c>
      <c r="C13" s="578" t="s">
        <v>250</v>
      </c>
      <c r="D13" s="579"/>
      <c r="E13" s="258">
        <f>2000+1000+1400</f>
        <v>4400</v>
      </c>
      <c r="F13" s="259"/>
      <c r="G13" s="260"/>
      <c r="H13" s="261">
        <f t="shared" si="3"/>
        <v>4400</v>
      </c>
      <c r="I13" s="324">
        <f>2000+1000+1400</f>
        <v>4400</v>
      </c>
      <c r="J13" s="262"/>
      <c r="K13" s="260"/>
      <c r="L13" s="263">
        <f t="shared" si="4"/>
        <v>4400</v>
      </c>
      <c r="M13" s="258">
        <f>95.79+19.57+175</f>
        <v>290.36</v>
      </c>
      <c r="N13" s="262"/>
      <c r="O13" s="260"/>
      <c r="P13" s="264">
        <f t="shared" si="5"/>
        <v>290.36</v>
      </c>
    </row>
    <row r="14" spans="1:16" ht="15" thickBot="1">
      <c r="A14" s="580" t="s">
        <v>251</v>
      </c>
      <c r="B14" s="581"/>
      <c r="C14" s="581"/>
      <c r="D14" s="581"/>
      <c r="E14" s="265">
        <f aca="true" t="shared" si="6" ref="E14:P14">E15+E18+E19+E22+E25+E26+E27+E31</f>
        <v>161140</v>
      </c>
      <c r="F14" s="224">
        <f t="shared" si="6"/>
        <v>7550</v>
      </c>
      <c r="G14" s="224">
        <f t="shared" si="6"/>
        <v>0</v>
      </c>
      <c r="H14" s="266">
        <f t="shared" si="6"/>
        <v>168690</v>
      </c>
      <c r="I14" s="223">
        <f t="shared" si="6"/>
        <v>161174</v>
      </c>
      <c r="J14" s="224">
        <f t="shared" si="6"/>
        <v>7550</v>
      </c>
      <c r="K14" s="224">
        <f t="shared" si="6"/>
        <v>0</v>
      </c>
      <c r="L14" s="225">
        <f t="shared" si="6"/>
        <v>168724</v>
      </c>
      <c r="M14" s="265">
        <f t="shared" si="6"/>
        <v>32971.78</v>
      </c>
      <c r="N14" s="224">
        <f t="shared" si="6"/>
        <v>0</v>
      </c>
      <c r="O14" s="224">
        <f t="shared" si="6"/>
        <v>0</v>
      </c>
      <c r="P14" s="266">
        <f t="shared" si="6"/>
        <v>32971.78</v>
      </c>
    </row>
    <row r="15" spans="1:16" ht="12.75">
      <c r="A15" s="582">
        <v>2</v>
      </c>
      <c r="B15" s="583">
        <v>1</v>
      </c>
      <c r="C15" s="584" t="s">
        <v>252</v>
      </c>
      <c r="D15" s="585"/>
      <c r="E15" s="267">
        <f aca="true" t="shared" si="7" ref="E15:P15">E16+E17</f>
        <v>400</v>
      </c>
      <c r="F15" s="268">
        <f t="shared" si="7"/>
        <v>0</v>
      </c>
      <c r="G15" s="268">
        <f t="shared" si="7"/>
        <v>0</v>
      </c>
      <c r="H15" s="269">
        <f t="shared" si="7"/>
        <v>400</v>
      </c>
      <c r="I15" s="270">
        <f t="shared" si="7"/>
        <v>400</v>
      </c>
      <c r="J15" s="268">
        <f t="shared" si="7"/>
        <v>0</v>
      </c>
      <c r="K15" s="268">
        <f t="shared" si="7"/>
        <v>0</v>
      </c>
      <c r="L15" s="271">
        <f t="shared" si="7"/>
        <v>400</v>
      </c>
      <c r="M15" s="267">
        <f t="shared" si="7"/>
        <v>0</v>
      </c>
      <c r="N15" s="268">
        <f t="shared" si="7"/>
        <v>0</v>
      </c>
      <c r="O15" s="268">
        <f t="shared" si="7"/>
        <v>0</v>
      </c>
      <c r="P15" s="269">
        <f t="shared" si="7"/>
        <v>0</v>
      </c>
    </row>
    <row r="16" spans="1:16" ht="12.75">
      <c r="A16" s="570"/>
      <c r="B16" s="573"/>
      <c r="C16" s="233">
        <v>1</v>
      </c>
      <c r="D16" s="234" t="s">
        <v>143</v>
      </c>
      <c r="E16" s="235">
        <v>300</v>
      </c>
      <c r="F16" s="236"/>
      <c r="G16" s="237"/>
      <c r="H16" s="272">
        <f>SUM(E16:G16)</f>
        <v>300</v>
      </c>
      <c r="I16" s="240">
        <v>300</v>
      </c>
      <c r="J16" s="237"/>
      <c r="K16" s="237"/>
      <c r="L16" s="273">
        <f>SUM(I16:K16)</f>
        <v>300</v>
      </c>
      <c r="M16" s="235">
        <v>0</v>
      </c>
      <c r="N16" s="237"/>
      <c r="O16" s="237"/>
      <c r="P16" s="274">
        <f>SUM(M16:O16)</f>
        <v>0</v>
      </c>
    </row>
    <row r="17" spans="1:16" ht="12.75">
      <c r="A17" s="570"/>
      <c r="B17" s="574"/>
      <c r="C17" s="233">
        <v>2</v>
      </c>
      <c r="D17" s="234" t="s">
        <v>112</v>
      </c>
      <c r="E17" s="235">
        <v>100</v>
      </c>
      <c r="F17" s="236"/>
      <c r="G17" s="237"/>
      <c r="H17" s="272">
        <f>SUM(E17:G17)</f>
        <v>100</v>
      </c>
      <c r="I17" s="240">
        <v>100</v>
      </c>
      <c r="J17" s="237"/>
      <c r="K17" s="237"/>
      <c r="L17" s="273">
        <f>SUM(I17:K17)</f>
        <v>100</v>
      </c>
      <c r="M17" s="235">
        <v>0</v>
      </c>
      <c r="N17" s="237"/>
      <c r="O17" s="237"/>
      <c r="P17" s="274">
        <f>SUM(M17:O17)</f>
        <v>0</v>
      </c>
    </row>
    <row r="18" spans="1:16" ht="12.75">
      <c r="A18" s="570"/>
      <c r="B18" s="241">
        <v>2</v>
      </c>
      <c r="C18" s="565" t="s">
        <v>253</v>
      </c>
      <c r="D18" s="566"/>
      <c r="E18" s="242">
        <v>3700</v>
      </c>
      <c r="F18" s="243"/>
      <c r="G18" s="244"/>
      <c r="H18" s="245">
        <f>SUM(E18:G18)</f>
        <v>3700</v>
      </c>
      <c r="I18" s="246">
        <v>3734</v>
      </c>
      <c r="J18" s="244"/>
      <c r="K18" s="244"/>
      <c r="L18" s="243">
        <f>SUM(I18:K18)</f>
        <v>3734</v>
      </c>
      <c r="M18" s="242">
        <v>1034.89</v>
      </c>
      <c r="N18" s="244"/>
      <c r="O18" s="244"/>
      <c r="P18" s="247">
        <f>SUM(M18:O18)</f>
        <v>1034.89</v>
      </c>
    </row>
    <row r="19" spans="1:16" ht="12.75">
      <c r="A19" s="570"/>
      <c r="B19" s="572">
        <v>3</v>
      </c>
      <c r="C19" s="565" t="s">
        <v>254</v>
      </c>
      <c r="D19" s="566"/>
      <c r="E19" s="242">
        <f aca="true" t="shared" si="8" ref="E19:P19">E20+E21</f>
        <v>8500</v>
      </c>
      <c r="F19" s="244">
        <f t="shared" si="8"/>
        <v>0</v>
      </c>
      <c r="G19" s="244">
        <f t="shared" si="8"/>
        <v>0</v>
      </c>
      <c r="H19" s="247">
        <f t="shared" si="8"/>
        <v>8500</v>
      </c>
      <c r="I19" s="246">
        <f t="shared" si="8"/>
        <v>8500</v>
      </c>
      <c r="J19" s="244">
        <f t="shared" si="8"/>
        <v>0</v>
      </c>
      <c r="K19" s="244">
        <f t="shared" si="8"/>
        <v>0</v>
      </c>
      <c r="L19" s="243">
        <f t="shared" si="8"/>
        <v>8500</v>
      </c>
      <c r="M19" s="242">
        <f t="shared" si="8"/>
        <v>1607.79</v>
      </c>
      <c r="N19" s="244">
        <f t="shared" si="8"/>
        <v>0</v>
      </c>
      <c r="O19" s="244">
        <f t="shared" si="8"/>
        <v>0</v>
      </c>
      <c r="P19" s="247">
        <f t="shared" si="8"/>
        <v>1607.79</v>
      </c>
    </row>
    <row r="20" spans="1:16" ht="12.75">
      <c r="A20" s="570"/>
      <c r="B20" s="573"/>
      <c r="C20" s="233">
        <v>1</v>
      </c>
      <c r="D20" s="234" t="s">
        <v>255</v>
      </c>
      <c r="E20" s="276">
        <v>5000</v>
      </c>
      <c r="F20" s="273"/>
      <c r="G20" s="277"/>
      <c r="H20" s="272">
        <f>SUM(E20:G20)</f>
        <v>5000</v>
      </c>
      <c r="I20" s="278">
        <v>5000</v>
      </c>
      <c r="J20" s="277"/>
      <c r="K20" s="277"/>
      <c r="L20" s="273">
        <f>SUM(I20:K20)</f>
        <v>5000</v>
      </c>
      <c r="M20" s="276">
        <v>866.79</v>
      </c>
      <c r="N20" s="277"/>
      <c r="O20" s="277"/>
      <c r="P20" s="274">
        <f>SUM(M20:O20)</f>
        <v>866.79</v>
      </c>
    </row>
    <row r="21" spans="1:16" ht="12.75">
      <c r="A21" s="570"/>
      <c r="B21" s="574"/>
      <c r="C21" s="233">
        <v>2</v>
      </c>
      <c r="D21" s="234" t="s">
        <v>256</v>
      </c>
      <c r="E21" s="276">
        <v>3500</v>
      </c>
      <c r="F21" s="273"/>
      <c r="G21" s="277"/>
      <c r="H21" s="272">
        <f>SUM(E21:G21)</f>
        <v>3500</v>
      </c>
      <c r="I21" s="278">
        <v>3500</v>
      </c>
      <c r="J21" s="277"/>
      <c r="K21" s="277"/>
      <c r="L21" s="273">
        <f>SUM(I21:K21)</f>
        <v>3500</v>
      </c>
      <c r="M21" s="276">
        <v>741</v>
      </c>
      <c r="N21" s="277"/>
      <c r="O21" s="277"/>
      <c r="P21" s="274">
        <f>SUM(M21:O21)</f>
        <v>741</v>
      </c>
    </row>
    <row r="22" spans="1:16" ht="12.75">
      <c r="A22" s="570"/>
      <c r="B22" s="572">
        <v>4</v>
      </c>
      <c r="C22" s="565" t="s">
        <v>257</v>
      </c>
      <c r="D22" s="566"/>
      <c r="E22" s="227">
        <f aca="true" t="shared" si="9" ref="E22:P22">SUM(E23:E24)</f>
        <v>2420</v>
      </c>
      <c r="F22" s="228">
        <f t="shared" si="9"/>
        <v>0</v>
      </c>
      <c r="G22" s="228">
        <f t="shared" si="9"/>
        <v>0</v>
      </c>
      <c r="H22" s="229">
        <f t="shared" si="9"/>
        <v>2420</v>
      </c>
      <c r="I22" s="382">
        <f t="shared" si="9"/>
        <v>2420</v>
      </c>
      <c r="J22" s="228">
        <f t="shared" si="9"/>
        <v>0</v>
      </c>
      <c r="K22" s="228">
        <f t="shared" si="9"/>
        <v>0</v>
      </c>
      <c r="L22" s="279">
        <f t="shared" si="9"/>
        <v>2420</v>
      </c>
      <c r="M22" s="227">
        <f t="shared" si="9"/>
        <v>1082.76</v>
      </c>
      <c r="N22" s="228">
        <f t="shared" si="9"/>
        <v>0</v>
      </c>
      <c r="O22" s="228">
        <f t="shared" si="9"/>
        <v>0</v>
      </c>
      <c r="P22" s="229">
        <f t="shared" si="9"/>
        <v>1082.76</v>
      </c>
    </row>
    <row r="23" spans="1:16" ht="12.75">
      <c r="A23" s="570"/>
      <c r="B23" s="573"/>
      <c r="C23" s="233">
        <v>1</v>
      </c>
      <c r="D23" s="234" t="s">
        <v>258</v>
      </c>
      <c r="E23" s="276">
        <v>1700</v>
      </c>
      <c r="F23" s="273"/>
      <c r="G23" s="277"/>
      <c r="H23" s="272">
        <f>SUM(E23:G23)</f>
        <v>1700</v>
      </c>
      <c r="I23" s="278">
        <v>1700</v>
      </c>
      <c r="J23" s="277"/>
      <c r="K23" s="277"/>
      <c r="L23" s="273">
        <f>SUM(I23:K23)</f>
        <v>1700</v>
      </c>
      <c r="M23" s="276">
        <v>970.2</v>
      </c>
      <c r="N23" s="277"/>
      <c r="O23" s="277"/>
      <c r="P23" s="274">
        <f>SUM(M23:O23)</f>
        <v>970.2</v>
      </c>
    </row>
    <row r="24" spans="1:16" ht="12.75">
      <c r="A24" s="570"/>
      <c r="B24" s="574"/>
      <c r="C24" s="280">
        <v>2</v>
      </c>
      <c r="D24" s="281" t="s">
        <v>259</v>
      </c>
      <c r="E24" s="282">
        <v>720</v>
      </c>
      <c r="F24" s="283"/>
      <c r="G24" s="284"/>
      <c r="H24" s="272">
        <f>SUM(E24:G24)</f>
        <v>720</v>
      </c>
      <c r="I24" s="285">
        <v>720</v>
      </c>
      <c r="J24" s="284"/>
      <c r="K24" s="284"/>
      <c r="L24" s="273">
        <f>SUM(I24:K24)</f>
        <v>720</v>
      </c>
      <c r="M24" s="282">
        <v>112.56</v>
      </c>
      <c r="N24" s="284"/>
      <c r="O24" s="284"/>
      <c r="P24" s="274">
        <f>SUM(M24:O24)</f>
        <v>112.56</v>
      </c>
    </row>
    <row r="25" spans="1:16" ht="12.75">
      <c r="A25" s="570"/>
      <c r="B25" s="286">
        <v>5</v>
      </c>
      <c r="C25" s="565" t="s">
        <v>260</v>
      </c>
      <c r="D25" s="566"/>
      <c r="E25" s="287">
        <v>14700</v>
      </c>
      <c r="F25" s="288"/>
      <c r="G25" s="289"/>
      <c r="H25" s="245">
        <f>SUM(E25:G25)</f>
        <v>14700</v>
      </c>
      <c r="I25" s="290">
        <v>14700</v>
      </c>
      <c r="J25" s="289"/>
      <c r="K25" s="289"/>
      <c r="L25" s="243">
        <f>SUM(I25:K25)</f>
        <v>14700</v>
      </c>
      <c r="M25" s="287">
        <v>4430.19</v>
      </c>
      <c r="N25" s="289"/>
      <c r="O25" s="289"/>
      <c r="P25" s="247">
        <f>SUM(M25:O25)</f>
        <v>4430.19</v>
      </c>
    </row>
    <row r="26" spans="1:16" ht="12.75">
      <c r="A26" s="570"/>
      <c r="B26" s="286">
        <v>6</v>
      </c>
      <c r="C26" s="565" t="s">
        <v>261</v>
      </c>
      <c r="D26" s="566"/>
      <c r="E26" s="287">
        <v>85420</v>
      </c>
      <c r="F26" s="288">
        <v>7550</v>
      </c>
      <c r="G26" s="289"/>
      <c r="H26" s="245">
        <f>SUM(E26:G26)</f>
        <v>92970</v>
      </c>
      <c r="I26" s="290">
        <v>85420</v>
      </c>
      <c r="J26" s="289">
        <v>7550</v>
      </c>
      <c r="K26" s="289"/>
      <c r="L26" s="243">
        <f>SUM(I26:K26)</f>
        <v>92970</v>
      </c>
      <c r="M26" s="287">
        <v>17213.39</v>
      </c>
      <c r="N26" s="289">
        <v>0</v>
      </c>
      <c r="O26" s="289"/>
      <c r="P26" s="247">
        <f>SUM(M26:O26)</f>
        <v>17213.39</v>
      </c>
    </row>
    <row r="27" spans="1:16" ht="12.75">
      <c r="A27" s="570"/>
      <c r="B27" s="572">
        <v>7</v>
      </c>
      <c r="C27" s="565" t="s">
        <v>262</v>
      </c>
      <c r="D27" s="566"/>
      <c r="E27" s="287">
        <f aca="true" t="shared" si="10" ref="E27:P27">SUM(E28:E30)</f>
        <v>43000</v>
      </c>
      <c r="F27" s="289">
        <f t="shared" si="10"/>
        <v>0</v>
      </c>
      <c r="G27" s="289">
        <f t="shared" si="10"/>
        <v>0</v>
      </c>
      <c r="H27" s="291">
        <f t="shared" si="10"/>
        <v>43000</v>
      </c>
      <c r="I27" s="290">
        <f t="shared" si="10"/>
        <v>43000</v>
      </c>
      <c r="J27" s="289">
        <f t="shared" si="10"/>
        <v>0</v>
      </c>
      <c r="K27" s="289">
        <f t="shared" si="10"/>
        <v>0</v>
      </c>
      <c r="L27" s="288">
        <f t="shared" si="10"/>
        <v>43000</v>
      </c>
      <c r="M27" s="287">
        <f>SUM(M28:M30)</f>
        <v>7602.76</v>
      </c>
      <c r="N27" s="289">
        <f t="shared" si="10"/>
        <v>0</v>
      </c>
      <c r="O27" s="289">
        <f t="shared" si="10"/>
        <v>0</v>
      </c>
      <c r="P27" s="291">
        <f t="shared" si="10"/>
        <v>7602.76</v>
      </c>
    </row>
    <row r="28" spans="1:16" ht="12.75">
      <c r="A28" s="570"/>
      <c r="B28" s="573"/>
      <c r="C28" s="233">
        <v>1</v>
      </c>
      <c r="D28" s="234" t="s">
        <v>85</v>
      </c>
      <c r="E28" s="235">
        <v>14000</v>
      </c>
      <c r="F28" s="236"/>
      <c r="G28" s="237"/>
      <c r="H28" s="272">
        <f>SUM(E28:G28)</f>
        <v>14000</v>
      </c>
      <c r="I28" s="240">
        <v>14000</v>
      </c>
      <c r="J28" s="237"/>
      <c r="K28" s="237"/>
      <c r="L28" s="273">
        <f>SUM(I28:K28)</f>
        <v>14000</v>
      </c>
      <c r="M28" s="235">
        <v>1401.5</v>
      </c>
      <c r="N28" s="237"/>
      <c r="O28" s="237"/>
      <c r="P28" s="274">
        <f>SUM(M28:O28)</f>
        <v>1401.5</v>
      </c>
    </row>
    <row r="29" spans="1:16" ht="12.75">
      <c r="A29" s="570"/>
      <c r="B29" s="573"/>
      <c r="C29" s="233">
        <v>2</v>
      </c>
      <c r="D29" s="234" t="s">
        <v>263</v>
      </c>
      <c r="E29" s="235">
        <v>18000</v>
      </c>
      <c r="F29" s="236"/>
      <c r="G29" s="237"/>
      <c r="H29" s="272">
        <f>SUM(E29:G29)</f>
        <v>18000</v>
      </c>
      <c r="I29" s="240">
        <v>18000</v>
      </c>
      <c r="J29" s="237"/>
      <c r="K29" s="237"/>
      <c r="L29" s="273">
        <f>SUM(I29:K29)</f>
        <v>18000</v>
      </c>
      <c r="M29" s="235">
        <v>3403.3</v>
      </c>
      <c r="N29" s="237"/>
      <c r="O29" s="237"/>
      <c r="P29" s="274">
        <f>SUM(M29:O29)</f>
        <v>3403.3</v>
      </c>
    </row>
    <row r="30" spans="1:16" ht="12.75">
      <c r="A30" s="570"/>
      <c r="B30" s="574"/>
      <c r="C30" s="233">
        <v>3</v>
      </c>
      <c r="D30" s="234" t="s">
        <v>264</v>
      </c>
      <c r="E30" s="235">
        <v>11000</v>
      </c>
      <c r="F30" s="236"/>
      <c r="G30" s="237"/>
      <c r="H30" s="272">
        <f>SUM(E30:G30)</f>
        <v>11000</v>
      </c>
      <c r="I30" s="240">
        <v>11000</v>
      </c>
      <c r="J30" s="237"/>
      <c r="K30" s="237"/>
      <c r="L30" s="273">
        <f>SUM(I30:K30)</f>
        <v>11000</v>
      </c>
      <c r="M30" s="235">
        <v>2797.96</v>
      </c>
      <c r="N30" s="237" t="s">
        <v>265</v>
      </c>
      <c r="O30" s="237"/>
      <c r="P30" s="274">
        <f>SUM(M30:O30)</f>
        <v>2797.96</v>
      </c>
    </row>
    <row r="31" spans="1:16" ht="12.75">
      <c r="A31" s="570"/>
      <c r="B31" s="572">
        <v>8</v>
      </c>
      <c r="C31" s="565" t="s">
        <v>266</v>
      </c>
      <c r="D31" s="566"/>
      <c r="E31" s="287">
        <f aca="true" t="shared" si="11" ref="E31:P31">SUM(E32:E32)</f>
        <v>3000</v>
      </c>
      <c r="F31" s="289">
        <f t="shared" si="11"/>
        <v>0</v>
      </c>
      <c r="G31" s="289">
        <f t="shared" si="11"/>
        <v>0</v>
      </c>
      <c r="H31" s="291">
        <f t="shared" si="11"/>
        <v>3000</v>
      </c>
      <c r="I31" s="290">
        <f t="shared" si="11"/>
        <v>3000</v>
      </c>
      <c r="J31" s="289">
        <f t="shared" si="11"/>
        <v>0</v>
      </c>
      <c r="K31" s="289">
        <f t="shared" si="11"/>
        <v>0</v>
      </c>
      <c r="L31" s="288">
        <f t="shared" si="11"/>
        <v>3000</v>
      </c>
      <c r="M31" s="287">
        <f t="shared" si="11"/>
        <v>0</v>
      </c>
      <c r="N31" s="289">
        <f t="shared" si="11"/>
        <v>0</v>
      </c>
      <c r="O31" s="289">
        <f t="shared" si="11"/>
        <v>0</v>
      </c>
      <c r="P31" s="291">
        <f t="shared" si="11"/>
        <v>0</v>
      </c>
    </row>
    <row r="32" spans="1:16" ht="13.5" thickBot="1">
      <c r="A32" s="570"/>
      <c r="B32" s="573"/>
      <c r="C32" s="233">
        <v>1</v>
      </c>
      <c r="D32" s="234" t="s">
        <v>74</v>
      </c>
      <c r="E32" s="235">
        <v>3000</v>
      </c>
      <c r="F32" s="236"/>
      <c r="G32" s="237"/>
      <c r="H32" s="272">
        <f>SUM(E32:G32)</f>
        <v>3000</v>
      </c>
      <c r="I32" s="240">
        <v>3000</v>
      </c>
      <c r="J32" s="237"/>
      <c r="K32" s="237"/>
      <c r="L32" s="273">
        <f>SUM(I32:K32)</f>
        <v>3000</v>
      </c>
      <c r="M32" s="235">
        <v>0</v>
      </c>
      <c r="N32" s="237"/>
      <c r="O32" s="237"/>
      <c r="P32" s="274">
        <f>SUM(M32:O32)</f>
        <v>0</v>
      </c>
    </row>
    <row r="33" spans="1:16" ht="14.25">
      <c r="A33" s="567" t="s">
        <v>267</v>
      </c>
      <c r="B33" s="568"/>
      <c r="C33" s="568"/>
      <c r="D33" s="568"/>
      <c r="E33" s="219">
        <f aca="true" t="shared" si="12" ref="E33:P33">SUM(E34:E35)</f>
        <v>4160</v>
      </c>
      <c r="F33" s="220">
        <f t="shared" si="12"/>
        <v>0</v>
      </c>
      <c r="G33" s="221">
        <f t="shared" si="12"/>
        <v>0</v>
      </c>
      <c r="H33" s="222">
        <f t="shared" si="12"/>
        <v>4160</v>
      </c>
      <c r="I33" s="292">
        <f t="shared" si="12"/>
        <v>4160</v>
      </c>
      <c r="J33" s="221">
        <f t="shared" si="12"/>
        <v>0</v>
      </c>
      <c r="K33" s="221">
        <f t="shared" si="12"/>
        <v>0</v>
      </c>
      <c r="L33" s="220">
        <f t="shared" si="12"/>
        <v>4160</v>
      </c>
      <c r="M33" s="219">
        <f t="shared" si="12"/>
        <v>379.95</v>
      </c>
      <c r="N33" s="221">
        <f t="shared" si="12"/>
        <v>0</v>
      </c>
      <c r="O33" s="221">
        <f t="shared" si="12"/>
        <v>0</v>
      </c>
      <c r="P33" s="226">
        <f t="shared" si="12"/>
        <v>379.95</v>
      </c>
    </row>
    <row r="34" spans="1:16" ht="12.75">
      <c r="A34" s="570">
        <v>3</v>
      </c>
      <c r="B34" s="293">
        <v>1</v>
      </c>
      <c r="C34" s="588" t="s">
        <v>268</v>
      </c>
      <c r="D34" s="589"/>
      <c r="E34" s="251">
        <v>4000</v>
      </c>
      <c r="F34" s="252"/>
      <c r="G34" s="256"/>
      <c r="H34" s="294">
        <f>SUM(E34:G34)</f>
        <v>4000</v>
      </c>
      <c r="I34" s="254">
        <v>4000</v>
      </c>
      <c r="J34" s="256"/>
      <c r="K34" s="256"/>
      <c r="L34" s="252">
        <f>SUM(I34:K34)</f>
        <v>4000</v>
      </c>
      <c r="M34" s="251">
        <v>379.95</v>
      </c>
      <c r="N34" s="256"/>
      <c r="O34" s="256"/>
      <c r="P34" s="295">
        <f>SUM(M34:O34)</f>
        <v>379.95</v>
      </c>
    </row>
    <row r="35" spans="1:16" ht="13.5" thickBot="1">
      <c r="A35" s="570"/>
      <c r="B35" s="241">
        <v>2</v>
      </c>
      <c r="C35" s="565" t="s">
        <v>75</v>
      </c>
      <c r="D35" s="566"/>
      <c r="E35" s="287">
        <v>160</v>
      </c>
      <c r="F35" s="288"/>
      <c r="G35" s="289"/>
      <c r="H35" s="296">
        <f>SUM(E35:G35)</f>
        <v>160</v>
      </c>
      <c r="I35" s="290">
        <v>160</v>
      </c>
      <c r="J35" s="289"/>
      <c r="K35" s="289"/>
      <c r="L35" s="279">
        <f>SUM(I35:K35)</f>
        <v>160</v>
      </c>
      <c r="M35" s="287">
        <v>0</v>
      </c>
      <c r="N35" s="289"/>
      <c r="O35" s="289"/>
      <c r="P35" s="229">
        <f>SUM(M35:O35)</f>
        <v>0</v>
      </c>
    </row>
    <row r="36" spans="1:16" ht="14.25">
      <c r="A36" s="567" t="s">
        <v>269</v>
      </c>
      <c r="B36" s="568"/>
      <c r="C36" s="568"/>
      <c r="D36" s="568"/>
      <c r="E36" s="219">
        <f aca="true" t="shared" si="13" ref="E36:P36">SUM(E37:E37)</f>
        <v>15000</v>
      </c>
      <c r="F36" s="220">
        <f t="shared" si="13"/>
        <v>0</v>
      </c>
      <c r="G36" s="221">
        <f t="shared" si="13"/>
        <v>0</v>
      </c>
      <c r="H36" s="222">
        <f t="shared" si="13"/>
        <v>15000</v>
      </c>
      <c r="I36" s="292">
        <f t="shared" si="13"/>
        <v>15000</v>
      </c>
      <c r="J36" s="221">
        <f t="shared" si="13"/>
        <v>0</v>
      </c>
      <c r="K36" s="221">
        <f t="shared" si="13"/>
        <v>0</v>
      </c>
      <c r="L36" s="220">
        <f t="shared" si="13"/>
        <v>15000</v>
      </c>
      <c r="M36" s="219">
        <f t="shared" si="13"/>
        <v>7770.42</v>
      </c>
      <c r="N36" s="221">
        <f t="shared" si="13"/>
        <v>0</v>
      </c>
      <c r="O36" s="221">
        <f t="shared" si="13"/>
        <v>0</v>
      </c>
      <c r="P36" s="226">
        <f t="shared" si="13"/>
        <v>7770.42</v>
      </c>
    </row>
    <row r="37" spans="1:16" ht="13.5" thickBot="1">
      <c r="A37" s="232">
        <v>4</v>
      </c>
      <c r="B37" s="293">
        <v>1</v>
      </c>
      <c r="C37" s="588" t="s">
        <v>270</v>
      </c>
      <c r="D37" s="589"/>
      <c r="E37" s="251">
        <v>15000</v>
      </c>
      <c r="F37" s="252"/>
      <c r="G37" s="256"/>
      <c r="H37" s="294">
        <f>SUM(E37:G37)</f>
        <v>15000</v>
      </c>
      <c r="I37" s="411">
        <v>15000</v>
      </c>
      <c r="J37" s="256"/>
      <c r="K37" s="256"/>
      <c r="L37" s="252">
        <f>SUM(I37:K37)</f>
        <v>15000</v>
      </c>
      <c r="M37" s="251">
        <v>7770.42</v>
      </c>
      <c r="N37" s="256"/>
      <c r="O37" s="256"/>
      <c r="P37" s="295">
        <f>SUM(M37:O37)</f>
        <v>7770.42</v>
      </c>
    </row>
    <row r="38" spans="1:16" ht="14.25">
      <c r="A38" s="567" t="s">
        <v>271</v>
      </c>
      <c r="B38" s="568"/>
      <c r="C38" s="568"/>
      <c r="D38" s="568"/>
      <c r="E38" s="219">
        <f aca="true" t="shared" si="14" ref="E38:P38">SUM(E39:E41)</f>
        <v>88700</v>
      </c>
      <c r="F38" s="220">
        <f t="shared" si="14"/>
        <v>30000</v>
      </c>
      <c r="G38" s="221">
        <f t="shared" si="14"/>
        <v>0</v>
      </c>
      <c r="H38" s="222">
        <f t="shared" si="14"/>
        <v>118700</v>
      </c>
      <c r="I38" s="292">
        <f t="shared" si="14"/>
        <v>113219</v>
      </c>
      <c r="J38" s="221">
        <f t="shared" si="14"/>
        <v>428108</v>
      </c>
      <c r="K38" s="221">
        <f t="shared" si="14"/>
        <v>0</v>
      </c>
      <c r="L38" s="220">
        <f t="shared" si="14"/>
        <v>541327</v>
      </c>
      <c r="M38" s="219">
        <f t="shared" si="14"/>
        <v>23699.739999999998</v>
      </c>
      <c r="N38" s="221">
        <f t="shared" si="14"/>
        <v>0</v>
      </c>
      <c r="O38" s="221">
        <f t="shared" si="14"/>
        <v>0</v>
      </c>
      <c r="P38" s="226">
        <f t="shared" si="14"/>
        <v>23699.739999999998</v>
      </c>
    </row>
    <row r="39" spans="1:16" ht="12.75">
      <c r="A39" s="569">
        <v>5</v>
      </c>
      <c r="B39" s="241">
        <v>1</v>
      </c>
      <c r="C39" s="565" t="s">
        <v>272</v>
      </c>
      <c r="D39" s="566"/>
      <c r="E39" s="242">
        <v>23700</v>
      </c>
      <c r="F39" s="243"/>
      <c r="G39" s="244"/>
      <c r="H39" s="245">
        <f aca="true" t="shared" si="15" ref="H39:H46">SUM(E39:G39)</f>
        <v>23700</v>
      </c>
      <c r="I39" s="246">
        <v>23700</v>
      </c>
      <c r="J39" s="244"/>
      <c r="K39" s="244"/>
      <c r="L39" s="243">
        <f aca="true" t="shared" si="16" ref="L39:L46">SUM(I39:K39)</f>
        <v>23700</v>
      </c>
      <c r="M39" s="242">
        <v>2741.25</v>
      </c>
      <c r="N39" s="244"/>
      <c r="O39" s="244"/>
      <c r="P39" s="247">
        <f aca="true" t="shared" si="17" ref="P39:P46">SUM(M39:O39)</f>
        <v>2741.25</v>
      </c>
    </row>
    <row r="40" spans="1:16" ht="12.75">
      <c r="A40" s="570"/>
      <c r="B40" s="298">
        <v>2</v>
      </c>
      <c r="C40" s="565" t="s">
        <v>273</v>
      </c>
      <c r="D40" s="566"/>
      <c r="E40" s="299">
        <v>64900</v>
      </c>
      <c r="F40" s="300">
        <v>30000</v>
      </c>
      <c r="G40" s="301"/>
      <c r="H40" s="245">
        <f t="shared" si="15"/>
        <v>94900</v>
      </c>
      <c r="I40" s="319">
        <v>64900</v>
      </c>
      <c r="J40" s="302">
        <v>85900</v>
      </c>
      <c r="K40" s="301"/>
      <c r="L40" s="243">
        <f t="shared" si="16"/>
        <v>150800</v>
      </c>
      <c r="M40" s="299">
        <v>20955.14</v>
      </c>
      <c r="N40" s="301">
        <v>0</v>
      </c>
      <c r="O40" s="301"/>
      <c r="P40" s="247">
        <f t="shared" si="17"/>
        <v>20955.14</v>
      </c>
    </row>
    <row r="41" spans="1:16" ht="13.5" thickBot="1">
      <c r="A41" s="571"/>
      <c r="B41" s="303">
        <v>3</v>
      </c>
      <c r="C41" s="578" t="s">
        <v>274</v>
      </c>
      <c r="D41" s="579"/>
      <c r="E41" s="304">
        <v>100</v>
      </c>
      <c r="F41" s="263">
        <v>0</v>
      </c>
      <c r="G41" s="305"/>
      <c r="H41" s="261">
        <f t="shared" si="15"/>
        <v>100</v>
      </c>
      <c r="I41" s="306">
        <v>24619</v>
      </c>
      <c r="J41" s="410">
        <v>342208</v>
      </c>
      <c r="K41" s="305"/>
      <c r="L41" s="263">
        <f t="shared" si="16"/>
        <v>366827</v>
      </c>
      <c r="M41" s="304">
        <v>3.35</v>
      </c>
      <c r="N41" s="305">
        <v>0</v>
      </c>
      <c r="O41" s="305"/>
      <c r="P41" s="264">
        <f t="shared" si="17"/>
        <v>3.35</v>
      </c>
    </row>
    <row r="42" spans="1:16" ht="14.25">
      <c r="A42" s="586" t="s">
        <v>125</v>
      </c>
      <c r="B42" s="587"/>
      <c r="C42" s="587"/>
      <c r="D42" s="587"/>
      <c r="E42" s="307">
        <f>SUM(E43:E46)</f>
        <v>258520</v>
      </c>
      <c r="F42" s="308">
        <f>SUM(F43:F46)</f>
        <v>0</v>
      </c>
      <c r="G42" s="309">
        <f>SUM(G43:G46)</f>
        <v>0</v>
      </c>
      <c r="H42" s="310">
        <f t="shared" si="15"/>
        <v>258520</v>
      </c>
      <c r="I42" s="311">
        <f>SUM(I43:I46)</f>
        <v>258520</v>
      </c>
      <c r="J42" s="309">
        <f>SUM(J43:J46)</f>
        <v>0</v>
      </c>
      <c r="K42" s="309">
        <f>SUM(K43:K46)</f>
        <v>0</v>
      </c>
      <c r="L42" s="308">
        <f t="shared" si="16"/>
        <v>258520</v>
      </c>
      <c r="M42" s="307">
        <f>SUM(M43:M46)</f>
        <v>59976.590000000004</v>
      </c>
      <c r="N42" s="309">
        <f>SUM(N43:N46)</f>
        <v>0</v>
      </c>
      <c r="O42" s="309">
        <f>SUM(O43:O46)</f>
        <v>0</v>
      </c>
      <c r="P42" s="312">
        <f t="shared" si="17"/>
        <v>59976.590000000004</v>
      </c>
    </row>
    <row r="43" spans="1:16" ht="12.75">
      <c r="A43" s="569">
        <v>6</v>
      </c>
      <c r="B43" s="241">
        <v>1</v>
      </c>
      <c r="C43" s="565" t="s">
        <v>275</v>
      </c>
      <c r="D43" s="566"/>
      <c r="E43" s="242">
        <v>0</v>
      </c>
      <c r="F43" s="243"/>
      <c r="G43" s="244"/>
      <c r="H43" s="245">
        <f t="shared" si="15"/>
        <v>0</v>
      </c>
      <c r="I43" s="246">
        <v>0</v>
      </c>
      <c r="J43" s="313"/>
      <c r="K43" s="244"/>
      <c r="L43" s="243">
        <f t="shared" si="16"/>
        <v>0</v>
      </c>
      <c r="M43" s="242">
        <v>0</v>
      </c>
      <c r="N43" s="244">
        <v>0</v>
      </c>
      <c r="O43" s="244"/>
      <c r="P43" s="247">
        <f t="shared" si="17"/>
        <v>0</v>
      </c>
    </row>
    <row r="44" spans="1:16" ht="12.75">
      <c r="A44" s="570"/>
      <c r="B44" s="241">
        <v>2</v>
      </c>
      <c r="C44" s="565" t="s">
        <v>276</v>
      </c>
      <c r="D44" s="566"/>
      <c r="E44" s="242">
        <v>90000</v>
      </c>
      <c r="F44" s="243"/>
      <c r="G44" s="244"/>
      <c r="H44" s="245">
        <f t="shared" si="15"/>
        <v>90000</v>
      </c>
      <c r="I44" s="246">
        <v>90000</v>
      </c>
      <c r="J44" s="244"/>
      <c r="K44" s="244"/>
      <c r="L44" s="243">
        <f t="shared" si="16"/>
        <v>90000</v>
      </c>
      <c r="M44" s="242">
        <v>22545.65</v>
      </c>
      <c r="N44" s="244"/>
      <c r="O44" s="244"/>
      <c r="P44" s="247">
        <f t="shared" si="17"/>
        <v>22545.65</v>
      </c>
    </row>
    <row r="45" spans="1:16" ht="12.75">
      <c r="A45" s="570"/>
      <c r="B45" s="241">
        <v>3</v>
      </c>
      <c r="C45" s="565" t="s">
        <v>277</v>
      </c>
      <c r="D45" s="566"/>
      <c r="E45" s="242">
        <v>121340</v>
      </c>
      <c r="F45" s="243"/>
      <c r="G45" s="244"/>
      <c r="H45" s="245">
        <f t="shared" si="15"/>
        <v>121340</v>
      </c>
      <c r="I45" s="246">
        <v>121340</v>
      </c>
      <c r="J45" s="244"/>
      <c r="K45" s="244"/>
      <c r="L45" s="243">
        <f t="shared" si="16"/>
        <v>121340</v>
      </c>
      <c r="M45" s="242">
        <v>27782.48</v>
      </c>
      <c r="N45" s="244"/>
      <c r="O45" s="244"/>
      <c r="P45" s="247">
        <f t="shared" si="17"/>
        <v>27782.48</v>
      </c>
    </row>
    <row r="46" spans="1:16" ht="13.5" thickBot="1">
      <c r="A46" s="571"/>
      <c r="B46" s="241">
        <v>4</v>
      </c>
      <c r="C46" s="565" t="s">
        <v>278</v>
      </c>
      <c r="D46" s="566"/>
      <c r="E46" s="242">
        <v>47180</v>
      </c>
      <c r="F46" s="243">
        <v>0</v>
      </c>
      <c r="G46" s="244"/>
      <c r="H46" s="245">
        <f t="shared" si="15"/>
        <v>47180</v>
      </c>
      <c r="I46" s="246">
        <v>47180</v>
      </c>
      <c r="J46" s="244">
        <v>0</v>
      </c>
      <c r="K46" s="244"/>
      <c r="L46" s="243">
        <f t="shared" si="16"/>
        <v>47180</v>
      </c>
      <c r="M46" s="242">
        <v>9648.46</v>
      </c>
      <c r="N46" s="244">
        <v>0</v>
      </c>
      <c r="O46" s="244"/>
      <c r="P46" s="247">
        <f t="shared" si="17"/>
        <v>9648.46</v>
      </c>
    </row>
    <row r="47" spans="1:16" ht="14.25">
      <c r="A47" s="567" t="s">
        <v>279</v>
      </c>
      <c r="B47" s="568"/>
      <c r="C47" s="568"/>
      <c r="D47" s="568"/>
      <c r="E47" s="219">
        <f aca="true" t="shared" si="18" ref="E47:P47">SUM(E48:E49)</f>
        <v>11300</v>
      </c>
      <c r="F47" s="220">
        <f t="shared" si="18"/>
        <v>0</v>
      </c>
      <c r="G47" s="221">
        <f t="shared" si="18"/>
        <v>0</v>
      </c>
      <c r="H47" s="222">
        <f t="shared" si="18"/>
        <v>11300</v>
      </c>
      <c r="I47" s="292">
        <f t="shared" si="18"/>
        <v>11300</v>
      </c>
      <c r="J47" s="221">
        <f t="shared" si="18"/>
        <v>0</v>
      </c>
      <c r="K47" s="221">
        <f t="shared" si="18"/>
        <v>0</v>
      </c>
      <c r="L47" s="220">
        <f t="shared" si="18"/>
        <v>11300</v>
      </c>
      <c r="M47" s="219">
        <f t="shared" si="18"/>
        <v>3440</v>
      </c>
      <c r="N47" s="221">
        <f t="shared" si="18"/>
        <v>0</v>
      </c>
      <c r="O47" s="221">
        <f t="shared" si="18"/>
        <v>0</v>
      </c>
      <c r="P47" s="226">
        <f t="shared" si="18"/>
        <v>3440</v>
      </c>
    </row>
    <row r="48" spans="1:16" ht="12.75">
      <c r="A48" s="570">
        <v>7</v>
      </c>
      <c r="B48" s="293">
        <v>1</v>
      </c>
      <c r="C48" s="588" t="s">
        <v>280</v>
      </c>
      <c r="D48" s="589"/>
      <c r="E48" s="251">
        <v>7500</v>
      </c>
      <c r="F48" s="252"/>
      <c r="G48" s="256"/>
      <c r="H48" s="294">
        <f>SUM(E48:G48)</f>
        <v>7500</v>
      </c>
      <c r="I48" s="254">
        <v>7500</v>
      </c>
      <c r="J48" s="256"/>
      <c r="K48" s="256"/>
      <c r="L48" s="252">
        <f>SUM(I48:K48)</f>
        <v>7500</v>
      </c>
      <c r="M48" s="251">
        <v>2000</v>
      </c>
      <c r="N48" s="256"/>
      <c r="O48" s="256"/>
      <c r="P48" s="295">
        <f>SUM(M48:O48)</f>
        <v>2000</v>
      </c>
    </row>
    <row r="49" spans="1:16" ht="13.5" thickBot="1">
      <c r="A49" s="570"/>
      <c r="B49" s="241">
        <v>2</v>
      </c>
      <c r="C49" s="565" t="s">
        <v>281</v>
      </c>
      <c r="D49" s="566"/>
      <c r="E49" s="287">
        <v>3800</v>
      </c>
      <c r="F49" s="288"/>
      <c r="G49" s="289"/>
      <c r="H49" s="314">
        <f>SUM(E49:G49)</f>
        <v>3800</v>
      </c>
      <c r="I49" s="290">
        <v>3800</v>
      </c>
      <c r="J49" s="289"/>
      <c r="K49" s="289"/>
      <c r="L49" s="315">
        <f>SUM(I49:K49)</f>
        <v>3800</v>
      </c>
      <c r="M49" s="287">
        <v>1440</v>
      </c>
      <c r="N49" s="289"/>
      <c r="O49" s="289"/>
      <c r="P49" s="316">
        <f>SUM(M49:O49)</f>
        <v>1440</v>
      </c>
    </row>
    <row r="50" spans="1:16" ht="14.25">
      <c r="A50" s="567" t="s">
        <v>282</v>
      </c>
      <c r="B50" s="568"/>
      <c r="C50" s="568"/>
      <c r="D50" s="568"/>
      <c r="E50" s="219">
        <f>E51+E58+E59+E60</f>
        <v>42800</v>
      </c>
      <c r="F50" s="220">
        <f>SUM(F51:F60)</f>
        <v>0</v>
      </c>
      <c r="G50" s="221">
        <f>SUM(G51:G60)</f>
        <v>0</v>
      </c>
      <c r="H50" s="310">
        <f>SUM(E50:G50)</f>
        <v>42800</v>
      </c>
      <c r="I50" s="292">
        <f>I51+I58+I59+I60</f>
        <v>43600</v>
      </c>
      <c r="J50" s="221">
        <f>SUM(J51:J60)</f>
        <v>0</v>
      </c>
      <c r="K50" s="221">
        <f>SUM(K51:K60)</f>
        <v>0</v>
      </c>
      <c r="L50" s="308">
        <f>SUM(I50:K50)</f>
        <v>43600</v>
      </c>
      <c r="M50" s="219">
        <f>M51+M58+M59+M60</f>
        <v>5733.04</v>
      </c>
      <c r="N50" s="221">
        <f>SUM(N51:N60)</f>
        <v>0</v>
      </c>
      <c r="O50" s="221">
        <f>SUM(O51:O60)</f>
        <v>0</v>
      </c>
      <c r="P50" s="312">
        <f>SUM(M50:O50)</f>
        <v>5733.04</v>
      </c>
    </row>
    <row r="51" spans="1:16" ht="12.75">
      <c r="A51" s="569">
        <v>8</v>
      </c>
      <c r="B51" s="572">
        <v>1</v>
      </c>
      <c r="C51" s="565" t="s">
        <v>283</v>
      </c>
      <c r="D51" s="566"/>
      <c r="E51" s="242">
        <f aca="true" t="shared" si="19" ref="E51:P51">SUM(E52:E57)</f>
        <v>39300</v>
      </c>
      <c r="F51" s="244">
        <f t="shared" si="19"/>
        <v>0</v>
      </c>
      <c r="G51" s="244">
        <f t="shared" si="19"/>
        <v>0</v>
      </c>
      <c r="H51" s="247">
        <f t="shared" si="19"/>
        <v>39300</v>
      </c>
      <c r="I51" s="275">
        <f t="shared" si="19"/>
        <v>40100</v>
      </c>
      <c r="J51" s="244">
        <f t="shared" si="19"/>
        <v>0</v>
      </c>
      <c r="K51" s="244">
        <f t="shared" si="19"/>
        <v>0</v>
      </c>
      <c r="L51" s="243">
        <f t="shared" si="19"/>
        <v>40100</v>
      </c>
      <c r="M51" s="242">
        <f t="shared" si="19"/>
        <v>5382.83</v>
      </c>
      <c r="N51" s="244">
        <f t="shared" si="19"/>
        <v>0</v>
      </c>
      <c r="O51" s="244">
        <f t="shared" si="19"/>
        <v>0</v>
      </c>
      <c r="P51" s="247">
        <f t="shared" si="19"/>
        <v>5382.83</v>
      </c>
    </row>
    <row r="52" spans="1:16" ht="12.75">
      <c r="A52" s="570"/>
      <c r="B52" s="573"/>
      <c r="C52" s="280">
        <v>1</v>
      </c>
      <c r="D52" s="317" t="s">
        <v>284</v>
      </c>
      <c r="E52" s="282">
        <v>15000</v>
      </c>
      <c r="F52" s="283"/>
      <c r="G52" s="284"/>
      <c r="H52" s="272">
        <f aca="true" t="shared" si="20" ref="H52:H60">SUM(E52:G52)</f>
        <v>15000</v>
      </c>
      <c r="I52" s="318">
        <v>15800</v>
      </c>
      <c r="J52" s="284"/>
      <c r="K52" s="284"/>
      <c r="L52" s="273">
        <f aca="true" t="shared" si="21" ref="L52:L60">SUM(I52:K52)</f>
        <v>15800</v>
      </c>
      <c r="M52" s="282">
        <v>4462.14</v>
      </c>
      <c r="N52" s="284"/>
      <c r="O52" s="284"/>
      <c r="P52" s="274">
        <f aca="true" t="shared" si="22" ref="P52:P60">SUM(M52:O52)</f>
        <v>4462.14</v>
      </c>
    </row>
    <row r="53" spans="1:16" ht="12.75">
      <c r="A53" s="570"/>
      <c r="B53" s="573"/>
      <c r="C53" s="280">
        <v>2</v>
      </c>
      <c r="D53" s="317" t="s">
        <v>113</v>
      </c>
      <c r="E53" s="282">
        <v>1000</v>
      </c>
      <c r="F53" s="283"/>
      <c r="G53" s="284"/>
      <c r="H53" s="272">
        <f t="shared" si="20"/>
        <v>1000</v>
      </c>
      <c r="I53" s="285">
        <v>1000</v>
      </c>
      <c r="J53" s="284"/>
      <c r="K53" s="284"/>
      <c r="L53" s="273">
        <f t="shared" si="21"/>
        <v>1000</v>
      </c>
      <c r="M53" s="282">
        <v>873.69</v>
      </c>
      <c r="N53" s="284"/>
      <c r="O53" s="284"/>
      <c r="P53" s="274">
        <f t="shared" si="22"/>
        <v>873.69</v>
      </c>
    </row>
    <row r="54" spans="1:16" ht="12.75">
      <c r="A54" s="570"/>
      <c r="B54" s="573"/>
      <c r="C54" s="280">
        <v>3</v>
      </c>
      <c r="D54" s="317" t="s">
        <v>114</v>
      </c>
      <c r="E54" s="282">
        <v>2500</v>
      </c>
      <c r="F54" s="283"/>
      <c r="G54" s="284"/>
      <c r="H54" s="272">
        <f t="shared" si="20"/>
        <v>2500</v>
      </c>
      <c r="I54" s="285">
        <v>2500</v>
      </c>
      <c r="J54" s="284"/>
      <c r="K54" s="284"/>
      <c r="L54" s="273">
        <f t="shared" si="21"/>
        <v>2500</v>
      </c>
      <c r="M54" s="282">
        <v>0</v>
      </c>
      <c r="N54" s="284"/>
      <c r="O54" s="284"/>
      <c r="P54" s="274">
        <f t="shared" si="22"/>
        <v>0</v>
      </c>
    </row>
    <row r="55" spans="1:16" ht="12.75">
      <c r="A55" s="570"/>
      <c r="B55" s="573"/>
      <c r="C55" s="280">
        <v>4</v>
      </c>
      <c r="D55" s="317" t="s">
        <v>285</v>
      </c>
      <c r="E55" s="282">
        <v>20000</v>
      </c>
      <c r="F55" s="283"/>
      <c r="G55" s="284"/>
      <c r="H55" s="272">
        <f t="shared" si="20"/>
        <v>20000</v>
      </c>
      <c r="I55" s="285">
        <v>20000</v>
      </c>
      <c r="J55" s="284"/>
      <c r="K55" s="284"/>
      <c r="L55" s="273">
        <f t="shared" si="21"/>
        <v>20000</v>
      </c>
      <c r="M55" s="282">
        <v>0</v>
      </c>
      <c r="N55" s="284"/>
      <c r="O55" s="284"/>
      <c r="P55" s="274">
        <f t="shared" si="22"/>
        <v>0</v>
      </c>
    </row>
    <row r="56" spans="1:16" ht="12.75">
      <c r="A56" s="570"/>
      <c r="B56" s="573"/>
      <c r="C56" s="280">
        <v>5</v>
      </c>
      <c r="D56" s="317" t="s">
        <v>286</v>
      </c>
      <c r="E56" s="282">
        <v>100</v>
      </c>
      <c r="F56" s="283"/>
      <c r="G56" s="284"/>
      <c r="H56" s="272">
        <f t="shared" si="20"/>
        <v>100</v>
      </c>
      <c r="I56" s="285">
        <v>100</v>
      </c>
      <c r="J56" s="284"/>
      <c r="K56" s="284"/>
      <c r="L56" s="273">
        <f t="shared" si="21"/>
        <v>100</v>
      </c>
      <c r="M56" s="282">
        <v>47</v>
      </c>
      <c r="N56" s="284"/>
      <c r="O56" s="284"/>
      <c r="P56" s="274">
        <f t="shared" si="22"/>
        <v>47</v>
      </c>
    </row>
    <row r="57" spans="1:16" ht="12.75">
      <c r="A57" s="570"/>
      <c r="B57" s="573"/>
      <c r="C57" s="280">
        <v>6</v>
      </c>
      <c r="D57" s="317" t="s">
        <v>287</v>
      </c>
      <c r="E57" s="282">
        <v>700</v>
      </c>
      <c r="F57" s="283"/>
      <c r="G57" s="284"/>
      <c r="H57" s="272">
        <f t="shared" si="20"/>
        <v>700</v>
      </c>
      <c r="I57" s="285">
        <v>700</v>
      </c>
      <c r="J57" s="284"/>
      <c r="K57" s="284"/>
      <c r="L57" s="273">
        <f t="shared" si="21"/>
        <v>700</v>
      </c>
      <c r="M57" s="282">
        <v>0</v>
      </c>
      <c r="N57" s="284"/>
      <c r="O57" s="284"/>
      <c r="P57" s="274">
        <f t="shared" si="22"/>
        <v>0</v>
      </c>
    </row>
    <row r="58" spans="1:16" ht="12.75">
      <c r="A58" s="570"/>
      <c r="B58" s="298">
        <v>2</v>
      </c>
      <c r="C58" s="565" t="s">
        <v>108</v>
      </c>
      <c r="D58" s="566"/>
      <c r="E58" s="299">
        <v>1000</v>
      </c>
      <c r="F58" s="300"/>
      <c r="G58" s="301"/>
      <c r="H58" s="245">
        <f t="shared" si="20"/>
        <v>1000</v>
      </c>
      <c r="I58" s="319">
        <v>1000</v>
      </c>
      <c r="J58" s="301"/>
      <c r="K58" s="301"/>
      <c r="L58" s="243">
        <f t="shared" si="21"/>
        <v>1000</v>
      </c>
      <c r="M58" s="299">
        <v>124</v>
      </c>
      <c r="N58" s="301"/>
      <c r="O58" s="301"/>
      <c r="P58" s="247">
        <f t="shared" si="22"/>
        <v>124</v>
      </c>
    </row>
    <row r="59" spans="1:16" ht="12.75">
      <c r="A59" s="570"/>
      <c r="B59" s="298">
        <v>3</v>
      </c>
      <c r="C59" s="565" t="s">
        <v>110</v>
      </c>
      <c r="D59" s="566"/>
      <c r="E59" s="299">
        <v>1000</v>
      </c>
      <c r="F59" s="300"/>
      <c r="G59" s="301"/>
      <c r="H59" s="245">
        <f t="shared" si="20"/>
        <v>1000</v>
      </c>
      <c r="I59" s="319">
        <v>1000</v>
      </c>
      <c r="J59" s="301"/>
      <c r="K59" s="301"/>
      <c r="L59" s="243">
        <f t="shared" si="21"/>
        <v>1000</v>
      </c>
      <c r="M59" s="299">
        <v>226.21</v>
      </c>
      <c r="N59" s="301"/>
      <c r="O59" s="301"/>
      <c r="P59" s="247">
        <f t="shared" si="22"/>
        <v>226.21</v>
      </c>
    </row>
    <row r="60" spans="1:16" ht="13.5" thickBot="1">
      <c r="A60" s="571"/>
      <c r="B60" s="298">
        <v>4</v>
      </c>
      <c r="C60" s="578" t="s">
        <v>288</v>
      </c>
      <c r="D60" s="579"/>
      <c r="E60" s="304">
        <v>1500</v>
      </c>
      <c r="F60" s="263"/>
      <c r="G60" s="305"/>
      <c r="H60" s="261">
        <f t="shared" si="20"/>
        <v>1500</v>
      </c>
      <c r="I60" s="320">
        <v>1500</v>
      </c>
      <c r="J60" s="305"/>
      <c r="K60" s="305"/>
      <c r="L60" s="263">
        <f t="shared" si="21"/>
        <v>1500</v>
      </c>
      <c r="M60" s="304">
        <v>0</v>
      </c>
      <c r="N60" s="305"/>
      <c r="O60" s="305"/>
      <c r="P60" s="264">
        <f t="shared" si="22"/>
        <v>0</v>
      </c>
    </row>
    <row r="61" spans="1:16" ht="14.25">
      <c r="A61" s="567" t="s">
        <v>289</v>
      </c>
      <c r="B61" s="568"/>
      <c r="C61" s="568"/>
      <c r="D61" s="568"/>
      <c r="E61" s="307">
        <f aca="true" t="shared" si="23" ref="E61:P61">SUM(E62:E65)</f>
        <v>21340</v>
      </c>
      <c r="F61" s="308">
        <f t="shared" si="23"/>
        <v>189870</v>
      </c>
      <c r="G61" s="309">
        <f t="shared" si="23"/>
        <v>0</v>
      </c>
      <c r="H61" s="310">
        <f t="shared" si="23"/>
        <v>211210</v>
      </c>
      <c r="I61" s="311">
        <f t="shared" si="23"/>
        <v>21340</v>
      </c>
      <c r="J61" s="309">
        <f t="shared" si="23"/>
        <v>189870</v>
      </c>
      <c r="K61" s="309">
        <f t="shared" si="23"/>
        <v>0</v>
      </c>
      <c r="L61" s="308">
        <f t="shared" si="23"/>
        <v>211210</v>
      </c>
      <c r="M61" s="307">
        <f t="shared" si="23"/>
        <v>2585.16</v>
      </c>
      <c r="N61" s="309">
        <f t="shared" si="23"/>
        <v>0</v>
      </c>
      <c r="O61" s="309">
        <f t="shared" si="23"/>
        <v>0</v>
      </c>
      <c r="P61" s="312">
        <f t="shared" si="23"/>
        <v>2585.16</v>
      </c>
    </row>
    <row r="62" spans="1:16" ht="12.75">
      <c r="A62" s="590">
        <v>9</v>
      </c>
      <c r="B62" s="241">
        <v>1</v>
      </c>
      <c r="C62" s="565" t="s">
        <v>100</v>
      </c>
      <c r="D62" s="566"/>
      <c r="E62" s="242">
        <v>15100</v>
      </c>
      <c r="F62" s="243">
        <v>189870</v>
      </c>
      <c r="G62" s="244"/>
      <c r="H62" s="245">
        <f>SUM(E62:G62)</f>
        <v>204970</v>
      </c>
      <c r="I62" s="246">
        <v>15100</v>
      </c>
      <c r="J62" s="244">
        <v>189870</v>
      </c>
      <c r="K62" s="244"/>
      <c r="L62" s="243">
        <f>SUM(I62:K62)</f>
        <v>204970</v>
      </c>
      <c r="M62" s="242">
        <v>2585.16</v>
      </c>
      <c r="N62" s="244"/>
      <c r="O62" s="244"/>
      <c r="P62" s="247">
        <f>SUM(M62:O62)</f>
        <v>2585.16</v>
      </c>
    </row>
    <row r="63" spans="1:16" ht="12.75">
      <c r="A63" s="591"/>
      <c r="B63" s="298">
        <v>2</v>
      </c>
      <c r="C63" s="565" t="s">
        <v>290</v>
      </c>
      <c r="D63" s="566"/>
      <c r="E63" s="299">
        <v>5840</v>
      </c>
      <c r="F63" s="300"/>
      <c r="G63" s="301"/>
      <c r="H63" s="245">
        <f>SUM(E63:G63)</f>
        <v>5840</v>
      </c>
      <c r="I63" s="319">
        <v>5840</v>
      </c>
      <c r="J63" s="301"/>
      <c r="K63" s="301"/>
      <c r="L63" s="243">
        <f>SUM(I63:K63)</f>
        <v>5840</v>
      </c>
      <c r="M63" s="299">
        <v>0</v>
      </c>
      <c r="N63" s="301"/>
      <c r="O63" s="301"/>
      <c r="P63" s="247">
        <f>SUM(M63:O63)</f>
        <v>0</v>
      </c>
    </row>
    <row r="64" spans="1:16" ht="12.75">
      <c r="A64" s="591"/>
      <c r="B64" s="298">
        <v>3</v>
      </c>
      <c r="C64" s="565" t="s">
        <v>291</v>
      </c>
      <c r="D64" s="566"/>
      <c r="E64" s="299">
        <v>0</v>
      </c>
      <c r="F64" s="300">
        <v>0</v>
      </c>
      <c r="G64" s="301">
        <v>0</v>
      </c>
      <c r="H64" s="245">
        <f>SUM(E64:G64)</f>
        <v>0</v>
      </c>
      <c r="I64" s="319">
        <v>0</v>
      </c>
      <c r="J64" s="301">
        <v>0</v>
      </c>
      <c r="K64" s="301"/>
      <c r="L64" s="243">
        <f>SUM(I64:K64)</f>
        <v>0</v>
      </c>
      <c r="M64" s="299">
        <v>0</v>
      </c>
      <c r="N64" s="301">
        <v>0</v>
      </c>
      <c r="O64" s="301"/>
      <c r="P64" s="247">
        <f>SUM(M64:O64)</f>
        <v>0</v>
      </c>
    </row>
    <row r="65" spans="1:16" ht="13.5" thickBot="1">
      <c r="A65" s="611"/>
      <c r="B65" s="303">
        <v>4</v>
      </c>
      <c r="C65" s="578" t="s">
        <v>292</v>
      </c>
      <c r="D65" s="579"/>
      <c r="E65" s="304">
        <v>400</v>
      </c>
      <c r="F65" s="263">
        <v>0</v>
      </c>
      <c r="G65" s="305"/>
      <c r="H65" s="245">
        <f>SUM(E65:G65)</f>
        <v>400</v>
      </c>
      <c r="I65" s="320">
        <v>400</v>
      </c>
      <c r="J65" s="305"/>
      <c r="K65" s="305"/>
      <c r="L65" s="243">
        <f>SUM(I65:K65)</f>
        <v>400</v>
      </c>
      <c r="M65" s="304">
        <v>0</v>
      </c>
      <c r="N65" s="305"/>
      <c r="O65" s="305"/>
      <c r="P65" s="247">
        <f>SUM(M65:O65)</f>
        <v>0</v>
      </c>
    </row>
    <row r="66" spans="1:16" ht="14.25">
      <c r="A66" s="567" t="s">
        <v>293</v>
      </c>
      <c r="B66" s="568"/>
      <c r="C66" s="568"/>
      <c r="D66" s="568"/>
      <c r="E66" s="219">
        <f aca="true" t="shared" si="24" ref="E66:P66">SUM(E67:E68)</f>
        <v>1390</v>
      </c>
      <c r="F66" s="220">
        <f t="shared" si="24"/>
        <v>0</v>
      </c>
      <c r="G66" s="221">
        <f t="shared" si="24"/>
        <v>0</v>
      </c>
      <c r="H66" s="222">
        <f t="shared" si="24"/>
        <v>1390</v>
      </c>
      <c r="I66" s="292">
        <f t="shared" si="24"/>
        <v>1390</v>
      </c>
      <c r="J66" s="221">
        <f t="shared" si="24"/>
        <v>0</v>
      </c>
      <c r="K66" s="221">
        <f t="shared" si="24"/>
        <v>0</v>
      </c>
      <c r="L66" s="220">
        <f t="shared" si="24"/>
        <v>1390</v>
      </c>
      <c r="M66" s="219">
        <f t="shared" si="24"/>
        <v>310.76</v>
      </c>
      <c r="N66" s="221">
        <f t="shared" si="24"/>
        <v>0</v>
      </c>
      <c r="O66" s="221">
        <f t="shared" si="24"/>
        <v>0</v>
      </c>
      <c r="P66" s="226">
        <f t="shared" si="24"/>
        <v>310.76</v>
      </c>
    </row>
    <row r="67" spans="1:16" ht="12.75">
      <c r="A67" s="594">
        <v>10</v>
      </c>
      <c r="B67" s="286">
        <v>1</v>
      </c>
      <c r="C67" s="566" t="s">
        <v>294</v>
      </c>
      <c r="D67" s="566"/>
      <c r="E67" s="242">
        <v>1390</v>
      </c>
      <c r="F67" s="243"/>
      <c r="G67" s="244"/>
      <c r="H67" s="245">
        <f>SUM(E67:G67)</f>
        <v>1390</v>
      </c>
      <c r="I67" s="246">
        <v>1390</v>
      </c>
      <c r="J67" s="244"/>
      <c r="K67" s="244"/>
      <c r="L67" s="243">
        <f>SUM(I67:K67)</f>
        <v>1390</v>
      </c>
      <c r="M67" s="242">
        <v>310.76</v>
      </c>
      <c r="N67" s="244"/>
      <c r="O67" s="244"/>
      <c r="P67" s="247">
        <f>SUM(M67:O67)</f>
        <v>310.76</v>
      </c>
    </row>
    <row r="68" spans="1:16" ht="13.5" thickBot="1">
      <c r="A68" s="595"/>
      <c r="B68" s="321">
        <v>2</v>
      </c>
      <c r="C68" s="579" t="s">
        <v>295</v>
      </c>
      <c r="D68" s="579"/>
      <c r="E68" s="258">
        <v>0</v>
      </c>
      <c r="F68" s="322">
        <v>0</v>
      </c>
      <c r="G68" s="323"/>
      <c r="H68" s="261">
        <f>SUM(E68:G68)</f>
        <v>0</v>
      </c>
      <c r="I68" s="324">
        <v>0</v>
      </c>
      <c r="J68" s="323">
        <v>0</v>
      </c>
      <c r="K68" s="323"/>
      <c r="L68" s="263">
        <f>SUM(I68:K68)</f>
        <v>0</v>
      </c>
      <c r="M68" s="258">
        <v>0</v>
      </c>
      <c r="N68" s="323">
        <v>0</v>
      </c>
      <c r="O68" s="323"/>
      <c r="P68" s="264">
        <f>SUM(M68:O68)</f>
        <v>0</v>
      </c>
    </row>
    <row r="69" spans="1:16" ht="14.25">
      <c r="A69" s="586" t="s">
        <v>296</v>
      </c>
      <c r="B69" s="587"/>
      <c r="C69" s="587"/>
      <c r="D69" s="587"/>
      <c r="E69" s="307">
        <f>E70+E71+E77</f>
        <v>89390</v>
      </c>
      <c r="F69" s="308">
        <f>SUM(F70:F77)</f>
        <v>0</v>
      </c>
      <c r="G69" s="309">
        <f>SUM(G70:G77)</f>
        <v>0</v>
      </c>
      <c r="H69" s="310">
        <f>SUM(E69:G69)</f>
        <v>89390</v>
      </c>
      <c r="I69" s="292">
        <f>I70+I71+I77</f>
        <v>89390</v>
      </c>
      <c r="J69" s="221">
        <f>SUM(J70:J77)</f>
        <v>0</v>
      </c>
      <c r="K69" s="221">
        <f>SUM(K70:K77)</f>
        <v>0</v>
      </c>
      <c r="L69" s="220">
        <f>SUM(I69:K69)</f>
        <v>89390</v>
      </c>
      <c r="M69" s="307">
        <f>M70+M71+M77</f>
        <v>16904.22</v>
      </c>
      <c r="N69" s="309">
        <f>SUM(N70:N77)</f>
        <v>0</v>
      </c>
      <c r="O69" s="309">
        <f>SUM(O70:O77)</f>
        <v>0</v>
      </c>
      <c r="P69" s="312">
        <f>SUM(M69:O69)</f>
        <v>16904.22</v>
      </c>
    </row>
    <row r="70" spans="1:16" ht="12.75">
      <c r="A70" s="569">
        <v>11</v>
      </c>
      <c r="B70" s="241">
        <v>1</v>
      </c>
      <c r="C70" s="565" t="s">
        <v>297</v>
      </c>
      <c r="D70" s="566"/>
      <c r="E70" s="242">
        <v>61100</v>
      </c>
      <c r="F70" s="243"/>
      <c r="G70" s="244"/>
      <c r="H70" s="245">
        <f>SUM(E70:G70)</f>
        <v>61100</v>
      </c>
      <c r="I70" s="246">
        <v>61100</v>
      </c>
      <c r="J70" s="244"/>
      <c r="K70" s="244"/>
      <c r="L70" s="243">
        <f>SUM(I70:K70)</f>
        <v>61100</v>
      </c>
      <c r="M70" s="242">
        <v>14665.48</v>
      </c>
      <c r="N70" s="244"/>
      <c r="O70" s="244"/>
      <c r="P70" s="247">
        <f>SUM(M70:O70)</f>
        <v>14665.48</v>
      </c>
    </row>
    <row r="71" spans="1:16" ht="12.75">
      <c r="A71" s="570"/>
      <c r="B71" s="572">
        <v>2</v>
      </c>
      <c r="C71" s="565" t="s">
        <v>298</v>
      </c>
      <c r="D71" s="566"/>
      <c r="E71" s="242">
        <f aca="true" t="shared" si="25" ref="E71:P71">SUM(E72:E76)</f>
        <v>24940</v>
      </c>
      <c r="F71" s="244">
        <f t="shared" si="25"/>
        <v>0</v>
      </c>
      <c r="G71" s="244">
        <f t="shared" si="25"/>
        <v>0</v>
      </c>
      <c r="H71" s="247">
        <f t="shared" si="25"/>
        <v>24940</v>
      </c>
      <c r="I71" s="246">
        <f t="shared" si="25"/>
        <v>24940</v>
      </c>
      <c r="J71" s="244">
        <f t="shared" si="25"/>
        <v>0</v>
      </c>
      <c r="K71" s="244">
        <f t="shared" si="25"/>
        <v>0</v>
      </c>
      <c r="L71" s="243">
        <f t="shared" si="25"/>
        <v>24940</v>
      </c>
      <c r="M71" s="242">
        <f t="shared" si="25"/>
        <v>1855.15</v>
      </c>
      <c r="N71" s="244">
        <f t="shared" si="25"/>
        <v>0</v>
      </c>
      <c r="O71" s="244">
        <f t="shared" si="25"/>
        <v>0</v>
      </c>
      <c r="P71" s="247">
        <f t="shared" si="25"/>
        <v>1855.15</v>
      </c>
    </row>
    <row r="72" spans="1:16" ht="12.75">
      <c r="A72" s="570"/>
      <c r="B72" s="573"/>
      <c r="C72" s="325">
        <v>1</v>
      </c>
      <c r="D72" s="326" t="s">
        <v>299</v>
      </c>
      <c r="E72" s="327">
        <v>7200</v>
      </c>
      <c r="F72" s="328"/>
      <c r="G72" s="329"/>
      <c r="H72" s="272">
        <f>SUM(E72:G72)</f>
        <v>7200</v>
      </c>
      <c r="I72" s="407">
        <v>7200</v>
      </c>
      <c r="J72" s="329"/>
      <c r="K72" s="329"/>
      <c r="L72" s="273">
        <f>SUM(I72:K72)</f>
        <v>7200</v>
      </c>
      <c r="M72" s="327">
        <v>1641.18</v>
      </c>
      <c r="N72" s="329"/>
      <c r="O72" s="329"/>
      <c r="P72" s="274">
        <f>SUM(M72:O72)</f>
        <v>1641.18</v>
      </c>
    </row>
    <row r="73" spans="1:16" ht="12.75">
      <c r="A73" s="570"/>
      <c r="B73" s="573"/>
      <c r="C73" s="325">
        <v>2</v>
      </c>
      <c r="D73" s="317" t="s">
        <v>300</v>
      </c>
      <c r="E73" s="327">
        <v>0</v>
      </c>
      <c r="F73" s="328"/>
      <c r="G73" s="329"/>
      <c r="H73" s="272">
        <f>SUM(E73:G73)</f>
        <v>0</v>
      </c>
      <c r="I73" s="407">
        <v>0</v>
      </c>
      <c r="J73" s="329"/>
      <c r="K73" s="329"/>
      <c r="L73" s="273">
        <f>SUM(I73:K73)</f>
        <v>0</v>
      </c>
      <c r="M73" s="327">
        <v>0</v>
      </c>
      <c r="N73" s="329"/>
      <c r="O73" s="329"/>
      <c r="P73" s="274">
        <f>SUM(M73:O73)</f>
        <v>0</v>
      </c>
    </row>
    <row r="74" spans="1:16" ht="12.75">
      <c r="A74" s="570"/>
      <c r="B74" s="573"/>
      <c r="C74" s="325">
        <v>3</v>
      </c>
      <c r="D74" s="317" t="s">
        <v>301</v>
      </c>
      <c r="E74" s="327">
        <v>3000</v>
      </c>
      <c r="F74" s="328"/>
      <c r="G74" s="329"/>
      <c r="H74" s="272">
        <f>SUM(E74:G74)</f>
        <v>3000</v>
      </c>
      <c r="I74" s="407">
        <v>3000</v>
      </c>
      <c r="J74" s="329"/>
      <c r="K74" s="329"/>
      <c r="L74" s="273">
        <f>SUM(I74:K74)</f>
        <v>3000</v>
      </c>
      <c r="M74" s="327">
        <v>213.97</v>
      </c>
      <c r="N74" s="329"/>
      <c r="O74" s="329"/>
      <c r="P74" s="274">
        <f>SUM(M74:O74)</f>
        <v>213.97</v>
      </c>
    </row>
    <row r="75" spans="1:16" ht="12.75">
      <c r="A75" s="570"/>
      <c r="B75" s="573"/>
      <c r="C75" s="325">
        <v>4</v>
      </c>
      <c r="D75" s="317" t="s">
        <v>302</v>
      </c>
      <c r="E75" s="327">
        <f>400+300</f>
        <v>700</v>
      </c>
      <c r="F75" s="328"/>
      <c r="G75" s="329"/>
      <c r="H75" s="272">
        <f>SUM(E75:G75)</f>
        <v>700</v>
      </c>
      <c r="I75" s="407">
        <f>400+300</f>
        <v>700</v>
      </c>
      <c r="J75" s="329"/>
      <c r="K75" s="329"/>
      <c r="L75" s="273">
        <f>SUM(I75:K75)</f>
        <v>700</v>
      </c>
      <c r="M75" s="327">
        <v>0</v>
      </c>
      <c r="N75" s="329"/>
      <c r="O75" s="329"/>
      <c r="P75" s="274">
        <f>SUM(M75:O75)</f>
        <v>0</v>
      </c>
    </row>
    <row r="76" spans="1:16" ht="12.75">
      <c r="A76" s="570"/>
      <c r="B76" s="574"/>
      <c r="C76" s="325">
        <v>5</v>
      </c>
      <c r="D76" s="317" t="s">
        <v>303</v>
      </c>
      <c r="E76" s="327">
        <v>14040</v>
      </c>
      <c r="F76" s="328"/>
      <c r="G76" s="329"/>
      <c r="H76" s="272">
        <f>SUM(E76:G76)</f>
        <v>14040</v>
      </c>
      <c r="I76" s="407">
        <v>14040</v>
      </c>
      <c r="J76" s="329"/>
      <c r="K76" s="329"/>
      <c r="L76" s="273">
        <f>SUM(I76:K76)</f>
        <v>14040</v>
      </c>
      <c r="M76" s="327">
        <v>0</v>
      </c>
      <c r="N76" s="329"/>
      <c r="O76" s="329"/>
      <c r="P76" s="274">
        <f>SUM(M76:O76)</f>
        <v>0</v>
      </c>
    </row>
    <row r="77" spans="1:16" ht="12.75">
      <c r="A77" s="570"/>
      <c r="B77" s="602">
        <v>3</v>
      </c>
      <c r="C77" s="565" t="s">
        <v>304</v>
      </c>
      <c r="D77" s="566"/>
      <c r="E77" s="299">
        <f aca="true" t="shared" si="26" ref="E77:P77">SUM(E78:E79)</f>
        <v>3350</v>
      </c>
      <c r="F77" s="301">
        <f t="shared" si="26"/>
        <v>0</v>
      </c>
      <c r="G77" s="301">
        <f t="shared" si="26"/>
        <v>0</v>
      </c>
      <c r="H77" s="330">
        <f t="shared" si="26"/>
        <v>3350</v>
      </c>
      <c r="I77" s="319">
        <f>SUM(I78:I79)</f>
        <v>3350</v>
      </c>
      <c r="J77" s="301">
        <f t="shared" si="26"/>
        <v>0</v>
      </c>
      <c r="K77" s="301">
        <f t="shared" si="26"/>
        <v>0</v>
      </c>
      <c r="L77" s="300">
        <f t="shared" si="26"/>
        <v>3350</v>
      </c>
      <c r="M77" s="299">
        <f t="shared" si="26"/>
        <v>383.59</v>
      </c>
      <c r="N77" s="301">
        <f t="shared" si="26"/>
        <v>0</v>
      </c>
      <c r="O77" s="301">
        <f t="shared" si="26"/>
        <v>0</v>
      </c>
      <c r="P77" s="330">
        <f t="shared" si="26"/>
        <v>383.59</v>
      </c>
    </row>
    <row r="78" spans="1:16" ht="12.75">
      <c r="A78" s="570"/>
      <c r="B78" s="603"/>
      <c r="C78" s="331">
        <v>1</v>
      </c>
      <c r="D78" s="332" t="s">
        <v>305</v>
      </c>
      <c r="E78" s="282">
        <v>1800</v>
      </c>
      <c r="F78" s="283"/>
      <c r="G78" s="284"/>
      <c r="H78" s="272">
        <f>SUM(E78:G78)</f>
        <v>1800</v>
      </c>
      <c r="I78" s="408">
        <v>1800</v>
      </c>
      <c r="J78" s="284"/>
      <c r="K78" s="284"/>
      <c r="L78" s="273">
        <f>SUM(I78:K78)</f>
        <v>1800</v>
      </c>
      <c r="M78" s="282">
        <v>0</v>
      </c>
      <c r="N78" s="284"/>
      <c r="O78" s="284"/>
      <c r="P78" s="274">
        <f>SUM(M78:O78)</f>
        <v>0</v>
      </c>
    </row>
    <row r="79" spans="1:16" ht="13.5" thickBot="1">
      <c r="A79" s="571"/>
      <c r="B79" s="604"/>
      <c r="C79" s="333">
        <v>2</v>
      </c>
      <c r="D79" s="334" t="s">
        <v>306</v>
      </c>
      <c r="E79" s="335">
        <v>1550</v>
      </c>
      <c r="F79" s="336"/>
      <c r="G79" s="337"/>
      <c r="H79" s="338">
        <f>SUM(E79:G79)</f>
        <v>1550</v>
      </c>
      <c r="I79" s="409">
        <v>1550</v>
      </c>
      <c r="J79" s="337"/>
      <c r="K79" s="337"/>
      <c r="L79" s="336">
        <f>SUM(I79:K79)</f>
        <v>1550</v>
      </c>
      <c r="M79" s="335">
        <v>383.59</v>
      </c>
      <c r="N79" s="337"/>
      <c r="O79" s="337"/>
      <c r="P79" s="339">
        <f>SUM(M79:O79)</f>
        <v>383.59</v>
      </c>
    </row>
    <row r="80" spans="1:16" ht="15" thickBot="1">
      <c r="A80" s="596" t="s">
        <v>307</v>
      </c>
      <c r="B80" s="597"/>
      <c r="C80" s="597"/>
      <c r="D80" s="597"/>
      <c r="E80" s="340">
        <f aca="true" t="shared" si="27" ref="E80:P80">SUM(E81:E82)</f>
        <v>351000</v>
      </c>
      <c r="F80" s="341">
        <f t="shared" si="27"/>
        <v>0</v>
      </c>
      <c r="G80" s="342">
        <f t="shared" si="27"/>
        <v>0</v>
      </c>
      <c r="H80" s="343">
        <f t="shared" si="27"/>
        <v>351000</v>
      </c>
      <c r="I80" s="344">
        <f t="shared" si="27"/>
        <v>376065</v>
      </c>
      <c r="J80" s="342">
        <f t="shared" si="27"/>
        <v>0</v>
      </c>
      <c r="K80" s="342">
        <f t="shared" si="27"/>
        <v>0</v>
      </c>
      <c r="L80" s="341">
        <f t="shared" si="27"/>
        <v>376065</v>
      </c>
      <c r="M80" s="340">
        <f t="shared" si="27"/>
        <v>94033</v>
      </c>
      <c r="N80" s="342">
        <f t="shared" si="27"/>
        <v>0</v>
      </c>
      <c r="O80" s="342">
        <f t="shared" si="27"/>
        <v>0</v>
      </c>
      <c r="P80" s="345">
        <f t="shared" si="27"/>
        <v>94033</v>
      </c>
    </row>
    <row r="81" spans="1:16" ht="12.75">
      <c r="A81" s="598"/>
      <c r="B81" s="346">
        <v>1</v>
      </c>
      <c r="C81" s="600" t="s">
        <v>308</v>
      </c>
      <c r="D81" s="600"/>
      <c r="E81" s="347">
        <v>334000</v>
      </c>
      <c r="F81" s="348"/>
      <c r="G81" s="349"/>
      <c r="H81" s="350">
        <f>SUM(E81:G81)</f>
        <v>334000</v>
      </c>
      <c r="I81" s="351">
        <v>358865</v>
      </c>
      <c r="J81" s="349"/>
      <c r="K81" s="349"/>
      <c r="L81" s="348">
        <f>SUM(I81:K81)</f>
        <v>358865</v>
      </c>
      <c r="M81" s="416">
        <v>89633</v>
      </c>
      <c r="N81" s="418"/>
      <c r="O81" s="349"/>
      <c r="P81" s="352">
        <f>SUM(M81:O81)</f>
        <v>89633</v>
      </c>
    </row>
    <row r="82" spans="1:16" ht="13.5" thickBot="1">
      <c r="A82" s="599"/>
      <c r="B82" s="353">
        <v>2</v>
      </c>
      <c r="C82" s="601" t="s">
        <v>309</v>
      </c>
      <c r="D82" s="601"/>
      <c r="E82" s="354">
        <v>17000</v>
      </c>
      <c r="F82" s="355"/>
      <c r="G82" s="356"/>
      <c r="H82" s="357">
        <f>SUM(E82:G82)</f>
        <v>17000</v>
      </c>
      <c r="I82" s="415">
        <v>17200</v>
      </c>
      <c r="J82" s="356"/>
      <c r="K82" s="356"/>
      <c r="L82" s="358">
        <f>SUM(I82:K82)</f>
        <v>17200</v>
      </c>
      <c r="M82" s="417">
        <v>4400</v>
      </c>
      <c r="N82" s="356"/>
      <c r="O82" s="356"/>
      <c r="P82" s="359">
        <f>SUM(M82:O82)</f>
        <v>4400</v>
      </c>
    </row>
    <row r="83" spans="1:16" ht="13.5" thickBot="1">
      <c r="A83" s="360"/>
      <c r="B83" s="131"/>
      <c r="C83" s="131"/>
      <c r="D83" s="131"/>
      <c r="E83" s="131"/>
      <c r="F83" s="131"/>
      <c r="G83" s="361"/>
      <c r="H83" s="131"/>
      <c r="I83" s="131"/>
      <c r="J83" s="131"/>
      <c r="K83" s="131"/>
      <c r="L83" s="131"/>
      <c r="M83" s="360"/>
      <c r="N83" s="131"/>
      <c r="O83" s="131"/>
      <c r="P83" s="362"/>
    </row>
    <row r="84" spans="1:16" ht="45" customHeight="1" thickBot="1">
      <c r="A84" s="605" t="s">
        <v>310</v>
      </c>
      <c r="B84" s="606"/>
      <c r="C84" s="606"/>
      <c r="D84" s="606"/>
      <c r="E84" s="363" t="s">
        <v>311</v>
      </c>
      <c r="F84" s="364" t="s">
        <v>312</v>
      </c>
      <c r="G84" s="365" t="s">
        <v>313</v>
      </c>
      <c r="H84" s="366" t="s">
        <v>238</v>
      </c>
      <c r="I84" s="367" t="s">
        <v>311</v>
      </c>
      <c r="J84" s="365" t="s">
        <v>312</v>
      </c>
      <c r="K84" s="364" t="s">
        <v>313</v>
      </c>
      <c r="L84" s="364" t="s">
        <v>238</v>
      </c>
      <c r="M84" s="363" t="s">
        <v>311</v>
      </c>
      <c r="N84" s="365" t="s">
        <v>312</v>
      </c>
      <c r="O84" s="364" t="s">
        <v>313</v>
      </c>
      <c r="P84" s="368" t="s">
        <v>238</v>
      </c>
    </row>
    <row r="85" spans="1:16" ht="15.75" thickBot="1">
      <c r="A85" s="607" t="s">
        <v>314</v>
      </c>
      <c r="B85" s="608"/>
      <c r="C85" s="608"/>
      <c r="D85" s="608"/>
      <c r="E85" s="369">
        <v>1266364</v>
      </c>
      <c r="F85" s="370">
        <v>210370</v>
      </c>
      <c r="G85" s="371">
        <v>30427</v>
      </c>
      <c r="H85" s="372">
        <f>SUM(E85:G85)</f>
        <v>1507161</v>
      </c>
      <c r="I85" s="373">
        <v>1357657</v>
      </c>
      <c r="J85" s="370">
        <v>589925</v>
      </c>
      <c r="K85" s="371">
        <v>48171</v>
      </c>
      <c r="L85" s="370">
        <f>SUM(I85:K85)</f>
        <v>1995753</v>
      </c>
      <c r="M85" s="369">
        <v>358602</v>
      </c>
      <c r="N85" s="370">
        <v>0</v>
      </c>
      <c r="O85" s="371">
        <v>0</v>
      </c>
      <c r="P85" s="372">
        <f>SUM(M85:O85)</f>
        <v>358602</v>
      </c>
    </row>
    <row r="86" spans="1:16" ht="15.75" thickBot="1">
      <c r="A86" s="607" t="s">
        <v>315</v>
      </c>
      <c r="B86" s="608"/>
      <c r="C86" s="608"/>
      <c r="D86" s="608"/>
      <c r="E86" s="374">
        <f aca="true" t="shared" si="28" ref="E86:P86">E5+E80</f>
        <v>1209041</v>
      </c>
      <c r="F86" s="374">
        <f t="shared" si="28"/>
        <v>257420</v>
      </c>
      <c r="G86" s="374">
        <f t="shared" si="28"/>
        <v>40700</v>
      </c>
      <c r="H86" s="374">
        <f t="shared" si="28"/>
        <v>1507161</v>
      </c>
      <c r="I86" s="374">
        <f t="shared" si="28"/>
        <v>1298105</v>
      </c>
      <c r="J86" s="374">
        <f t="shared" si="28"/>
        <v>656948</v>
      </c>
      <c r="K86" s="374">
        <f t="shared" si="28"/>
        <v>40700</v>
      </c>
      <c r="L86" s="374">
        <f t="shared" si="28"/>
        <v>1995753</v>
      </c>
      <c r="M86" s="374">
        <f t="shared" si="28"/>
        <v>285908.91000000003</v>
      </c>
      <c r="N86" s="374">
        <f t="shared" si="28"/>
        <v>0</v>
      </c>
      <c r="O86" s="374">
        <f t="shared" si="28"/>
        <v>7510</v>
      </c>
      <c r="P86" s="374">
        <f t="shared" si="28"/>
        <v>293418.91000000003</v>
      </c>
    </row>
    <row r="87" spans="1:16" ht="13.5" thickBot="1">
      <c r="A87" s="609" t="s">
        <v>316</v>
      </c>
      <c r="B87" s="610"/>
      <c r="C87" s="610"/>
      <c r="D87" s="610"/>
      <c r="E87" s="375">
        <f aca="true" t="shared" si="29" ref="E87:P87">E85-E86</f>
        <v>57323</v>
      </c>
      <c r="F87" s="376">
        <f t="shared" si="29"/>
        <v>-47050</v>
      </c>
      <c r="G87" s="377">
        <f t="shared" si="29"/>
        <v>-10273</v>
      </c>
      <c r="H87" s="378">
        <f t="shared" si="29"/>
        <v>0</v>
      </c>
      <c r="I87" s="379">
        <f t="shared" si="29"/>
        <v>59552</v>
      </c>
      <c r="J87" s="380">
        <f t="shared" si="29"/>
        <v>-67023</v>
      </c>
      <c r="K87" s="380">
        <f t="shared" si="29"/>
        <v>7471</v>
      </c>
      <c r="L87" s="376">
        <f t="shared" si="29"/>
        <v>0</v>
      </c>
      <c r="M87" s="375">
        <f t="shared" si="29"/>
        <v>72693.08999999997</v>
      </c>
      <c r="N87" s="380">
        <f t="shared" si="29"/>
        <v>0</v>
      </c>
      <c r="O87" s="380">
        <f t="shared" si="29"/>
        <v>-7510</v>
      </c>
      <c r="P87" s="381">
        <f t="shared" si="29"/>
        <v>65183.08999999997</v>
      </c>
    </row>
  </sheetData>
  <sheetProtection/>
  <mergeCells count="82">
    <mergeCell ref="A84:D84"/>
    <mergeCell ref="A85:D85"/>
    <mergeCell ref="A86:D86"/>
    <mergeCell ref="A87:D87"/>
    <mergeCell ref="A80:D80"/>
    <mergeCell ref="A81:A82"/>
    <mergeCell ref="C81:D81"/>
    <mergeCell ref="C82:D82"/>
    <mergeCell ref="A69:D69"/>
    <mergeCell ref="A70:A79"/>
    <mergeCell ref="C70:D70"/>
    <mergeCell ref="B71:B76"/>
    <mergeCell ref="C71:D71"/>
    <mergeCell ref="B77:B79"/>
    <mergeCell ref="C77:D77"/>
    <mergeCell ref="A66:D66"/>
    <mergeCell ref="A67:A68"/>
    <mergeCell ref="C67:D67"/>
    <mergeCell ref="C68:D68"/>
    <mergeCell ref="A61:D61"/>
    <mergeCell ref="A62:A65"/>
    <mergeCell ref="C62:D62"/>
    <mergeCell ref="C63:D63"/>
    <mergeCell ref="C64:D64"/>
    <mergeCell ref="C65:D65"/>
    <mergeCell ref="A50:D50"/>
    <mergeCell ref="A51:A60"/>
    <mergeCell ref="B51:B57"/>
    <mergeCell ref="C51:D51"/>
    <mergeCell ref="C58:D58"/>
    <mergeCell ref="C59:D59"/>
    <mergeCell ref="C60:D60"/>
    <mergeCell ref="A47:D47"/>
    <mergeCell ref="A48:A49"/>
    <mergeCell ref="C48:D48"/>
    <mergeCell ref="C49:D49"/>
    <mergeCell ref="A42:D42"/>
    <mergeCell ref="A43:A46"/>
    <mergeCell ref="C43:D43"/>
    <mergeCell ref="C44:D44"/>
    <mergeCell ref="C45:D45"/>
    <mergeCell ref="C46:D46"/>
    <mergeCell ref="A36:D36"/>
    <mergeCell ref="C37:D37"/>
    <mergeCell ref="A38:D38"/>
    <mergeCell ref="A39:A41"/>
    <mergeCell ref="C39:D39"/>
    <mergeCell ref="C40:D40"/>
    <mergeCell ref="C41:D41"/>
    <mergeCell ref="A33:D33"/>
    <mergeCell ref="A34:A35"/>
    <mergeCell ref="C34:D34"/>
    <mergeCell ref="C35:D35"/>
    <mergeCell ref="C26:D26"/>
    <mergeCell ref="B27:B30"/>
    <mergeCell ref="C27:D27"/>
    <mergeCell ref="B31:B32"/>
    <mergeCell ref="C31:D31"/>
    <mergeCell ref="A14:D14"/>
    <mergeCell ref="A15:A32"/>
    <mergeCell ref="B15:B17"/>
    <mergeCell ref="C15:D15"/>
    <mergeCell ref="C18:D18"/>
    <mergeCell ref="B19:B21"/>
    <mergeCell ref="C19:D19"/>
    <mergeCell ref="B22:B24"/>
    <mergeCell ref="C22:D22"/>
    <mergeCell ref="C25:D25"/>
    <mergeCell ref="A6:D6"/>
    <mergeCell ref="A7:A13"/>
    <mergeCell ref="B7:B9"/>
    <mergeCell ref="C7:D7"/>
    <mergeCell ref="C10:D10"/>
    <mergeCell ref="C11:D11"/>
    <mergeCell ref="C12:D12"/>
    <mergeCell ref="C13:D13"/>
    <mergeCell ref="A1:P1"/>
    <mergeCell ref="A2:H2"/>
    <mergeCell ref="A3:D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N93" sqref="N93"/>
    </sheetView>
  </sheetViews>
  <sheetFormatPr defaultColWidth="9.140625" defaultRowHeight="12.75"/>
  <cols>
    <col min="1" max="1" width="3.140625" style="0" customWidth="1"/>
    <col min="2" max="2" width="2.28125" style="0" customWidth="1"/>
    <col min="3" max="3" width="2.8515625" style="0" customWidth="1"/>
    <col min="4" max="4" width="27.28125" style="0" customWidth="1"/>
    <col min="5" max="5" width="7.7109375" style="0" customWidth="1"/>
    <col min="6" max="6" width="7.28125" style="0" customWidth="1"/>
    <col min="7" max="7" width="7.00390625" style="0" customWidth="1"/>
    <col min="8" max="8" width="8.7109375" style="0" customWidth="1"/>
    <col min="9" max="9" width="8.140625" style="0" customWidth="1"/>
    <col min="10" max="10" width="7.57421875" style="0" customWidth="1"/>
    <col min="11" max="11" width="6.7109375" style="0" customWidth="1"/>
    <col min="12" max="12" width="7.7109375" style="0" customWidth="1"/>
    <col min="13" max="13" width="8.00390625" style="0" customWidth="1"/>
    <col min="14" max="14" width="7.00390625" style="0" customWidth="1"/>
    <col min="15" max="15" width="6.8515625" style="0" customWidth="1"/>
    <col min="16" max="16" width="9.00390625" style="0" customWidth="1"/>
  </cols>
  <sheetData>
    <row r="1" spans="1:16" ht="18">
      <c r="A1" s="552" t="s">
        <v>356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8.75" thickBot="1">
      <c r="A2" s="553" t="s">
        <v>350</v>
      </c>
      <c r="B2" s="553"/>
      <c r="C2" s="553"/>
      <c r="D2" s="553"/>
      <c r="E2" s="553"/>
      <c r="F2" s="553"/>
      <c r="G2" s="553"/>
      <c r="H2" s="553"/>
      <c r="I2" s="204" t="s">
        <v>355</v>
      </c>
      <c r="J2" s="204"/>
      <c r="K2" s="204"/>
      <c r="L2" s="204"/>
      <c r="M2" s="205"/>
      <c r="N2" s="205"/>
      <c r="O2" s="205"/>
      <c r="P2" s="205"/>
    </row>
    <row r="3" spans="1:16" ht="13.5" thickBot="1">
      <c r="A3" s="554" t="s">
        <v>234</v>
      </c>
      <c r="B3" s="555"/>
      <c r="C3" s="555"/>
      <c r="D3" s="556"/>
      <c r="E3" s="560" t="s">
        <v>318</v>
      </c>
      <c r="F3" s="561"/>
      <c r="G3" s="561"/>
      <c r="H3" s="562"/>
      <c r="I3" s="563" t="s">
        <v>319</v>
      </c>
      <c r="J3" s="563"/>
      <c r="K3" s="563"/>
      <c r="L3" s="564"/>
      <c r="M3" s="560" t="s">
        <v>354</v>
      </c>
      <c r="N3" s="561"/>
      <c r="O3" s="561"/>
      <c r="P3" s="562"/>
    </row>
    <row r="4" spans="1:16" ht="48" customHeight="1" thickBot="1">
      <c r="A4" s="557"/>
      <c r="B4" s="558"/>
      <c r="C4" s="558"/>
      <c r="D4" s="559"/>
      <c r="E4" s="206" t="s">
        <v>235</v>
      </c>
      <c r="F4" s="207" t="s">
        <v>236</v>
      </c>
      <c r="G4" s="208" t="s">
        <v>237</v>
      </c>
      <c r="H4" s="209" t="s">
        <v>238</v>
      </c>
      <c r="I4" s="210" t="s">
        <v>235</v>
      </c>
      <c r="J4" s="208" t="s">
        <v>236</v>
      </c>
      <c r="K4" s="207" t="s">
        <v>237</v>
      </c>
      <c r="L4" s="207" t="s">
        <v>238</v>
      </c>
      <c r="M4" s="206" t="s">
        <v>235</v>
      </c>
      <c r="N4" s="208" t="s">
        <v>236</v>
      </c>
      <c r="O4" s="207" t="s">
        <v>237</v>
      </c>
      <c r="P4" s="211" t="s">
        <v>238</v>
      </c>
    </row>
    <row r="5" spans="1:16" ht="42" thickBot="1">
      <c r="A5" s="212" t="s">
        <v>239</v>
      </c>
      <c r="B5" s="213" t="s">
        <v>240</v>
      </c>
      <c r="C5" s="214" t="s">
        <v>241</v>
      </c>
      <c r="D5" s="215" t="s">
        <v>242</v>
      </c>
      <c r="E5" s="216">
        <f>E6+E14+E33+E36+E38+E42+E47+E50+E61+E66+E69</f>
        <v>858041</v>
      </c>
      <c r="F5" s="216">
        <f>F6+F14+F33+F36+F38+F42+F47+F50+F61+F66+F69</f>
        <v>257420</v>
      </c>
      <c r="G5" s="216">
        <f>G6+G14+G33+G36+G38+G42+G47+G50+G61+G66+G69</f>
        <v>40700</v>
      </c>
      <c r="H5" s="216">
        <f>H6+H14+H33+H36+H38+H42+H47+H50+H61+H66+H69</f>
        <v>1156161</v>
      </c>
      <c r="I5" s="216">
        <f aca="true" t="shared" si="0" ref="I5:P5">I6+I14+I33+I36+I38+I42+I47+I50+I61+I66+I69</f>
        <v>874164</v>
      </c>
      <c r="J5" s="216">
        <f t="shared" si="0"/>
        <v>0</v>
      </c>
      <c r="K5" s="216">
        <f t="shared" si="0"/>
        <v>40700</v>
      </c>
      <c r="L5" s="216">
        <f t="shared" si="0"/>
        <v>914864</v>
      </c>
      <c r="M5" s="216">
        <f t="shared" si="0"/>
        <v>862164</v>
      </c>
      <c r="N5" s="216">
        <f t="shared" si="0"/>
        <v>0</v>
      </c>
      <c r="O5" s="216">
        <f t="shared" si="0"/>
        <v>40700</v>
      </c>
      <c r="P5" s="216">
        <f t="shared" si="0"/>
        <v>902864</v>
      </c>
    </row>
    <row r="6" spans="1:16" ht="14.25">
      <c r="A6" s="567" t="s">
        <v>243</v>
      </c>
      <c r="B6" s="568"/>
      <c r="C6" s="568"/>
      <c r="D6" s="568"/>
      <c r="E6" s="219">
        <f>SUM(E7:E13)-E8-E9</f>
        <v>164301</v>
      </c>
      <c r="F6" s="219">
        <f>SUM(F7:F13)-F8-F9</f>
        <v>30000</v>
      </c>
      <c r="G6" s="219">
        <f>SUM(G7:G13)-G8-G9</f>
        <v>40700</v>
      </c>
      <c r="H6" s="219">
        <f>SUM(H7:H13)-H8-H9</f>
        <v>235001</v>
      </c>
      <c r="I6" s="219">
        <f aca="true" t="shared" si="1" ref="I6:P6">SUM(I7:I13)-I8-I9</f>
        <v>163510</v>
      </c>
      <c r="J6" s="219">
        <f t="shared" si="1"/>
        <v>0</v>
      </c>
      <c r="K6" s="219">
        <f t="shared" si="1"/>
        <v>40700</v>
      </c>
      <c r="L6" s="219">
        <f t="shared" si="1"/>
        <v>204210</v>
      </c>
      <c r="M6" s="219">
        <f t="shared" si="1"/>
        <v>163510</v>
      </c>
      <c r="N6" s="219">
        <f t="shared" si="1"/>
        <v>0</v>
      </c>
      <c r="O6" s="219">
        <f t="shared" si="1"/>
        <v>40700</v>
      </c>
      <c r="P6" s="219">
        <f t="shared" si="1"/>
        <v>204210</v>
      </c>
    </row>
    <row r="7" spans="1:16" ht="12.75">
      <c r="A7" s="569">
        <v>1</v>
      </c>
      <c r="B7" s="572">
        <v>1</v>
      </c>
      <c r="C7" s="565" t="s">
        <v>244</v>
      </c>
      <c r="D7" s="566"/>
      <c r="E7" s="421">
        <f>SUM(E8:E9)</f>
        <v>152051</v>
      </c>
      <c r="F7" s="228">
        <f aca="true" t="shared" si="2" ref="F7:M7">SUM(F8:F9)</f>
        <v>0</v>
      </c>
      <c r="G7" s="228">
        <f t="shared" si="2"/>
        <v>0</v>
      </c>
      <c r="H7" s="382">
        <f t="shared" si="2"/>
        <v>152051</v>
      </c>
      <c r="I7" s="421">
        <f t="shared" si="2"/>
        <v>151160</v>
      </c>
      <c r="J7" s="228">
        <f t="shared" si="2"/>
        <v>0</v>
      </c>
      <c r="K7" s="228">
        <f t="shared" si="2"/>
        <v>0</v>
      </c>
      <c r="L7" s="382">
        <f t="shared" si="2"/>
        <v>151160</v>
      </c>
      <c r="M7" s="227">
        <f t="shared" si="2"/>
        <v>151160</v>
      </c>
      <c r="N7" s="227">
        <f>SUM(N8:N9)</f>
        <v>0</v>
      </c>
      <c r="O7" s="227">
        <f>SUM(O8:O9)</f>
        <v>0</v>
      </c>
      <c r="P7" s="227">
        <f>SUM(P8:P9)</f>
        <v>151160</v>
      </c>
    </row>
    <row r="8" spans="1:16" ht="12.75">
      <c r="A8" s="570"/>
      <c r="B8" s="573"/>
      <c r="C8" s="233">
        <v>1</v>
      </c>
      <c r="D8" s="234" t="s">
        <v>245</v>
      </c>
      <c r="E8" s="235">
        <v>147521</v>
      </c>
      <c r="F8" s="236"/>
      <c r="G8" s="237"/>
      <c r="H8" s="238">
        <f aca="true" t="shared" si="3" ref="H8:H13">SUM(E8:G8)</f>
        <v>147521</v>
      </c>
      <c r="I8" s="235">
        <v>146630</v>
      </c>
      <c r="J8" s="236"/>
      <c r="K8" s="237"/>
      <c r="L8" s="238">
        <f aca="true" t="shared" si="4" ref="L8:L13">SUM(I8:K8)</f>
        <v>146630</v>
      </c>
      <c r="M8" s="235">
        <v>146630</v>
      </c>
      <c r="N8" s="236"/>
      <c r="O8" s="237"/>
      <c r="P8" s="238">
        <f aca="true" t="shared" si="5" ref="P8:P13">SUM(M8:O8)</f>
        <v>146630</v>
      </c>
    </row>
    <row r="9" spans="1:16" ht="12.75">
      <c r="A9" s="570"/>
      <c r="B9" s="574"/>
      <c r="C9" s="233">
        <v>2</v>
      </c>
      <c r="D9" s="234" t="s">
        <v>246</v>
      </c>
      <c r="E9" s="235">
        <v>4530</v>
      </c>
      <c r="F9" s="236"/>
      <c r="G9" s="237"/>
      <c r="H9" s="238">
        <f t="shared" si="3"/>
        <v>4530</v>
      </c>
      <c r="I9" s="235">
        <v>4530</v>
      </c>
      <c r="J9" s="236"/>
      <c r="K9" s="237"/>
      <c r="L9" s="238">
        <f t="shared" si="4"/>
        <v>4530</v>
      </c>
      <c r="M9" s="235">
        <v>4530</v>
      </c>
      <c r="N9" s="236"/>
      <c r="O9" s="237"/>
      <c r="P9" s="238">
        <f t="shared" si="5"/>
        <v>4530</v>
      </c>
    </row>
    <row r="10" spans="1:16" ht="12.75">
      <c r="A10" s="570"/>
      <c r="B10" s="241">
        <v>2</v>
      </c>
      <c r="C10" s="565" t="s">
        <v>247</v>
      </c>
      <c r="D10" s="566"/>
      <c r="E10" s="242">
        <v>6350</v>
      </c>
      <c r="F10" s="243"/>
      <c r="G10" s="244"/>
      <c r="H10" s="245">
        <f t="shared" si="3"/>
        <v>6350</v>
      </c>
      <c r="I10" s="242">
        <v>6350</v>
      </c>
      <c r="J10" s="243"/>
      <c r="K10" s="244"/>
      <c r="L10" s="245">
        <f t="shared" si="4"/>
        <v>6350</v>
      </c>
      <c r="M10" s="242">
        <v>6350</v>
      </c>
      <c r="N10" s="243"/>
      <c r="O10" s="244"/>
      <c r="P10" s="245">
        <f t="shared" si="5"/>
        <v>6350</v>
      </c>
    </row>
    <row r="11" spans="1:16" ht="12.75">
      <c r="A11" s="570"/>
      <c r="B11" s="248">
        <v>3</v>
      </c>
      <c r="C11" s="575" t="s">
        <v>248</v>
      </c>
      <c r="D11" s="576"/>
      <c r="E11" s="242">
        <v>1500</v>
      </c>
      <c r="F11" s="243"/>
      <c r="G11" s="249"/>
      <c r="H11" s="245">
        <f t="shared" si="3"/>
        <v>1500</v>
      </c>
      <c r="I11" s="242">
        <v>1500</v>
      </c>
      <c r="J11" s="243"/>
      <c r="K11" s="249"/>
      <c r="L11" s="245">
        <f t="shared" si="4"/>
        <v>1500</v>
      </c>
      <c r="M11" s="242">
        <v>1500</v>
      </c>
      <c r="N11" s="243"/>
      <c r="O11" s="249"/>
      <c r="P11" s="245">
        <f t="shared" si="5"/>
        <v>1500</v>
      </c>
    </row>
    <row r="12" spans="1:16" ht="12.75">
      <c r="A12" s="570"/>
      <c r="B12" s="250">
        <v>4</v>
      </c>
      <c r="C12" s="577" t="s">
        <v>249</v>
      </c>
      <c r="D12" s="576"/>
      <c r="E12" s="251">
        <v>0</v>
      </c>
      <c r="F12" s="252">
        <v>30000</v>
      </c>
      <c r="G12" s="253">
        <v>40700</v>
      </c>
      <c r="H12" s="245">
        <f t="shared" si="3"/>
        <v>70700</v>
      </c>
      <c r="I12" s="251">
        <v>0</v>
      </c>
      <c r="J12" s="252">
        <v>0</v>
      </c>
      <c r="K12" s="253">
        <v>40700</v>
      </c>
      <c r="L12" s="245">
        <f t="shared" si="4"/>
        <v>40700</v>
      </c>
      <c r="M12" s="251">
        <v>0</v>
      </c>
      <c r="N12" s="252">
        <v>0</v>
      </c>
      <c r="O12" s="253">
        <v>40700</v>
      </c>
      <c r="P12" s="245">
        <f t="shared" si="5"/>
        <v>40700</v>
      </c>
    </row>
    <row r="13" spans="1:16" ht="13.5" thickBot="1">
      <c r="A13" s="571"/>
      <c r="B13" s="257">
        <v>5</v>
      </c>
      <c r="C13" s="578" t="s">
        <v>250</v>
      </c>
      <c r="D13" s="579"/>
      <c r="E13" s="258">
        <f>2000+1000+1400</f>
        <v>4400</v>
      </c>
      <c r="F13" s="259"/>
      <c r="G13" s="260"/>
      <c r="H13" s="261">
        <f t="shared" si="3"/>
        <v>4400</v>
      </c>
      <c r="I13" s="258">
        <v>4500</v>
      </c>
      <c r="J13" s="259"/>
      <c r="K13" s="260"/>
      <c r="L13" s="261">
        <f t="shared" si="4"/>
        <v>4500</v>
      </c>
      <c r="M13" s="258">
        <v>4500</v>
      </c>
      <c r="N13" s="259"/>
      <c r="O13" s="260"/>
      <c r="P13" s="261">
        <f t="shared" si="5"/>
        <v>4500</v>
      </c>
    </row>
    <row r="14" spans="1:16" ht="15" thickBot="1">
      <c r="A14" s="580" t="s">
        <v>251</v>
      </c>
      <c r="B14" s="581"/>
      <c r="C14" s="581"/>
      <c r="D14" s="581"/>
      <c r="E14" s="265">
        <f>E15+E18+E19+E22+E25+E26+E27+E31</f>
        <v>161140</v>
      </c>
      <c r="F14" s="224">
        <f>F15+F18+F19+F22+F25+F26+F27+F31</f>
        <v>7550</v>
      </c>
      <c r="G14" s="224">
        <f>G15+G18+G19+G22+G25+G26+G27+G31</f>
        <v>0</v>
      </c>
      <c r="H14" s="266">
        <f>H15+H18+H19+H22+H25+H26+H27+H31</f>
        <v>168690</v>
      </c>
      <c r="I14" s="265">
        <f aca="true" t="shared" si="6" ref="I14:P14">I15+I18+I19+I22+I25+I26+I27+I31</f>
        <v>171154</v>
      </c>
      <c r="J14" s="224">
        <f t="shared" si="6"/>
        <v>0</v>
      </c>
      <c r="K14" s="224">
        <f t="shared" si="6"/>
        <v>0</v>
      </c>
      <c r="L14" s="266">
        <f t="shared" si="6"/>
        <v>171154</v>
      </c>
      <c r="M14" s="265">
        <f t="shared" si="6"/>
        <v>159054</v>
      </c>
      <c r="N14" s="224">
        <f t="shared" si="6"/>
        <v>0</v>
      </c>
      <c r="O14" s="224">
        <f t="shared" si="6"/>
        <v>0</v>
      </c>
      <c r="P14" s="266">
        <f t="shared" si="6"/>
        <v>159054</v>
      </c>
    </row>
    <row r="15" spans="1:16" ht="12.75">
      <c r="A15" s="582">
        <v>2</v>
      </c>
      <c r="B15" s="583">
        <v>1</v>
      </c>
      <c r="C15" s="584" t="s">
        <v>252</v>
      </c>
      <c r="D15" s="585"/>
      <c r="E15" s="267">
        <f>E16+E17</f>
        <v>400</v>
      </c>
      <c r="F15" s="268">
        <f>F16+F17</f>
        <v>0</v>
      </c>
      <c r="G15" s="268">
        <f>G16+G17</f>
        <v>0</v>
      </c>
      <c r="H15" s="269">
        <f>H16+H17</f>
        <v>400</v>
      </c>
      <c r="I15" s="267">
        <f aca="true" t="shared" si="7" ref="I15:P15">I16+I17</f>
        <v>400</v>
      </c>
      <c r="J15" s="268">
        <f t="shared" si="7"/>
        <v>0</v>
      </c>
      <c r="K15" s="268">
        <f t="shared" si="7"/>
        <v>0</v>
      </c>
      <c r="L15" s="269">
        <f t="shared" si="7"/>
        <v>400</v>
      </c>
      <c r="M15" s="267">
        <f t="shared" si="7"/>
        <v>400</v>
      </c>
      <c r="N15" s="268">
        <f t="shared" si="7"/>
        <v>0</v>
      </c>
      <c r="O15" s="268">
        <f t="shared" si="7"/>
        <v>0</v>
      </c>
      <c r="P15" s="269">
        <f t="shared" si="7"/>
        <v>400</v>
      </c>
    </row>
    <row r="16" spans="1:16" ht="12.75">
      <c r="A16" s="570"/>
      <c r="B16" s="573"/>
      <c r="C16" s="233">
        <v>1</v>
      </c>
      <c r="D16" s="234" t="s">
        <v>143</v>
      </c>
      <c r="E16" s="235">
        <v>300</v>
      </c>
      <c r="F16" s="236"/>
      <c r="G16" s="237"/>
      <c r="H16" s="272">
        <f>SUM(E16:G16)</f>
        <v>300</v>
      </c>
      <c r="I16" s="235">
        <v>300</v>
      </c>
      <c r="J16" s="236"/>
      <c r="K16" s="237"/>
      <c r="L16" s="272">
        <f>SUM(I16:K16)</f>
        <v>300</v>
      </c>
      <c r="M16" s="235">
        <v>300</v>
      </c>
      <c r="N16" s="236"/>
      <c r="O16" s="237"/>
      <c r="P16" s="272">
        <f>SUM(M16:O16)</f>
        <v>300</v>
      </c>
    </row>
    <row r="17" spans="1:16" ht="12.75">
      <c r="A17" s="570"/>
      <c r="B17" s="574"/>
      <c r="C17" s="233">
        <v>2</v>
      </c>
      <c r="D17" s="234" t="s">
        <v>112</v>
      </c>
      <c r="E17" s="235">
        <v>100</v>
      </c>
      <c r="F17" s="236"/>
      <c r="G17" s="237"/>
      <c r="H17" s="272">
        <f>SUM(E17:G17)</f>
        <v>100</v>
      </c>
      <c r="I17" s="235">
        <v>100</v>
      </c>
      <c r="J17" s="236"/>
      <c r="K17" s="237"/>
      <c r="L17" s="272">
        <f>SUM(I17:K17)</f>
        <v>100</v>
      </c>
      <c r="M17" s="235">
        <v>100</v>
      </c>
      <c r="N17" s="236"/>
      <c r="O17" s="237"/>
      <c r="P17" s="272">
        <f>SUM(M17:O17)</f>
        <v>100</v>
      </c>
    </row>
    <row r="18" spans="1:16" ht="12.75">
      <c r="A18" s="570"/>
      <c r="B18" s="241">
        <v>2</v>
      </c>
      <c r="C18" s="565" t="s">
        <v>253</v>
      </c>
      <c r="D18" s="566"/>
      <c r="E18" s="242">
        <v>3700</v>
      </c>
      <c r="F18" s="243"/>
      <c r="G18" s="244"/>
      <c r="H18" s="245">
        <f>SUM(E18:G18)</f>
        <v>3700</v>
      </c>
      <c r="I18" s="242">
        <v>3700</v>
      </c>
      <c r="J18" s="243"/>
      <c r="K18" s="244"/>
      <c r="L18" s="245">
        <f>SUM(I18:K18)</f>
        <v>3700</v>
      </c>
      <c r="M18" s="242">
        <v>3700</v>
      </c>
      <c r="N18" s="243"/>
      <c r="O18" s="244"/>
      <c r="P18" s="245">
        <f>SUM(M18:O18)</f>
        <v>3700</v>
      </c>
    </row>
    <row r="19" spans="1:16" ht="12.75">
      <c r="A19" s="570"/>
      <c r="B19" s="572">
        <v>3</v>
      </c>
      <c r="C19" s="565" t="s">
        <v>254</v>
      </c>
      <c r="D19" s="566"/>
      <c r="E19" s="242">
        <f>E20+E21</f>
        <v>8500</v>
      </c>
      <c r="F19" s="244">
        <f>F20+F21</f>
        <v>0</v>
      </c>
      <c r="G19" s="244">
        <f>G20+G21</f>
        <v>0</v>
      </c>
      <c r="H19" s="247">
        <f>H20+H21</f>
        <v>8500</v>
      </c>
      <c r="I19" s="242">
        <f aca="true" t="shared" si="8" ref="I19:P19">I20+I21</f>
        <v>8500</v>
      </c>
      <c r="J19" s="244">
        <f t="shared" si="8"/>
        <v>0</v>
      </c>
      <c r="K19" s="244">
        <f t="shared" si="8"/>
        <v>0</v>
      </c>
      <c r="L19" s="247">
        <f t="shared" si="8"/>
        <v>8500</v>
      </c>
      <c r="M19" s="242">
        <f t="shared" si="8"/>
        <v>8500</v>
      </c>
      <c r="N19" s="244">
        <f t="shared" si="8"/>
        <v>0</v>
      </c>
      <c r="O19" s="244">
        <f t="shared" si="8"/>
        <v>0</v>
      </c>
      <c r="P19" s="247">
        <f t="shared" si="8"/>
        <v>8500</v>
      </c>
    </row>
    <row r="20" spans="1:16" ht="12.75">
      <c r="A20" s="570"/>
      <c r="B20" s="573"/>
      <c r="C20" s="233">
        <v>1</v>
      </c>
      <c r="D20" s="234" t="s">
        <v>255</v>
      </c>
      <c r="E20" s="276">
        <v>5000</v>
      </c>
      <c r="F20" s="273"/>
      <c r="G20" s="277"/>
      <c r="H20" s="272">
        <f>SUM(E20:G20)</f>
        <v>5000</v>
      </c>
      <c r="I20" s="276">
        <v>5000</v>
      </c>
      <c r="J20" s="273"/>
      <c r="K20" s="277"/>
      <c r="L20" s="272">
        <f>SUM(I20:K20)</f>
        <v>5000</v>
      </c>
      <c r="M20" s="276">
        <v>5000</v>
      </c>
      <c r="N20" s="273"/>
      <c r="O20" s="277"/>
      <c r="P20" s="272">
        <f>SUM(M20:O20)</f>
        <v>5000</v>
      </c>
    </row>
    <row r="21" spans="1:16" ht="12.75">
      <c r="A21" s="570"/>
      <c r="B21" s="574"/>
      <c r="C21" s="233">
        <v>2</v>
      </c>
      <c r="D21" s="234" t="s">
        <v>256</v>
      </c>
      <c r="E21" s="276">
        <v>3500</v>
      </c>
      <c r="F21" s="273"/>
      <c r="G21" s="277"/>
      <c r="H21" s="272">
        <f>SUM(E21:G21)</f>
        <v>3500</v>
      </c>
      <c r="I21" s="276">
        <v>3500</v>
      </c>
      <c r="J21" s="273"/>
      <c r="K21" s="277"/>
      <c r="L21" s="272">
        <f>SUM(I21:K21)</f>
        <v>3500</v>
      </c>
      <c r="M21" s="276">
        <v>3500</v>
      </c>
      <c r="N21" s="273"/>
      <c r="O21" s="277"/>
      <c r="P21" s="272">
        <f>SUM(M21:O21)</f>
        <v>3500</v>
      </c>
    </row>
    <row r="22" spans="1:16" ht="12.75">
      <c r="A22" s="570"/>
      <c r="B22" s="572">
        <v>4</v>
      </c>
      <c r="C22" s="565" t="s">
        <v>257</v>
      </c>
      <c r="D22" s="566"/>
      <c r="E22" s="227">
        <f>SUM(E23:E24)</f>
        <v>2420</v>
      </c>
      <c r="F22" s="228">
        <f>SUM(F23:F24)</f>
        <v>0</v>
      </c>
      <c r="G22" s="228">
        <f>SUM(G23:G24)</f>
        <v>0</v>
      </c>
      <c r="H22" s="229">
        <f>SUM(H23:H24)</f>
        <v>2420</v>
      </c>
      <c r="I22" s="227">
        <f aca="true" t="shared" si="9" ref="I22:P22">SUM(I23:I24)</f>
        <v>2420</v>
      </c>
      <c r="J22" s="228">
        <f t="shared" si="9"/>
        <v>0</v>
      </c>
      <c r="K22" s="228">
        <f t="shared" si="9"/>
        <v>0</v>
      </c>
      <c r="L22" s="229">
        <f t="shared" si="9"/>
        <v>2420</v>
      </c>
      <c r="M22" s="227">
        <f t="shared" si="9"/>
        <v>2420</v>
      </c>
      <c r="N22" s="228">
        <f t="shared" si="9"/>
        <v>0</v>
      </c>
      <c r="O22" s="228">
        <f t="shared" si="9"/>
        <v>0</v>
      </c>
      <c r="P22" s="229">
        <f t="shared" si="9"/>
        <v>2420</v>
      </c>
    </row>
    <row r="23" spans="1:16" ht="12.75">
      <c r="A23" s="570"/>
      <c r="B23" s="573"/>
      <c r="C23" s="233">
        <v>1</v>
      </c>
      <c r="D23" s="234" t="s">
        <v>258</v>
      </c>
      <c r="E23" s="276">
        <v>1700</v>
      </c>
      <c r="F23" s="273"/>
      <c r="G23" s="277"/>
      <c r="H23" s="272">
        <f>SUM(E23:G23)</f>
        <v>1700</v>
      </c>
      <c r="I23" s="276">
        <v>1700</v>
      </c>
      <c r="J23" s="273"/>
      <c r="K23" s="277"/>
      <c r="L23" s="272">
        <f>SUM(I23:K23)</f>
        <v>1700</v>
      </c>
      <c r="M23" s="276">
        <v>1700</v>
      </c>
      <c r="N23" s="273"/>
      <c r="O23" s="277"/>
      <c r="P23" s="272">
        <f>SUM(M23:O23)</f>
        <v>1700</v>
      </c>
    </row>
    <row r="24" spans="1:16" ht="12.75">
      <c r="A24" s="570"/>
      <c r="B24" s="574"/>
      <c r="C24" s="280">
        <v>2</v>
      </c>
      <c r="D24" s="281" t="s">
        <v>259</v>
      </c>
      <c r="E24" s="282">
        <v>720</v>
      </c>
      <c r="F24" s="283"/>
      <c r="G24" s="284"/>
      <c r="H24" s="272">
        <f>SUM(E24:G24)</f>
        <v>720</v>
      </c>
      <c r="I24" s="282">
        <v>720</v>
      </c>
      <c r="J24" s="283"/>
      <c r="K24" s="284"/>
      <c r="L24" s="272">
        <f>SUM(I24:K24)</f>
        <v>720</v>
      </c>
      <c r="M24" s="282">
        <v>720</v>
      </c>
      <c r="N24" s="283"/>
      <c r="O24" s="284"/>
      <c r="P24" s="272">
        <f>SUM(M24:O24)</f>
        <v>720</v>
      </c>
    </row>
    <row r="25" spans="1:16" ht="12.75">
      <c r="A25" s="570"/>
      <c r="B25" s="286">
        <v>5</v>
      </c>
      <c r="C25" s="565" t="s">
        <v>260</v>
      </c>
      <c r="D25" s="566"/>
      <c r="E25" s="287">
        <v>14700</v>
      </c>
      <c r="F25" s="288"/>
      <c r="G25" s="289"/>
      <c r="H25" s="245">
        <f>SUM(E25:G25)</f>
        <v>14700</v>
      </c>
      <c r="I25" s="287">
        <v>14700</v>
      </c>
      <c r="J25" s="288"/>
      <c r="K25" s="289"/>
      <c r="L25" s="245">
        <f>SUM(I25:K25)</f>
        <v>14700</v>
      </c>
      <c r="M25" s="287">
        <v>14700</v>
      </c>
      <c r="N25" s="288"/>
      <c r="O25" s="289"/>
      <c r="P25" s="245">
        <f>SUM(M25:O25)</f>
        <v>14700</v>
      </c>
    </row>
    <row r="26" spans="1:16" ht="12.75">
      <c r="A26" s="570"/>
      <c r="B26" s="286">
        <v>6</v>
      </c>
      <c r="C26" s="565" t="s">
        <v>261</v>
      </c>
      <c r="D26" s="566"/>
      <c r="E26" s="287">
        <v>85420</v>
      </c>
      <c r="F26" s="288">
        <v>7550</v>
      </c>
      <c r="G26" s="289"/>
      <c r="H26" s="245">
        <f>SUM(E26:G26)</f>
        <v>92970</v>
      </c>
      <c r="I26" s="287">
        <v>86434</v>
      </c>
      <c r="J26" s="288">
        <v>0</v>
      </c>
      <c r="K26" s="289"/>
      <c r="L26" s="245">
        <f>SUM(I26:K26)</f>
        <v>86434</v>
      </c>
      <c r="M26" s="287">
        <v>86334</v>
      </c>
      <c r="N26" s="288">
        <v>0</v>
      </c>
      <c r="O26" s="289"/>
      <c r="P26" s="245">
        <f>SUM(M26:O26)</f>
        <v>86334</v>
      </c>
    </row>
    <row r="27" spans="1:16" ht="12.75">
      <c r="A27" s="570"/>
      <c r="B27" s="572">
        <v>7</v>
      </c>
      <c r="C27" s="565" t="s">
        <v>262</v>
      </c>
      <c r="D27" s="566"/>
      <c r="E27" s="287">
        <f>SUM(E28:E30)</f>
        <v>43000</v>
      </c>
      <c r="F27" s="289">
        <f>SUM(F28:F30)</f>
        <v>0</v>
      </c>
      <c r="G27" s="289">
        <f>SUM(G28:G30)</f>
        <v>0</v>
      </c>
      <c r="H27" s="291">
        <f>SUM(H28:H30)</f>
        <v>43000</v>
      </c>
      <c r="I27" s="287">
        <f aca="true" t="shared" si="10" ref="I27:P27">SUM(I28:I30)</f>
        <v>43000</v>
      </c>
      <c r="J27" s="289">
        <f t="shared" si="10"/>
        <v>0</v>
      </c>
      <c r="K27" s="289">
        <f t="shared" si="10"/>
        <v>0</v>
      </c>
      <c r="L27" s="291">
        <f t="shared" si="10"/>
        <v>43000</v>
      </c>
      <c r="M27" s="287">
        <f t="shared" si="10"/>
        <v>43000</v>
      </c>
      <c r="N27" s="289">
        <f t="shared" si="10"/>
        <v>0</v>
      </c>
      <c r="O27" s="289">
        <f t="shared" si="10"/>
        <v>0</v>
      </c>
      <c r="P27" s="291">
        <f t="shared" si="10"/>
        <v>43000</v>
      </c>
    </row>
    <row r="28" spans="1:16" ht="12.75">
      <c r="A28" s="570"/>
      <c r="B28" s="573"/>
      <c r="C28" s="233">
        <v>1</v>
      </c>
      <c r="D28" s="234" t="s">
        <v>85</v>
      </c>
      <c r="E28" s="235">
        <v>14000</v>
      </c>
      <c r="F28" s="236"/>
      <c r="G28" s="237"/>
      <c r="H28" s="272">
        <f>SUM(E28:G28)</f>
        <v>14000</v>
      </c>
      <c r="I28" s="235">
        <v>14000</v>
      </c>
      <c r="J28" s="236"/>
      <c r="K28" s="237"/>
      <c r="L28" s="272">
        <f>SUM(I28:K28)</f>
        <v>14000</v>
      </c>
      <c r="M28" s="235">
        <v>14000</v>
      </c>
      <c r="N28" s="236"/>
      <c r="O28" s="237"/>
      <c r="P28" s="272">
        <f>SUM(M28:O28)</f>
        <v>14000</v>
      </c>
    </row>
    <row r="29" spans="1:16" ht="12.75">
      <c r="A29" s="570"/>
      <c r="B29" s="573"/>
      <c r="C29" s="233">
        <v>2</v>
      </c>
      <c r="D29" s="234" t="s">
        <v>263</v>
      </c>
      <c r="E29" s="235">
        <v>18000</v>
      </c>
      <c r="F29" s="236"/>
      <c r="G29" s="237"/>
      <c r="H29" s="272">
        <f>SUM(E29:G29)</f>
        <v>18000</v>
      </c>
      <c r="I29" s="235">
        <v>18000</v>
      </c>
      <c r="J29" s="236"/>
      <c r="K29" s="237"/>
      <c r="L29" s="272">
        <f>SUM(I29:K29)</f>
        <v>18000</v>
      </c>
      <c r="M29" s="235">
        <v>18000</v>
      </c>
      <c r="N29" s="236"/>
      <c r="O29" s="237"/>
      <c r="P29" s="272">
        <f>SUM(M29:O29)</f>
        <v>18000</v>
      </c>
    </row>
    <row r="30" spans="1:16" ht="12.75">
      <c r="A30" s="570"/>
      <c r="B30" s="574"/>
      <c r="C30" s="233">
        <v>3</v>
      </c>
      <c r="D30" s="234" t="s">
        <v>264</v>
      </c>
      <c r="E30" s="235">
        <v>11000</v>
      </c>
      <c r="F30" s="236"/>
      <c r="G30" s="237"/>
      <c r="H30" s="272">
        <f>SUM(E30:G30)</f>
        <v>11000</v>
      </c>
      <c r="I30" s="235">
        <v>11000</v>
      </c>
      <c r="J30" s="236"/>
      <c r="K30" s="237"/>
      <c r="L30" s="272">
        <f>SUM(I30:K30)</f>
        <v>11000</v>
      </c>
      <c r="M30" s="235">
        <v>11000</v>
      </c>
      <c r="N30" s="236"/>
      <c r="O30" s="237"/>
      <c r="P30" s="272">
        <f>SUM(M30:O30)</f>
        <v>11000</v>
      </c>
    </row>
    <row r="31" spans="1:16" ht="12.75">
      <c r="A31" s="570"/>
      <c r="B31" s="572">
        <v>8</v>
      </c>
      <c r="C31" s="565" t="s">
        <v>266</v>
      </c>
      <c r="D31" s="566"/>
      <c r="E31" s="287">
        <f>SUM(E32:E32)</f>
        <v>3000</v>
      </c>
      <c r="F31" s="289">
        <f>SUM(F32:F32)</f>
        <v>0</v>
      </c>
      <c r="G31" s="289">
        <f>SUM(G32:G32)</f>
        <v>0</v>
      </c>
      <c r="H31" s="291">
        <f>SUM(H32:H32)</f>
        <v>3000</v>
      </c>
      <c r="I31" s="287">
        <f aca="true" t="shared" si="11" ref="I31:P31">SUM(I32:I32)</f>
        <v>12000</v>
      </c>
      <c r="J31" s="289">
        <f t="shared" si="11"/>
        <v>0</v>
      </c>
      <c r="K31" s="289">
        <f t="shared" si="11"/>
        <v>0</v>
      </c>
      <c r="L31" s="291">
        <f t="shared" si="11"/>
        <v>12000</v>
      </c>
      <c r="M31" s="287">
        <f t="shared" si="11"/>
        <v>0</v>
      </c>
      <c r="N31" s="289">
        <f t="shared" si="11"/>
        <v>0</v>
      </c>
      <c r="O31" s="289">
        <f t="shared" si="11"/>
        <v>0</v>
      </c>
      <c r="P31" s="291">
        <f t="shared" si="11"/>
        <v>0</v>
      </c>
    </row>
    <row r="32" spans="1:16" ht="13.5" thickBot="1">
      <c r="A32" s="570"/>
      <c r="B32" s="573"/>
      <c r="C32" s="233">
        <v>1</v>
      </c>
      <c r="D32" s="234" t="s">
        <v>74</v>
      </c>
      <c r="E32" s="235">
        <v>3000</v>
      </c>
      <c r="F32" s="236"/>
      <c r="G32" s="237"/>
      <c r="H32" s="272">
        <f>SUM(E32:G32)</f>
        <v>3000</v>
      </c>
      <c r="I32" s="235">
        <v>12000</v>
      </c>
      <c r="J32" s="236"/>
      <c r="K32" s="237"/>
      <c r="L32" s="272">
        <f>SUM(I32:K32)</f>
        <v>12000</v>
      </c>
      <c r="M32" s="235">
        <v>0</v>
      </c>
      <c r="N32" s="236"/>
      <c r="O32" s="237"/>
      <c r="P32" s="272">
        <f>SUM(M32:O32)</f>
        <v>0</v>
      </c>
    </row>
    <row r="33" spans="1:16" ht="14.25">
      <c r="A33" s="567" t="s">
        <v>267</v>
      </c>
      <c r="B33" s="568"/>
      <c r="C33" s="568"/>
      <c r="D33" s="568"/>
      <c r="E33" s="219">
        <f>SUM(E34:E35)</f>
        <v>4160</v>
      </c>
      <c r="F33" s="220">
        <f>SUM(F34:F35)</f>
        <v>0</v>
      </c>
      <c r="G33" s="221">
        <f>SUM(G34:G35)</f>
        <v>0</v>
      </c>
      <c r="H33" s="222">
        <f>SUM(H34:H35)</f>
        <v>4160</v>
      </c>
      <c r="I33" s="219">
        <f aca="true" t="shared" si="12" ref="I33:P33">SUM(I34:I35)</f>
        <v>6060</v>
      </c>
      <c r="J33" s="220">
        <f t="shared" si="12"/>
        <v>0</v>
      </c>
      <c r="K33" s="221">
        <f t="shared" si="12"/>
        <v>0</v>
      </c>
      <c r="L33" s="222">
        <f t="shared" si="12"/>
        <v>6060</v>
      </c>
      <c r="M33" s="219">
        <f t="shared" si="12"/>
        <v>4160</v>
      </c>
      <c r="N33" s="220">
        <f t="shared" si="12"/>
        <v>0</v>
      </c>
      <c r="O33" s="221">
        <f t="shared" si="12"/>
        <v>0</v>
      </c>
      <c r="P33" s="222">
        <f t="shared" si="12"/>
        <v>4160</v>
      </c>
    </row>
    <row r="34" spans="1:16" ht="12.75">
      <c r="A34" s="570">
        <v>3</v>
      </c>
      <c r="B34" s="293">
        <v>1</v>
      </c>
      <c r="C34" s="588" t="s">
        <v>268</v>
      </c>
      <c r="D34" s="589"/>
      <c r="E34" s="251">
        <v>4000</v>
      </c>
      <c r="F34" s="252"/>
      <c r="G34" s="256"/>
      <c r="H34" s="294">
        <f>SUM(E34:G34)</f>
        <v>4000</v>
      </c>
      <c r="I34" s="251">
        <v>5900</v>
      </c>
      <c r="J34" s="252"/>
      <c r="K34" s="256"/>
      <c r="L34" s="294">
        <f>SUM(I34:K34)</f>
        <v>5900</v>
      </c>
      <c r="M34" s="251">
        <v>4000</v>
      </c>
      <c r="N34" s="252"/>
      <c r="O34" s="256"/>
      <c r="P34" s="294">
        <f>SUM(M34:O34)</f>
        <v>4000</v>
      </c>
    </row>
    <row r="35" spans="1:16" ht="13.5" thickBot="1">
      <c r="A35" s="570"/>
      <c r="B35" s="241">
        <v>2</v>
      </c>
      <c r="C35" s="565" t="s">
        <v>75</v>
      </c>
      <c r="D35" s="566"/>
      <c r="E35" s="287">
        <v>160</v>
      </c>
      <c r="F35" s="288"/>
      <c r="G35" s="289"/>
      <c r="H35" s="296">
        <f>SUM(E35:G35)</f>
        <v>160</v>
      </c>
      <c r="I35" s="287">
        <v>160</v>
      </c>
      <c r="J35" s="288"/>
      <c r="K35" s="289"/>
      <c r="L35" s="296">
        <f>SUM(I35:K35)</f>
        <v>160</v>
      </c>
      <c r="M35" s="287">
        <v>160</v>
      </c>
      <c r="N35" s="288"/>
      <c r="O35" s="289"/>
      <c r="P35" s="296">
        <f>SUM(M35:O35)</f>
        <v>160</v>
      </c>
    </row>
    <row r="36" spans="1:16" ht="14.25">
      <c r="A36" s="567" t="s">
        <v>269</v>
      </c>
      <c r="B36" s="568"/>
      <c r="C36" s="568"/>
      <c r="D36" s="568"/>
      <c r="E36" s="219">
        <f>SUM(E37:E37)</f>
        <v>15000</v>
      </c>
      <c r="F36" s="220">
        <f>SUM(F37:F37)</f>
        <v>0</v>
      </c>
      <c r="G36" s="221">
        <f>SUM(G37:G37)</f>
        <v>0</v>
      </c>
      <c r="H36" s="222">
        <f>SUM(H37:H37)</f>
        <v>15000</v>
      </c>
      <c r="I36" s="219">
        <f aca="true" t="shared" si="13" ref="I36:P36">SUM(I37:I37)</f>
        <v>21000</v>
      </c>
      <c r="J36" s="220">
        <f t="shared" si="13"/>
        <v>0</v>
      </c>
      <c r="K36" s="221">
        <f t="shared" si="13"/>
        <v>0</v>
      </c>
      <c r="L36" s="222">
        <f t="shared" si="13"/>
        <v>21000</v>
      </c>
      <c r="M36" s="219">
        <f t="shared" si="13"/>
        <v>22000</v>
      </c>
      <c r="N36" s="220">
        <f t="shared" si="13"/>
        <v>0</v>
      </c>
      <c r="O36" s="221">
        <f t="shared" si="13"/>
        <v>0</v>
      </c>
      <c r="P36" s="222">
        <f t="shared" si="13"/>
        <v>22000</v>
      </c>
    </row>
    <row r="37" spans="1:16" ht="13.5" thickBot="1">
      <c r="A37" s="232">
        <v>4</v>
      </c>
      <c r="B37" s="293">
        <v>1</v>
      </c>
      <c r="C37" s="588" t="s">
        <v>270</v>
      </c>
      <c r="D37" s="589"/>
      <c r="E37" s="251">
        <v>15000</v>
      </c>
      <c r="F37" s="252"/>
      <c r="G37" s="256"/>
      <c r="H37" s="294">
        <f>SUM(E37:G37)</f>
        <v>15000</v>
      </c>
      <c r="I37" s="251">
        <v>21000</v>
      </c>
      <c r="J37" s="252"/>
      <c r="K37" s="256"/>
      <c r="L37" s="294">
        <f>SUM(I37:K37)</f>
        <v>21000</v>
      </c>
      <c r="M37" s="251">
        <v>22000</v>
      </c>
      <c r="N37" s="252"/>
      <c r="O37" s="256"/>
      <c r="P37" s="294">
        <f>SUM(M37:O37)</f>
        <v>22000</v>
      </c>
    </row>
    <row r="38" spans="1:16" ht="14.25">
      <c r="A38" s="567" t="s">
        <v>271</v>
      </c>
      <c r="B38" s="568"/>
      <c r="C38" s="568"/>
      <c r="D38" s="568"/>
      <c r="E38" s="219">
        <f>SUM(E39:E41)</f>
        <v>88700</v>
      </c>
      <c r="F38" s="220">
        <f>SUM(F39:F41)</f>
        <v>30000</v>
      </c>
      <c r="G38" s="221">
        <f>SUM(G39:G41)</f>
        <v>0</v>
      </c>
      <c r="H38" s="222">
        <f>SUM(H39:H41)</f>
        <v>118700</v>
      </c>
      <c r="I38" s="219">
        <f aca="true" t="shared" si="14" ref="I38:P38">SUM(I39:I41)</f>
        <v>88700</v>
      </c>
      <c r="J38" s="220">
        <f t="shared" si="14"/>
        <v>0</v>
      </c>
      <c r="K38" s="221">
        <f t="shared" si="14"/>
        <v>0</v>
      </c>
      <c r="L38" s="222">
        <f t="shared" si="14"/>
        <v>88700</v>
      </c>
      <c r="M38" s="219">
        <f t="shared" si="14"/>
        <v>88700</v>
      </c>
      <c r="N38" s="220">
        <f t="shared" si="14"/>
        <v>0</v>
      </c>
      <c r="O38" s="221">
        <f t="shared" si="14"/>
        <v>0</v>
      </c>
      <c r="P38" s="222">
        <f t="shared" si="14"/>
        <v>88700</v>
      </c>
    </row>
    <row r="39" spans="1:16" ht="12.75">
      <c r="A39" s="569">
        <v>5</v>
      </c>
      <c r="B39" s="241">
        <v>1</v>
      </c>
      <c r="C39" s="565" t="s">
        <v>272</v>
      </c>
      <c r="D39" s="566"/>
      <c r="E39" s="242">
        <v>23700</v>
      </c>
      <c r="F39" s="243"/>
      <c r="G39" s="244"/>
      <c r="H39" s="245">
        <f aca="true" t="shared" si="15" ref="H39:H46">SUM(E39:G39)</f>
        <v>23700</v>
      </c>
      <c r="I39" s="242">
        <v>23700</v>
      </c>
      <c r="J39" s="243"/>
      <c r="K39" s="244"/>
      <c r="L39" s="245">
        <f aca="true" t="shared" si="16" ref="L39:L46">SUM(I39:K39)</f>
        <v>23700</v>
      </c>
      <c r="M39" s="242">
        <v>23700</v>
      </c>
      <c r="N39" s="243"/>
      <c r="O39" s="244"/>
      <c r="P39" s="245">
        <f aca="true" t="shared" si="17" ref="P39:P46">SUM(M39:O39)</f>
        <v>23700</v>
      </c>
    </row>
    <row r="40" spans="1:16" ht="12.75">
      <c r="A40" s="570"/>
      <c r="B40" s="298">
        <v>2</v>
      </c>
      <c r="C40" s="565" t="s">
        <v>273</v>
      </c>
      <c r="D40" s="566"/>
      <c r="E40" s="299">
        <v>64900</v>
      </c>
      <c r="F40" s="300">
        <v>30000</v>
      </c>
      <c r="G40" s="301"/>
      <c r="H40" s="245">
        <f t="shared" si="15"/>
        <v>94900</v>
      </c>
      <c r="I40" s="299">
        <v>64900</v>
      </c>
      <c r="J40" s="300"/>
      <c r="K40" s="301"/>
      <c r="L40" s="245">
        <f t="shared" si="16"/>
        <v>64900</v>
      </c>
      <c r="M40" s="299">
        <v>64900</v>
      </c>
      <c r="N40" s="300"/>
      <c r="O40" s="301"/>
      <c r="P40" s="245">
        <f t="shared" si="17"/>
        <v>64900</v>
      </c>
    </row>
    <row r="41" spans="1:16" ht="13.5" thickBot="1">
      <c r="A41" s="571"/>
      <c r="B41" s="303">
        <v>3</v>
      </c>
      <c r="C41" s="578" t="s">
        <v>274</v>
      </c>
      <c r="D41" s="579"/>
      <c r="E41" s="304">
        <v>100</v>
      </c>
      <c r="F41" s="263">
        <v>0</v>
      </c>
      <c r="G41" s="305"/>
      <c r="H41" s="261">
        <f t="shared" si="15"/>
        <v>100</v>
      </c>
      <c r="I41" s="304">
        <v>100</v>
      </c>
      <c r="J41" s="263"/>
      <c r="K41" s="305"/>
      <c r="L41" s="261">
        <f t="shared" si="16"/>
        <v>100</v>
      </c>
      <c r="M41" s="304">
        <v>100</v>
      </c>
      <c r="N41" s="263"/>
      <c r="O41" s="305"/>
      <c r="P41" s="261">
        <f t="shared" si="17"/>
        <v>100</v>
      </c>
    </row>
    <row r="42" spans="1:16" ht="14.25">
      <c r="A42" s="586" t="s">
        <v>125</v>
      </c>
      <c r="B42" s="587"/>
      <c r="C42" s="587"/>
      <c r="D42" s="587"/>
      <c r="E42" s="307">
        <f>SUM(E43:E46)</f>
        <v>258520</v>
      </c>
      <c r="F42" s="308">
        <f>SUM(F43:F46)</f>
        <v>0</v>
      </c>
      <c r="G42" s="309">
        <f>SUM(G43:G46)</f>
        <v>0</v>
      </c>
      <c r="H42" s="310">
        <f t="shared" si="15"/>
        <v>258520</v>
      </c>
      <c r="I42" s="307">
        <f>SUM(I43:I46)</f>
        <v>258220</v>
      </c>
      <c r="J42" s="308">
        <f>SUM(J43:J46)</f>
        <v>0</v>
      </c>
      <c r="K42" s="309">
        <f>SUM(K43:K46)</f>
        <v>0</v>
      </c>
      <c r="L42" s="310">
        <f t="shared" si="16"/>
        <v>258220</v>
      </c>
      <c r="M42" s="307">
        <f>SUM(M43:M46)</f>
        <v>258220</v>
      </c>
      <c r="N42" s="308">
        <f>SUM(N43:N46)</f>
        <v>0</v>
      </c>
      <c r="O42" s="309">
        <f>SUM(O43:O46)</f>
        <v>0</v>
      </c>
      <c r="P42" s="310">
        <f t="shared" si="17"/>
        <v>258220</v>
      </c>
    </row>
    <row r="43" spans="1:16" ht="12.75">
      <c r="A43" s="569">
        <v>6</v>
      </c>
      <c r="B43" s="241">
        <v>1</v>
      </c>
      <c r="C43" s="565" t="s">
        <v>275</v>
      </c>
      <c r="D43" s="566"/>
      <c r="E43" s="242">
        <v>0</v>
      </c>
      <c r="F43" s="243"/>
      <c r="G43" s="244"/>
      <c r="H43" s="245">
        <f t="shared" si="15"/>
        <v>0</v>
      </c>
      <c r="I43" s="242">
        <v>0</v>
      </c>
      <c r="J43" s="243"/>
      <c r="K43" s="244"/>
      <c r="L43" s="245">
        <f t="shared" si="16"/>
        <v>0</v>
      </c>
      <c r="M43" s="242">
        <v>0</v>
      </c>
      <c r="N43" s="243"/>
      <c r="O43" s="244"/>
      <c r="P43" s="245">
        <f t="shared" si="17"/>
        <v>0</v>
      </c>
    </row>
    <row r="44" spans="1:16" ht="12.75">
      <c r="A44" s="570"/>
      <c r="B44" s="241">
        <v>2</v>
      </c>
      <c r="C44" s="565" t="s">
        <v>276</v>
      </c>
      <c r="D44" s="566"/>
      <c r="E44" s="242">
        <v>90000</v>
      </c>
      <c r="F44" s="243"/>
      <c r="G44" s="244"/>
      <c r="H44" s="245">
        <f t="shared" si="15"/>
        <v>90000</v>
      </c>
      <c r="I44" s="242">
        <v>90000</v>
      </c>
      <c r="J44" s="243"/>
      <c r="K44" s="244"/>
      <c r="L44" s="245">
        <f t="shared" si="16"/>
        <v>90000</v>
      </c>
      <c r="M44" s="242">
        <v>90000</v>
      </c>
      <c r="N44" s="243"/>
      <c r="O44" s="244"/>
      <c r="P44" s="245">
        <f t="shared" si="17"/>
        <v>90000</v>
      </c>
    </row>
    <row r="45" spans="1:16" ht="12.75">
      <c r="A45" s="570"/>
      <c r="B45" s="241">
        <v>3</v>
      </c>
      <c r="C45" s="565" t="s">
        <v>277</v>
      </c>
      <c r="D45" s="566"/>
      <c r="E45" s="242">
        <v>121340</v>
      </c>
      <c r="F45" s="243"/>
      <c r="G45" s="244"/>
      <c r="H45" s="245">
        <f t="shared" si="15"/>
        <v>121340</v>
      </c>
      <c r="I45" s="242">
        <v>121040</v>
      </c>
      <c r="J45" s="243"/>
      <c r="K45" s="244"/>
      <c r="L45" s="245">
        <f t="shared" si="16"/>
        <v>121040</v>
      </c>
      <c r="M45" s="242">
        <v>121040</v>
      </c>
      <c r="N45" s="243"/>
      <c r="O45" s="244"/>
      <c r="P45" s="245">
        <f t="shared" si="17"/>
        <v>121040</v>
      </c>
    </row>
    <row r="46" spans="1:16" ht="13.5" thickBot="1">
      <c r="A46" s="571"/>
      <c r="B46" s="241">
        <v>4</v>
      </c>
      <c r="C46" s="565" t="s">
        <v>278</v>
      </c>
      <c r="D46" s="566"/>
      <c r="E46" s="242">
        <v>47180</v>
      </c>
      <c r="F46" s="243">
        <v>0</v>
      </c>
      <c r="G46" s="244"/>
      <c r="H46" s="245">
        <f t="shared" si="15"/>
        <v>47180</v>
      </c>
      <c r="I46" s="242">
        <v>47180</v>
      </c>
      <c r="J46" s="243"/>
      <c r="K46" s="244"/>
      <c r="L46" s="245">
        <f t="shared" si="16"/>
        <v>47180</v>
      </c>
      <c r="M46" s="242">
        <v>47180</v>
      </c>
      <c r="N46" s="243"/>
      <c r="O46" s="244"/>
      <c r="P46" s="245">
        <f t="shared" si="17"/>
        <v>47180</v>
      </c>
    </row>
    <row r="47" spans="1:16" ht="14.25">
      <c r="A47" s="567" t="s">
        <v>279</v>
      </c>
      <c r="B47" s="568"/>
      <c r="C47" s="568"/>
      <c r="D47" s="568"/>
      <c r="E47" s="219">
        <f>SUM(E48:E49)</f>
        <v>11300</v>
      </c>
      <c r="F47" s="220">
        <f>SUM(F48:F49)</f>
        <v>0</v>
      </c>
      <c r="G47" s="221">
        <f>SUM(G48:G49)</f>
        <v>0</v>
      </c>
      <c r="H47" s="222">
        <f>SUM(H48:H49)</f>
        <v>11300</v>
      </c>
      <c r="I47" s="219">
        <f aca="true" t="shared" si="18" ref="I47:P47">SUM(I48:I49)</f>
        <v>10800</v>
      </c>
      <c r="J47" s="220">
        <f t="shared" si="18"/>
        <v>0</v>
      </c>
      <c r="K47" s="221">
        <f t="shared" si="18"/>
        <v>0</v>
      </c>
      <c r="L47" s="222">
        <f t="shared" si="18"/>
        <v>10800</v>
      </c>
      <c r="M47" s="219">
        <f t="shared" si="18"/>
        <v>10800</v>
      </c>
      <c r="N47" s="220">
        <f t="shared" si="18"/>
        <v>0</v>
      </c>
      <c r="O47" s="221">
        <f t="shared" si="18"/>
        <v>0</v>
      </c>
      <c r="P47" s="222">
        <f t="shared" si="18"/>
        <v>10800</v>
      </c>
    </row>
    <row r="48" spans="1:16" ht="12.75">
      <c r="A48" s="570">
        <v>7</v>
      </c>
      <c r="B48" s="293">
        <v>1</v>
      </c>
      <c r="C48" s="588" t="s">
        <v>280</v>
      </c>
      <c r="D48" s="589"/>
      <c r="E48" s="251">
        <v>7500</v>
      </c>
      <c r="F48" s="252"/>
      <c r="G48" s="256"/>
      <c r="H48" s="294">
        <f>SUM(E48:G48)</f>
        <v>7500</v>
      </c>
      <c r="I48" s="251">
        <v>7000</v>
      </c>
      <c r="J48" s="252"/>
      <c r="K48" s="256"/>
      <c r="L48" s="294">
        <f>SUM(I48:K48)</f>
        <v>7000</v>
      </c>
      <c r="M48" s="251">
        <v>7000</v>
      </c>
      <c r="N48" s="252"/>
      <c r="O48" s="256"/>
      <c r="P48" s="294">
        <f>SUM(M48:O48)</f>
        <v>7000</v>
      </c>
    </row>
    <row r="49" spans="1:16" ht="13.5" thickBot="1">
      <c r="A49" s="570"/>
      <c r="B49" s="241">
        <v>2</v>
      </c>
      <c r="C49" s="565" t="s">
        <v>281</v>
      </c>
      <c r="D49" s="566"/>
      <c r="E49" s="287">
        <v>3800</v>
      </c>
      <c r="F49" s="288"/>
      <c r="G49" s="289"/>
      <c r="H49" s="314">
        <f>SUM(E49:G49)</f>
        <v>3800</v>
      </c>
      <c r="I49" s="287">
        <v>3800</v>
      </c>
      <c r="J49" s="288"/>
      <c r="K49" s="289"/>
      <c r="L49" s="314">
        <f>SUM(I49:K49)</f>
        <v>3800</v>
      </c>
      <c r="M49" s="287">
        <v>3800</v>
      </c>
      <c r="N49" s="288"/>
      <c r="O49" s="289"/>
      <c r="P49" s="314">
        <f>SUM(M49:O49)</f>
        <v>3800</v>
      </c>
    </row>
    <row r="50" spans="1:16" ht="14.25">
      <c r="A50" s="567" t="s">
        <v>282</v>
      </c>
      <c r="B50" s="568"/>
      <c r="C50" s="568"/>
      <c r="D50" s="568"/>
      <c r="E50" s="219">
        <f>E51+E58+E59+E60</f>
        <v>42800</v>
      </c>
      <c r="F50" s="220">
        <f>SUM(F51:F60)</f>
        <v>0</v>
      </c>
      <c r="G50" s="221">
        <f>SUM(G51:G60)</f>
        <v>0</v>
      </c>
      <c r="H50" s="310">
        <f>SUM(E50:G50)</f>
        <v>42800</v>
      </c>
      <c r="I50" s="219">
        <f>I51+I58+I59+I60</f>
        <v>42600</v>
      </c>
      <c r="J50" s="220">
        <f>SUM(J51:J60)</f>
        <v>0</v>
      </c>
      <c r="K50" s="221">
        <f>SUM(K51:K60)</f>
        <v>0</v>
      </c>
      <c r="L50" s="310">
        <f>SUM(I50:K50)</f>
        <v>42600</v>
      </c>
      <c r="M50" s="219">
        <f>M51+M58+M59+M60</f>
        <v>43600</v>
      </c>
      <c r="N50" s="220">
        <f>SUM(N51:N60)</f>
        <v>0</v>
      </c>
      <c r="O50" s="221">
        <f>SUM(O51:O60)</f>
        <v>0</v>
      </c>
      <c r="P50" s="310">
        <f>SUM(M50:O50)</f>
        <v>43600</v>
      </c>
    </row>
    <row r="51" spans="1:16" ht="12.75">
      <c r="A51" s="569">
        <v>8</v>
      </c>
      <c r="B51" s="572">
        <v>1</v>
      </c>
      <c r="C51" s="565" t="s">
        <v>283</v>
      </c>
      <c r="D51" s="566"/>
      <c r="E51" s="242">
        <f>SUM(E52:E57)</f>
        <v>39300</v>
      </c>
      <c r="F51" s="244">
        <f>SUM(F52:F57)</f>
        <v>0</v>
      </c>
      <c r="G51" s="244">
        <f>SUM(G52:G57)</f>
        <v>0</v>
      </c>
      <c r="H51" s="247">
        <f>SUM(H52:H57)</f>
        <v>39300</v>
      </c>
      <c r="I51" s="242">
        <f aca="true" t="shared" si="19" ref="I51:P51">SUM(I52:I57)</f>
        <v>39100</v>
      </c>
      <c r="J51" s="244">
        <f t="shared" si="19"/>
        <v>0</v>
      </c>
      <c r="K51" s="244">
        <f t="shared" si="19"/>
        <v>0</v>
      </c>
      <c r="L51" s="247">
        <f t="shared" si="19"/>
        <v>39100</v>
      </c>
      <c r="M51" s="242">
        <f t="shared" si="19"/>
        <v>39100</v>
      </c>
      <c r="N51" s="244">
        <f t="shared" si="19"/>
        <v>0</v>
      </c>
      <c r="O51" s="244">
        <f t="shared" si="19"/>
        <v>0</v>
      </c>
      <c r="P51" s="247">
        <f t="shared" si="19"/>
        <v>39100</v>
      </c>
    </row>
    <row r="52" spans="1:16" ht="12.75">
      <c r="A52" s="570"/>
      <c r="B52" s="573"/>
      <c r="C52" s="280">
        <v>1</v>
      </c>
      <c r="D52" s="317" t="s">
        <v>284</v>
      </c>
      <c r="E52" s="282">
        <v>15000</v>
      </c>
      <c r="F52" s="283"/>
      <c r="G52" s="284"/>
      <c r="H52" s="272">
        <f aca="true" t="shared" si="20" ref="H52:H60">SUM(E52:G52)</f>
        <v>15000</v>
      </c>
      <c r="I52" s="282">
        <v>15000</v>
      </c>
      <c r="J52" s="283"/>
      <c r="K52" s="284"/>
      <c r="L52" s="272">
        <f aca="true" t="shared" si="21" ref="L52:L60">SUM(I52:K52)</f>
        <v>15000</v>
      </c>
      <c r="M52" s="282">
        <v>15000</v>
      </c>
      <c r="N52" s="283"/>
      <c r="O52" s="284"/>
      <c r="P52" s="272">
        <f aca="true" t="shared" si="22" ref="P52:P60">SUM(M52:O52)</f>
        <v>15000</v>
      </c>
    </row>
    <row r="53" spans="1:16" ht="12.75">
      <c r="A53" s="570"/>
      <c r="B53" s="573"/>
      <c r="C53" s="280">
        <v>2</v>
      </c>
      <c r="D53" s="317" t="s">
        <v>113</v>
      </c>
      <c r="E53" s="282">
        <v>1000</v>
      </c>
      <c r="F53" s="283"/>
      <c r="G53" s="284"/>
      <c r="H53" s="272">
        <f t="shared" si="20"/>
        <v>1000</v>
      </c>
      <c r="I53" s="282">
        <v>1000</v>
      </c>
      <c r="J53" s="283"/>
      <c r="K53" s="284"/>
      <c r="L53" s="272">
        <f t="shared" si="21"/>
        <v>1000</v>
      </c>
      <c r="M53" s="282">
        <v>1000</v>
      </c>
      <c r="N53" s="283"/>
      <c r="O53" s="284"/>
      <c r="P53" s="272">
        <f t="shared" si="22"/>
        <v>1000</v>
      </c>
    </row>
    <row r="54" spans="1:16" ht="12.75">
      <c r="A54" s="570"/>
      <c r="B54" s="573"/>
      <c r="C54" s="280">
        <v>3</v>
      </c>
      <c r="D54" s="317" t="s">
        <v>114</v>
      </c>
      <c r="E54" s="282">
        <v>2500</v>
      </c>
      <c r="F54" s="283"/>
      <c r="G54" s="284"/>
      <c r="H54" s="272">
        <f t="shared" si="20"/>
        <v>2500</v>
      </c>
      <c r="I54" s="282">
        <v>2500</v>
      </c>
      <c r="J54" s="283"/>
      <c r="K54" s="284"/>
      <c r="L54" s="272">
        <f t="shared" si="21"/>
        <v>2500</v>
      </c>
      <c r="M54" s="282">
        <v>2500</v>
      </c>
      <c r="N54" s="283"/>
      <c r="O54" s="284"/>
      <c r="P54" s="272">
        <f t="shared" si="22"/>
        <v>2500</v>
      </c>
    </row>
    <row r="55" spans="1:16" ht="12.75">
      <c r="A55" s="570"/>
      <c r="B55" s="573"/>
      <c r="C55" s="280">
        <v>4</v>
      </c>
      <c r="D55" s="317" t="s">
        <v>285</v>
      </c>
      <c r="E55" s="282">
        <v>20000</v>
      </c>
      <c r="F55" s="283"/>
      <c r="G55" s="284"/>
      <c r="H55" s="272">
        <f t="shared" si="20"/>
        <v>20000</v>
      </c>
      <c r="I55" s="282">
        <v>20000</v>
      </c>
      <c r="J55" s="283"/>
      <c r="K55" s="284"/>
      <c r="L55" s="272">
        <f t="shared" si="21"/>
        <v>20000</v>
      </c>
      <c r="M55" s="282">
        <v>20000</v>
      </c>
      <c r="N55" s="283"/>
      <c r="O55" s="284"/>
      <c r="P55" s="272">
        <f t="shared" si="22"/>
        <v>20000</v>
      </c>
    </row>
    <row r="56" spans="1:16" ht="12.75">
      <c r="A56" s="570"/>
      <c r="B56" s="573"/>
      <c r="C56" s="280">
        <v>5</v>
      </c>
      <c r="D56" s="317" t="s">
        <v>286</v>
      </c>
      <c r="E56" s="282">
        <v>100</v>
      </c>
      <c r="F56" s="283"/>
      <c r="G56" s="284"/>
      <c r="H56" s="272">
        <f t="shared" si="20"/>
        <v>100</v>
      </c>
      <c r="I56" s="282">
        <v>100</v>
      </c>
      <c r="J56" s="283"/>
      <c r="K56" s="284"/>
      <c r="L56" s="272">
        <f t="shared" si="21"/>
        <v>100</v>
      </c>
      <c r="M56" s="282">
        <v>100</v>
      </c>
      <c r="N56" s="283"/>
      <c r="O56" s="284"/>
      <c r="P56" s="272">
        <f t="shared" si="22"/>
        <v>100</v>
      </c>
    </row>
    <row r="57" spans="1:16" ht="12.75">
      <c r="A57" s="570"/>
      <c r="B57" s="573"/>
      <c r="C57" s="280">
        <v>6</v>
      </c>
      <c r="D57" s="317" t="s">
        <v>287</v>
      </c>
      <c r="E57" s="282">
        <v>700</v>
      </c>
      <c r="F57" s="283"/>
      <c r="G57" s="284"/>
      <c r="H57" s="272">
        <f t="shared" si="20"/>
        <v>700</v>
      </c>
      <c r="I57" s="282">
        <v>500</v>
      </c>
      <c r="J57" s="283"/>
      <c r="K57" s="284"/>
      <c r="L57" s="272">
        <f t="shared" si="21"/>
        <v>500</v>
      </c>
      <c r="M57" s="282">
        <v>500</v>
      </c>
      <c r="N57" s="283"/>
      <c r="O57" s="284"/>
      <c r="P57" s="272">
        <f t="shared" si="22"/>
        <v>500</v>
      </c>
    </row>
    <row r="58" spans="1:16" ht="12.75">
      <c r="A58" s="570"/>
      <c r="B58" s="298">
        <v>2</v>
      </c>
      <c r="C58" s="565" t="s">
        <v>108</v>
      </c>
      <c r="D58" s="566"/>
      <c r="E58" s="299">
        <v>1000</v>
      </c>
      <c r="F58" s="300"/>
      <c r="G58" s="301"/>
      <c r="H58" s="245">
        <f t="shared" si="20"/>
        <v>1000</v>
      </c>
      <c r="I58" s="299">
        <v>1000</v>
      </c>
      <c r="J58" s="300"/>
      <c r="K58" s="301"/>
      <c r="L58" s="245">
        <f t="shared" si="21"/>
        <v>1000</v>
      </c>
      <c r="M58" s="299">
        <v>1000</v>
      </c>
      <c r="N58" s="300"/>
      <c r="O58" s="301"/>
      <c r="P58" s="245">
        <f t="shared" si="22"/>
        <v>1000</v>
      </c>
    </row>
    <row r="59" spans="1:16" ht="12.75">
      <c r="A59" s="570"/>
      <c r="B59" s="298">
        <v>3</v>
      </c>
      <c r="C59" s="565" t="s">
        <v>110</v>
      </c>
      <c r="D59" s="566"/>
      <c r="E59" s="299">
        <v>1000</v>
      </c>
      <c r="F59" s="300"/>
      <c r="G59" s="301"/>
      <c r="H59" s="245">
        <f t="shared" si="20"/>
        <v>1000</v>
      </c>
      <c r="I59" s="299">
        <v>1000</v>
      </c>
      <c r="J59" s="300"/>
      <c r="K59" s="301"/>
      <c r="L59" s="245">
        <f t="shared" si="21"/>
        <v>1000</v>
      </c>
      <c r="M59" s="299">
        <v>1000</v>
      </c>
      <c r="N59" s="300"/>
      <c r="O59" s="301"/>
      <c r="P59" s="245">
        <f t="shared" si="22"/>
        <v>1000</v>
      </c>
    </row>
    <row r="60" spans="1:16" ht="13.5" thickBot="1">
      <c r="A60" s="571"/>
      <c r="B60" s="298">
        <v>4</v>
      </c>
      <c r="C60" s="578" t="s">
        <v>288</v>
      </c>
      <c r="D60" s="579"/>
      <c r="E60" s="304">
        <v>1500</v>
      </c>
      <c r="F60" s="263"/>
      <c r="G60" s="305"/>
      <c r="H60" s="261">
        <f t="shared" si="20"/>
        <v>1500</v>
      </c>
      <c r="I60" s="304">
        <v>1500</v>
      </c>
      <c r="J60" s="263"/>
      <c r="K60" s="305"/>
      <c r="L60" s="261">
        <f t="shared" si="21"/>
        <v>1500</v>
      </c>
      <c r="M60" s="304">
        <v>2500</v>
      </c>
      <c r="N60" s="263"/>
      <c r="O60" s="305"/>
      <c r="P60" s="261">
        <f t="shared" si="22"/>
        <v>2500</v>
      </c>
    </row>
    <row r="61" spans="1:16" ht="14.25">
      <c r="A61" s="567" t="s">
        <v>289</v>
      </c>
      <c r="B61" s="568"/>
      <c r="C61" s="568"/>
      <c r="D61" s="568"/>
      <c r="E61" s="307">
        <f>SUM(E62:E65)</f>
        <v>21340</v>
      </c>
      <c r="F61" s="308">
        <f>SUM(F62:F65)</f>
        <v>189870</v>
      </c>
      <c r="G61" s="309">
        <f>SUM(G62:G65)</f>
        <v>0</v>
      </c>
      <c r="H61" s="310">
        <f>SUM(H62:H65)</f>
        <v>211210</v>
      </c>
      <c r="I61" s="307">
        <f aca="true" t="shared" si="23" ref="I61:P61">SUM(I62:I65)</f>
        <v>21340</v>
      </c>
      <c r="J61" s="308">
        <f t="shared" si="23"/>
        <v>0</v>
      </c>
      <c r="K61" s="309">
        <f t="shared" si="23"/>
        <v>0</v>
      </c>
      <c r="L61" s="310">
        <f t="shared" si="23"/>
        <v>21340</v>
      </c>
      <c r="M61" s="307">
        <f t="shared" si="23"/>
        <v>21340</v>
      </c>
      <c r="N61" s="308">
        <f t="shared" si="23"/>
        <v>0</v>
      </c>
      <c r="O61" s="309">
        <f t="shared" si="23"/>
        <v>0</v>
      </c>
      <c r="P61" s="310">
        <f t="shared" si="23"/>
        <v>21340</v>
      </c>
    </row>
    <row r="62" spans="1:16" ht="12.75">
      <c r="A62" s="590">
        <v>9</v>
      </c>
      <c r="B62" s="241">
        <v>1</v>
      </c>
      <c r="C62" s="565" t="s">
        <v>100</v>
      </c>
      <c r="D62" s="566"/>
      <c r="E62" s="242">
        <v>15100</v>
      </c>
      <c r="F62" s="243">
        <v>189870</v>
      </c>
      <c r="G62" s="244"/>
      <c r="H62" s="245">
        <f>SUM(E62:G62)</f>
        <v>204970</v>
      </c>
      <c r="I62" s="242">
        <v>15100</v>
      </c>
      <c r="J62" s="243"/>
      <c r="K62" s="244"/>
      <c r="L62" s="245">
        <f>SUM(I62:K62)</f>
        <v>15100</v>
      </c>
      <c r="M62" s="242">
        <v>15100</v>
      </c>
      <c r="N62" s="243"/>
      <c r="O62" s="244"/>
      <c r="P62" s="245">
        <f>SUM(M62:O62)</f>
        <v>15100</v>
      </c>
    </row>
    <row r="63" spans="1:16" ht="12.75">
      <c r="A63" s="591"/>
      <c r="B63" s="298">
        <v>2</v>
      </c>
      <c r="C63" s="565" t="s">
        <v>290</v>
      </c>
      <c r="D63" s="566"/>
      <c r="E63" s="299">
        <v>5840</v>
      </c>
      <c r="F63" s="300"/>
      <c r="G63" s="301"/>
      <c r="H63" s="245">
        <f>SUM(E63:G63)</f>
        <v>5840</v>
      </c>
      <c r="I63" s="299">
        <v>5840</v>
      </c>
      <c r="J63" s="300"/>
      <c r="K63" s="301"/>
      <c r="L63" s="245">
        <f>SUM(I63:K63)</f>
        <v>5840</v>
      </c>
      <c r="M63" s="299">
        <v>5840</v>
      </c>
      <c r="N63" s="300"/>
      <c r="O63" s="301"/>
      <c r="P63" s="245">
        <f>SUM(M63:O63)</f>
        <v>5840</v>
      </c>
    </row>
    <row r="64" spans="1:16" ht="12.75">
      <c r="A64" s="591"/>
      <c r="B64" s="298">
        <v>3</v>
      </c>
      <c r="C64" s="565" t="s">
        <v>291</v>
      </c>
      <c r="D64" s="566"/>
      <c r="E64" s="299">
        <v>0</v>
      </c>
      <c r="F64" s="300">
        <v>0</v>
      </c>
      <c r="G64" s="301">
        <v>0</v>
      </c>
      <c r="H64" s="245">
        <f>SUM(E64:G64)</f>
        <v>0</v>
      </c>
      <c r="I64" s="299">
        <v>0</v>
      </c>
      <c r="J64" s="300">
        <v>0</v>
      </c>
      <c r="K64" s="301">
        <v>0</v>
      </c>
      <c r="L64" s="245">
        <f>SUM(I64:K64)</f>
        <v>0</v>
      </c>
      <c r="M64" s="299">
        <v>0</v>
      </c>
      <c r="N64" s="300">
        <v>0</v>
      </c>
      <c r="O64" s="301">
        <v>0</v>
      </c>
      <c r="P64" s="245">
        <f>SUM(M64:O64)</f>
        <v>0</v>
      </c>
    </row>
    <row r="65" spans="1:16" ht="13.5" thickBot="1">
      <c r="A65" s="611"/>
      <c r="B65" s="303">
        <v>4</v>
      </c>
      <c r="C65" s="578" t="s">
        <v>292</v>
      </c>
      <c r="D65" s="579"/>
      <c r="E65" s="304">
        <v>400</v>
      </c>
      <c r="F65" s="263">
        <v>0</v>
      </c>
      <c r="G65" s="305"/>
      <c r="H65" s="245">
        <f>SUM(E65:G65)</f>
        <v>400</v>
      </c>
      <c r="I65" s="304">
        <v>400</v>
      </c>
      <c r="J65" s="263"/>
      <c r="K65" s="305"/>
      <c r="L65" s="245">
        <f>SUM(I65:K65)</f>
        <v>400</v>
      </c>
      <c r="M65" s="304">
        <v>400</v>
      </c>
      <c r="N65" s="263"/>
      <c r="O65" s="305"/>
      <c r="P65" s="245">
        <f>SUM(M65:O65)</f>
        <v>400</v>
      </c>
    </row>
    <row r="66" spans="1:16" ht="14.25">
      <c r="A66" s="567" t="s">
        <v>293</v>
      </c>
      <c r="B66" s="568"/>
      <c r="C66" s="568"/>
      <c r="D66" s="568"/>
      <c r="E66" s="219">
        <f>SUM(E67:E68)</f>
        <v>1390</v>
      </c>
      <c r="F66" s="220">
        <f>SUM(F67:F68)</f>
        <v>0</v>
      </c>
      <c r="G66" s="221">
        <f>SUM(G67:G68)</f>
        <v>0</v>
      </c>
      <c r="H66" s="222">
        <f>SUM(H67:H68)</f>
        <v>1390</v>
      </c>
      <c r="I66" s="219">
        <f aca="true" t="shared" si="24" ref="I66:P66">SUM(I67:I68)</f>
        <v>1390</v>
      </c>
      <c r="J66" s="220">
        <f t="shared" si="24"/>
        <v>0</v>
      </c>
      <c r="K66" s="221">
        <f t="shared" si="24"/>
        <v>0</v>
      </c>
      <c r="L66" s="222">
        <f t="shared" si="24"/>
        <v>1390</v>
      </c>
      <c r="M66" s="219">
        <f t="shared" si="24"/>
        <v>1390</v>
      </c>
      <c r="N66" s="220">
        <f t="shared" si="24"/>
        <v>0</v>
      </c>
      <c r="O66" s="221">
        <f t="shared" si="24"/>
        <v>0</v>
      </c>
      <c r="P66" s="222">
        <f t="shared" si="24"/>
        <v>1390</v>
      </c>
    </row>
    <row r="67" spans="1:16" ht="12.75">
      <c r="A67" s="594">
        <v>10</v>
      </c>
      <c r="B67" s="286">
        <v>1</v>
      </c>
      <c r="C67" s="566" t="s">
        <v>294</v>
      </c>
      <c r="D67" s="566"/>
      <c r="E67" s="242">
        <v>1390</v>
      </c>
      <c r="F67" s="243"/>
      <c r="G67" s="244"/>
      <c r="H67" s="245">
        <f>SUM(E67:G67)</f>
        <v>1390</v>
      </c>
      <c r="I67" s="242">
        <v>1390</v>
      </c>
      <c r="J67" s="243"/>
      <c r="K67" s="244"/>
      <c r="L67" s="245">
        <f>SUM(I67:K67)</f>
        <v>1390</v>
      </c>
      <c r="M67" s="242">
        <v>1390</v>
      </c>
      <c r="N67" s="243"/>
      <c r="O67" s="244"/>
      <c r="P67" s="245">
        <f>SUM(M67:O67)</f>
        <v>1390</v>
      </c>
    </row>
    <row r="68" spans="1:16" ht="13.5" thickBot="1">
      <c r="A68" s="595"/>
      <c r="B68" s="321">
        <v>2</v>
      </c>
      <c r="C68" s="579" t="s">
        <v>295</v>
      </c>
      <c r="D68" s="579"/>
      <c r="E68" s="258">
        <v>0</v>
      </c>
      <c r="F68" s="322">
        <v>0</v>
      </c>
      <c r="G68" s="323"/>
      <c r="H68" s="261">
        <f>SUM(E68:G68)</f>
        <v>0</v>
      </c>
      <c r="I68" s="258">
        <v>0</v>
      </c>
      <c r="J68" s="322">
        <v>0</v>
      </c>
      <c r="K68" s="323"/>
      <c r="L68" s="261">
        <f>SUM(I68:K68)</f>
        <v>0</v>
      </c>
      <c r="M68" s="258">
        <v>0</v>
      </c>
      <c r="N68" s="322">
        <v>0</v>
      </c>
      <c r="O68" s="323"/>
      <c r="P68" s="261">
        <f>SUM(M68:O68)</f>
        <v>0</v>
      </c>
    </row>
    <row r="69" spans="1:16" ht="14.25">
      <c r="A69" s="586" t="s">
        <v>296</v>
      </c>
      <c r="B69" s="587"/>
      <c r="C69" s="587"/>
      <c r="D69" s="587"/>
      <c r="E69" s="307">
        <f>E70+E71+E77</f>
        <v>89390</v>
      </c>
      <c r="F69" s="308">
        <f>SUM(F70:F77)</f>
        <v>0</v>
      </c>
      <c r="G69" s="309">
        <f>SUM(G70:G77)</f>
        <v>0</v>
      </c>
      <c r="H69" s="310">
        <f>SUM(E69:G69)</f>
        <v>89390</v>
      </c>
      <c r="I69" s="307">
        <f>I70+I71+I77</f>
        <v>89390</v>
      </c>
      <c r="J69" s="308">
        <f>SUM(J70:J77)</f>
        <v>0</v>
      </c>
      <c r="K69" s="309">
        <f>SUM(K70:K77)</f>
        <v>0</v>
      </c>
      <c r="L69" s="310">
        <f>SUM(I69:K69)</f>
        <v>89390</v>
      </c>
      <c r="M69" s="307">
        <f>M70+M71+M77</f>
        <v>89390</v>
      </c>
      <c r="N69" s="308">
        <f>SUM(N70:N77)</f>
        <v>0</v>
      </c>
      <c r="O69" s="309">
        <f>SUM(O70:O77)</f>
        <v>0</v>
      </c>
      <c r="P69" s="310">
        <f>SUM(M69:O69)</f>
        <v>89390</v>
      </c>
    </row>
    <row r="70" spans="1:16" ht="12.75">
      <c r="A70" s="569">
        <v>11</v>
      </c>
      <c r="B70" s="241">
        <v>1</v>
      </c>
      <c r="C70" s="565" t="s">
        <v>297</v>
      </c>
      <c r="D70" s="566"/>
      <c r="E70" s="242">
        <v>61100</v>
      </c>
      <c r="F70" s="243"/>
      <c r="G70" s="244"/>
      <c r="H70" s="245">
        <f>SUM(E70:G70)</f>
        <v>61100</v>
      </c>
      <c r="I70" s="242">
        <v>61100</v>
      </c>
      <c r="J70" s="243"/>
      <c r="K70" s="244"/>
      <c r="L70" s="245">
        <f>SUM(I70:K70)</f>
        <v>61100</v>
      </c>
      <c r="M70" s="242">
        <v>61100</v>
      </c>
      <c r="N70" s="243"/>
      <c r="O70" s="244"/>
      <c r="P70" s="245">
        <f>SUM(M70:O70)</f>
        <v>61100</v>
      </c>
    </row>
    <row r="71" spans="1:16" ht="12.75">
      <c r="A71" s="570"/>
      <c r="B71" s="572">
        <v>2</v>
      </c>
      <c r="C71" s="565" t="s">
        <v>298</v>
      </c>
      <c r="D71" s="566"/>
      <c r="E71" s="242">
        <f>SUM(E72:E76)</f>
        <v>24940</v>
      </c>
      <c r="F71" s="244">
        <f>SUM(F72:F76)</f>
        <v>0</v>
      </c>
      <c r="G71" s="244">
        <f>SUM(G72:G76)</f>
        <v>0</v>
      </c>
      <c r="H71" s="247">
        <f>SUM(H72:H76)</f>
        <v>24940</v>
      </c>
      <c r="I71" s="242">
        <f aca="true" t="shared" si="25" ref="I71:P71">SUM(I72:I76)</f>
        <v>24940</v>
      </c>
      <c r="J71" s="244">
        <f t="shared" si="25"/>
        <v>0</v>
      </c>
      <c r="K71" s="244">
        <f t="shared" si="25"/>
        <v>0</v>
      </c>
      <c r="L71" s="247">
        <f t="shared" si="25"/>
        <v>24940</v>
      </c>
      <c r="M71" s="242">
        <f t="shared" si="25"/>
        <v>24940</v>
      </c>
      <c r="N71" s="244">
        <f t="shared" si="25"/>
        <v>0</v>
      </c>
      <c r="O71" s="244">
        <f t="shared" si="25"/>
        <v>0</v>
      </c>
      <c r="P71" s="247">
        <f t="shared" si="25"/>
        <v>24940</v>
      </c>
    </row>
    <row r="72" spans="1:16" ht="12.75">
      <c r="A72" s="570"/>
      <c r="B72" s="573"/>
      <c r="C72" s="325">
        <v>1</v>
      </c>
      <c r="D72" s="326" t="s">
        <v>299</v>
      </c>
      <c r="E72" s="327">
        <v>7200</v>
      </c>
      <c r="F72" s="328"/>
      <c r="G72" s="329"/>
      <c r="H72" s="272">
        <f>SUM(E72:G72)</f>
        <v>7200</v>
      </c>
      <c r="I72" s="327">
        <v>7200</v>
      </c>
      <c r="J72" s="328"/>
      <c r="K72" s="329"/>
      <c r="L72" s="272">
        <f>SUM(I72:K72)</f>
        <v>7200</v>
      </c>
      <c r="M72" s="327">
        <v>7200</v>
      </c>
      <c r="N72" s="328"/>
      <c r="O72" s="329"/>
      <c r="P72" s="272">
        <f>SUM(M72:O72)</f>
        <v>7200</v>
      </c>
    </row>
    <row r="73" spans="1:16" ht="12.75">
      <c r="A73" s="570"/>
      <c r="B73" s="573"/>
      <c r="C73" s="325">
        <v>2</v>
      </c>
      <c r="D73" s="317" t="s">
        <v>300</v>
      </c>
      <c r="E73" s="327">
        <v>0</v>
      </c>
      <c r="F73" s="328"/>
      <c r="G73" s="329"/>
      <c r="H73" s="272">
        <f>SUM(E73:G73)</f>
        <v>0</v>
      </c>
      <c r="I73" s="327">
        <v>0</v>
      </c>
      <c r="J73" s="328"/>
      <c r="K73" s="329"/>
      <c r="L73" s="272">
        <f>SUM(I73:K73)</f>
        <v>0</v>
      </c>
      <c r="M73" s="327">
        <v>0</v>
      </c>
      <c r="N73" s="328"/>
      <c r="O73" s="329"/>
      <c r="P73" s="272">
        <f>SUM(M73:O73)</f>
        <v>0</v>
      </c>
    </row>
    <row r="74" spans="1:16" ht="12.75">
      <c r="A74" s="570"/>
      <c r="B74" s="573"/>
      <c r="C74" s="325">
        <v>3</v>
      </c>
      <c r="D74" s="317" t="s">
        <v>301</v>
      </c>
      <c r="E74" s="327">
        <v>3000</v>
      </c>
      <c r="F74" s="328"/>
      <c r="G74" s="329"/>
      <c r="H74" s="272">
        <f>SUM(E74:G74)</f>
        <v>3000</v>
      </c>
      <c r="I74" s="327">
        <v>3000</v>
      </c>
      <c r="J74" s="328"/>
      <c r="K74" s="329"/>
      <c r="L74" s="272">
        <f>SUM(I74:K74)</f>
        <v>3000</v>
      </c>
      <c r="M74" s="327">
        <v>3000</v>
      </c>
      <c r="N74" s="328"/>
      <c r="O74" s="329"/>
      <c r="P74" s="272">
        <f>SUM(M74:O74)</f>
        <v>3000</v>
      </c>
    </row>
    <row r="75" spans="1:16" ht="12.75">
      <c r="A75" s="570"/>
      <c r="B75" s="573"/>
      <c r="C75" s="325">
        <v>4</v>
      </c>
      <c r="D75" s="317" t="s">
        <v>302</v>
      </c>
      <c r="E75" s="327">
        <f>400+300</f>
        <v>700</v>
      </c>
      <c r="F75" s="328"/>
      <c r="G75" s="329"/>
      <c r="H75" s="272">
        <f>SUM(E75:G75)</f>
        <v>700</v>
      </c>
      <c r="I75" s="327">
        <f>400+300</f>
        <v>700</v>
      </c>
      <c r="J75" s="328"/>
      <c r="K75" s="329"/>
      <c r="L75" s="272">
        <f>SUM(I75:K75)</f>
        <v>700</v>
      </c>
      <c r="M75" s="327">
        <f>400+300</f>
        <v>700</v>
      </c>
      <c r="N75" s="328"/>
      <c r="O75" s="329"/>
      <c r="P75" s="272">
        <f>SUM(M75:O75)</f>
        <v>700</v>
      </c>
    </row>
    <row r="76" spans="1:16" ht="12.75">
      <c r="A76" s="570"/>
      <c r="B76" s="574"/>
      <c r="C76" s="325">
        <v>5</v>
      </c>
      <c r="D76" s="317" t="s">
        <v>303</v>
      </c>
      <c r="E76" s="327">
        <v>14040</v>
      </c>
      <c r="F76" s="328"/>
      <c r="G76" s="329"/>
      <c r="H76" s="272">
        <f>SUM(E76:G76)</f>
        <v>14040</v>
      </c>
      <c r="I76" s="327">
        <v>14040</v>
      </c>
      <c r="J76" s="328"/>
      <c r="K76" s="329"/>
      <c r="L76" s="272">
        <f>SUM(I76:K76)</f>
        <v>14040</v>
      </c>
      <c r="M76" s="327">
        <v>14040</v>
      </c>
      <c r="N76" s="328"/>
      <c r="O76" s="329"/>
      <c r="P76" s="272">
        <f>SUM(M76:O76)</f>
        <v>14040</v>
      </c>
    </row>
    <row r="77" spans="1:16" ht="12.75">
      <c r="A77" s="570"/>
      <c r="B77" s="602">
        <v>3</v>
      </c>
      <c r="C77" s="565" t="s">
        <v>304</v>
      </c>
      <c r="D77" s="566"/>
      <c r="E77" s="299">
        <f>SUM(E78:E79)</f>
        <v>3350</v>
      </c>
      <c r="F77" s="301">
        <f>SUM(F78:F79)</f>
        <v>0</v>
      </c>
      <c r="G77" s="301">
        <f>SUM(G78:G79)</f>
        <v>0</v>
      </c>
      <c r="H77" s="330">
        <f>SUM(H78:H79)</f>
        <v>3350</v>
      </c>
      <c r="I77" s="299">
        <f aca="true" t="shared" si="26" ref="I77:P77">SUM(I78:I79)</f>
        <v>3350</v>
      </c>
      <c r="J77" s="301">
        <f t="shared" si="26"/>
        <v>0</v>
      </c>
      <c r="K77" s="301">
        <f t="shared" si="26"/>
        <v>0</v>
      </c>
      <c r="L77" s="330">
        <f t="shared" si="26"/>
        <v>3350</v>
      </c>
      <c r="M77" s="299">
        <f t="shared" si="26"/>
        <v>3350</v>
      </c>
      <c r="N77" s="301">
        <f t="shared" si="26"/>
        <v>0</v>
      </c>
      <c r="O77" s="301">
        <f t="shared" si="26"/>
        <v>0</v>
      </c>
      <c r="P77" s="330">
        <f t="shared" si="26"/>
        <v>3350</v>
      </c>
    </row>
    <row r="78" spans="1:16" ht="12.75">
      <c r="A78" s="570"/>
      <c r="B78" s="603"/>
      <c r="C78" s="331">
        <v>1</v>
      </c>
      <c r="D78" s="332" t="s">
        <v>305</v>
      </c>
      <c r="E78" s="282">
        <v>1800</v>
      </c>
      <c r="F78" s="283"/>
      <c r="G78" s="284"/>
      <c r="H78" s="272">
        <f>SUM(E78:G78)</f>
        <v>1800</v>
      </c>
      <c r="I78" s="282">
        <v>1800</v>
      </c>
      <c r="J78" s="283"/>
      <c r="K78" s="284"/>
      <c r="L78" s="272">
        <f>SUM(I78:K78)</f>
        <v>1800</v>
      </c>
      <c r="M78" s="282">
        <v>1800</v>
      </c>
      <c r="N78" s="283"/>
      <c r="O78" s="284"/>
      <c r="P78" s="272">
        <f>SUM(M78:O78)</f>
        <v>1800</v>
      </c>
    </row>
    <row r="79" spans="1:16" ht="13.5" thickBot="1">
      <c r="A79" s="571"/>
      <c r="B79" s="604"/>
      <c r="C79" s="333">
        <v>2</v>
      </c>
      <c r="D79" s="334" t="s">
        <v>306</v>
      </c>
      <c r="E79" s="335">
        <v>1550</v>
      </c>
      <c r="F79" s="336"/>
      <c r="G79" s="337"/>
      <c r="H79" s="338">
        <f>SUM(E79:G79)</f>
        <v>1550</v>
      </c>
      <c r="I79" s="335">
        <v>1550</v>
      </c>
      <c r="J79" s="336"/>
      <c r="K79" s="337"/>
      <c r="L79" s="338">
        <f>SUM(I79:K79)</f>
        <v>1550</v>
      </c>
      <c r="M79" s="335">
        <v>1550</v>
      </c>
      <c r="N79" s="336"/>
      <c r="O79" s="337"/>
      <c r="P79" s="338">
        <f>SUM(M79:O79)</f>
        <v>1550</v>
      </c>
    </row>
    <row r="80" spans="1:16" ht="15" thickBot="1">
      <c r="A80" s="596" t="s">
        <v>307</v>
      </c>
      <c r="B80" s="597"/>
      <c r="C80" s="597"/>
      <c r="D80" s="597"/>
      <c r="E80" s="340">
        <f>SUM(E81:E82)</f>
        <v>351000</v>
      </c>
      <c r="F80" s="341">
        <f>SUM(F81:F82)</f>
        <v>0</v>
      </c>
      <c r="G80" s="342">
        <f>SUM(G81:G82)</f>
        <v>0</v>
      </c>
      <c r="H80" s="343">
        <f>SUM(H81:H82)</f>
        <v>351000</v>
      </c>
      <c r="I80" s="340">
        <f aca="true" t="shared" si="27" ref="I80:P80">SUM(I81:I82)</f>
        <v>347400</v>
      </c>
      <c r="J80" s="341">
        <f t="shared" si="27"/>
        <v>0</v>
      </c>
      <c r="K80" s="342">
        <f t="shared" si="27"/>
        <v>0</v>
      </c>
      <c r="L80" s="343">
        <f t="shared" si="27"/>
        <v>347400</v>
      </c>
      <c r="M80" s="340">
        <f t="shared" si="27"/>
        <v>333400</v>
      </c>
      <c r="N80" s="341">
        <f t="shared" si="27"/>
        <v>0</v>
      </c>
      <c r="O80" s="342">
        <f t="shared" si="27"/>
        <v>0</v>
      </c>
      <c r="P80" s="343">
        <f t="shared" si="27"/>
        <v>333400</v>
      </c>
    </row>
    <row r="81" spans="1:16" ht="12.75">
      <c r="A81" s="598"/>
      <c r="B81" s="346">
        <v>1</v>
      </c>
      <c r="C81" s="600" t="s">
        <v>308</v>
      </c>
      <c r="D81" s="600"/>
      <c r="E81" s="347">
        <v>334000</v>
      </c>
      <c r="F81" s="348"/>
      <c r="G81" s="349"/>
      <c r="H81" s="350">
        <f>SUM(E81:G81)</f>
        <v>334000</v>
      </c>
      <c r="I81" s="347">
        <v>330400</v>
      </c>
      <c r="J81" s="348"/>
      <c r="K81" s="349"/>
      <c r="L81" s="350">
        <f>SUM(I81:K81)</f>
        <v>330400</v>
      </c>
      <c r="M81" s="347">
        <v>316400</v>
      </c>
      <c r="N81" s="348"/>
      <c r="O81" s="349"/>
      <c r="P81" s="350">
        <f>SUM(M81:O81)</f>
        <v>316400</v>
      </c>
    </row>
    <row r="82" spans="1:16" ht="13.5" thickBot="1">
      <c r="A82" s="599"/>
      <c r="B82" s="353">
        <v>2</v>
      </c>
      <c r="C82" s="601" t="s">
        <v>309</v>
      </c>
      <c r="D82" s="601"/>
      <c r="E82" s="354">
        <v>17000</v>
      </c>
      <c r="F82" s="355"/>
      <c r="G82" s="356"/>
      <c r="H82" s="357">
        <f>SUM(E82:G82)</f>
        <v>17000</v>
      </c>
      <c r="I82" s="354">
        <v>17000</v>
      </c>
      <c r="J82" s="355"/>
      <c r="K82" s="356"/>
      <c r="L82" s="357">
        <f>SUM(I82:K82)</f>
        <v>17000</v>
      </c>
      <c r="M82" s="354">
        <v>17000</v>
      </c>
      <c r="N82" s="355"/>
      <c r="O82" s="356"/>
      <c r="P82" s="357">
        <f>SUM(M82:O82)</f>
        <v>17000</v>
      </c>
    </row>
    <row r="83" spans="1:16" ht="13.5" thickBot="1">
      <c r="A83" s="360"/>
      <c r="B83" s="131"/>
      <c r="C83" s="131"/>
      <c r="D83" s="131"/>
      <c r="E83" s="131"/>
      <c r="F83" s="131"/>
      <c r="G83" s="361"/>
      <c r="H83" s="131"/>
      <c r="I83" s="131"/>
      <c r="J83" s="131"/>
      <c r="K83" s="361"/>
      <c r="L83" s="131"/>
      <c r="M83" s="131"/>
      <c r="N83" s="131"/>
      <c r="O83" s="361"/>
      <c r="P83" s="131"/>
    </row>
    <row r="84" spans="1:16" ht="45.75" thickBot="1">
      <c r="A84" s="605" t="s">
        <v>310</v>
      </c>
      <c r="B84" s="606"/>
      <c r="C84" s="606"/>
      <c r="D84" s="606"/>
      <c r="E84" s="363" t="s">
        <v>311</v>
      </c>
      <c r="F84" s="364" t="s">
        <v>312</v>
      </c>
      <c r="G84" s="365" t="s">
        <v>313</v>
      </c>
      <c r="H84" s="366" t="s">
        <v>238</v>
      </c>
      <c r="I84" s="363" t="s">
        <v>311</v>
      </c>
      <c r="J84" s="364" t="s">
        <v>312</v>
      </c>
      <c r="K84" s="365" t="s">
        <v>313</v>
      </c>
      <c r="L84" s="366" t="s">
        <v>238</v>
      </c>
      <c r="M84" s="363" t="s">
        <v>311</v>
      </c>
      <c r="N84" s="364" t="s">
        <v>312</v>
      </c>
      <c r="O84" s="365" t="s">
        <v>313</v>
      </c>
      <c r="P84" s="366" t="s">
        <v>238</v>
      </c>
    </row>
    <row r="85" spans="1:16" ht="15.75" thickBot="1">
      <c r="A85" s="607" t="s">
        <v>314</v>
      </c>
      <c r="B85" s="608"/>
      <c r="C85" s="608"/>
      <c r="D85" s="608"/>
      <c r="E85" s="369">
        <v>1266364</v>
      </c>
      <c r="F85" s="370">
        <v>210370</v>
      </c>
      <c r="G85" s="371">
        <v>30427</v>
      </c>
      <c r="H85" s="372">
        <f>SUM(E85:G85)</f>
        <v>1507161</v>
      </c>
      <c r="I85" s="369">
        <v>1262264</v>
      </c>
      <c r="J85" s="370">
        <v>0</v>
      </c>
      <c r="K85" s="371">
        <v>0</v>
      </c>
      <c r="L85" s="372">
        <f>SUM(I85:K85)</f>
        <v>1262264</v>
      </c>
      <c r="M85" s="369">
        <v>1236264</v>
      </c>
      <c r="N85" s="370">
        <v>0</v>
      </c>
      <c r="O85" s="371">
        <v>0</v>
      </c>
      <c r="P85" s="372">
        <f>SUM(M85:O85)</f>
        <v>1236264</v>
      </c>
    </row>
    <row r="86" spans="1:16" ht="15.75" thickBot="1">
      <c r="A86" s="607" t="s">
        <v>315</v>
      </c>
      <c r="B86" s="608"/>
      <c r="C86" s="608"/>
      <c r="D86" s="608"/>
      <c r="E86" s="374">
        <f aca="true" t="shared" si="28" ref="E86:P86">E5+E80</f>
        <v>1209041</v>
      </c>
      <c r="F86" s="374">
        <f t="shared" si="28"/>
        <v>257420</v>
      </c>
      <c r="G86" s="374">
        <f t="shared" si="28"/>
        <v>40700</v>
      </c>
      <c r="H86" s="374">
        <f t="shared" si="28"/>
        <v>1507161</v>
      </c>
      <c r="I86" s="374">
        <f t="shared" si="28"/>
        <v>1221564</v>
      </c>
      <c r="J86" s="374">
        <f t="shared" si="28"/>
        <v>0</v>
      </c>
      <c r="K86" s="374">
        <f t="shared" si="28"/>
        <v>40700</v>
      </c>
      <c r="L86" s="374">
        <f t="shared" si="28"/>
        <v>1262264</v>
      </c>
      <c r="M86" s="374">
        <f t="shared" si="28"/>
        <v>1195564</v>
      </c>
      <c r="N86" s="374">
        <f t="shared" si="28"/>
        <v>0</v>
      </c>
      <c r="O86" s="374">
        <f t="shared" si="28"/>
        <v>40700</v>
      </c>
      <c r="P86" s="374">
        <f t="shared" si="28"/>
        <v>1236264</v>
      </c>
    </row>
    <row r="87" spans="1:16" ht="13.5" thickBot="1">
      <c r="A87" s="609" t="s">
        <v>316</v>
      </c>
      <c r="B87" s="610"/>
      <c r="C87" s="610"/>
      <c r="D87" s="610"/>
      <c r="E87" s="375">
        <f aca="true" t="shared" si="29" ref="E87:L87">E85-E86</f>
        <v>57323</v>
      </c>
      <c r="F87" s="376">
        <f t="shared" si="29"/>
        <v>-47050</v>
      </c>
      <c r="G87" s="377">
        <f t="shared" si="29"/>
        <v>-10273</v>
      </c>
      <c r="H87" s="378">
        <f t="shared" si="29"/>
        <v>0</v>
      </c>
      <c r="I87" s="375">
        <f t="shared" si="29"/>
        <v>40700</v>
      </c>
      <c r="J87" s="376">
        <f t="shared" si="29"/>
        <v>0</v>
      </c>
      <c r="K87" s="377">
        <f t="shared" si="29"/>
        <v>-40700</v>
      </c>
      <c r="L87" s="378">
        <f t="shared" si="29"/>
        <v>0</v>
      </c>
      <c r="M87" s="375">
        <f>M85-M86</f>
        <v>40700</v>
      </c>
      <c r="N87" s="376">
        <f>N85-N86</f>
        <v>0</v>
      </c>
      <c r="O87" s="377">
        <f>O85-O86</f>
        <v>-40700</v>
      </c>
      <c r="P87" s="378">
        <f>P85-P86</f>
        <v>0</v>
      </c>
    </row>
  </sheetData>
  <sheetProtection/>
  <mergeCells count="82">
    <mergeCell ref="A84:D84"/>
    <mergeCell ref="A85:D85"/>
    <mergeCell ref="A86:D86"/>
    <mergeCell ref="A87:D87"/>
    <mergeCell ref="A80:D80"/>
    <mergeCell ref="A81:A82"/>
    <mergeCell ref="C81:D81"/>
    <mergeCell ref="C82:D82"/>
    <mergeCell ref="A69:D69"/>
    <mergeCell ref="A70:A79"/>
    <mergeCell ref="C70:D70"/>
    <mergeCell ref="B71:B76"/>
    <mergeCell ref="C71:D71"/>
    <mergeCell ref="B77:B79"/>
    <mergeCell ref="C77:D77"/>
    <mergeCell ref="A66:D66"/>
    <mergeCell ref="A67:A68"/>
    <mergeCell ref="C67:D67"/>
    <mergeCell ref="C68:D68"/>
    <mergeCell ref="A61:D61"/>
    <mergeCell ref="A62:A65"/>
    <mergeCell ref="C62:D62"/>
    <mergeCell ref="C63:D63"/>
    <mergeCell ref="C64:D64"/>
    <mergeCell ref="C65:D65"/>
    <mergeCell ref="A50:D50"/>
    <mergeCell ref="A51:A60"/>
    <mergeCell ref="B51:B57"/>
    <mergeCell ref="C51:D51"/>
    <mergeCell ref="C58:D58"/>
    <mergeCell ref="C59:D59"/>
    <mergeCell ref="C60:D60"/>
    <mergeCell ref="A47:D47"/>
    <mergeCell ref="A48:A49"/>
    <mergeCell ref="C48:D48"/>
    <mergeCell ref="C49:D49"/>
    <mergeCell ref="A42:D42"/>
    <mergeCell ref="A43:A46"/>
    <mergeCell ref="C43:D43"/>
    <mergeCell ref="C44:D44"/>
    <mergeCell ref="C45:D45"/>
    <mergeCell ref="C46:D46"/>
    <mergeCell ref="A36:D36"/>
    <mergeCell ref="C37:D37"/>
    <mergeCell ref="A38:D38"/>
    <mergeCell ref="A39:A41"/>
    <mergeCell ref="C39:D39"/>
    <mergeCell ref="C40:D40"/>
    <mergeCell ref="C41:D41"/>
    <mergeCell ref="A33:D33"/>
    <mergeCell ref="A34:A35"/>
    <mergeCell ref="C34:D34"/>
    <mergeCell ref="C35:D35"/>
    <mergeCell ref="C26:D26"/>
    <mergeCell ref="B27:B30"/>
    <mergeCell ref="C27:D27"/>
    <mergeCell ref="B31:B32"/>
    <mergeCell ref="C31:D31"/>
    <mergeCell ref="A14:D14"/>
    <mergeCell ref="A15:A32"/>
    <mergeCell ref="B15:B17"/>
    <mergeCell ref="C15:D15"/>
    <mergeCell ref="C18:D18"/>
    <mergeCell ref="B19:B21"/>
    <mergeCell ref="C19:D19"/>
    <mergeCell ref="B22:B24"/>
    <mergeCell ref="C22:D22"/>
    <mergeCell ref="C25:D25"/>
    <mergeCell ref="A6:D6"/>
    <mergeCell ref="A7:A13"/>
    <mergeCell ref="B7:B9"/>
    <mergeCell ref="C7:D7"/>
    <mergeCell ref="C10:D10"/>
    <mergeCell ref="C11:D11"/>
    <mergeCell ref="C12:D12"/>
    <mergeCell ref="C13:D13"/>
    <mergeCell ref="A1:P1"/>
    <mergeCell ref="A2:H2"/>
    <mergeCell ref="A3:D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64">
      <selection activeCell="B214" sqref="B214"/>
    </sheetView>
  </sheetViews>
  <sheetFormatPr defaultColWidth="9.140625" defaultRowHeight="12.75"/>
  <cols>
    <col min="1" max="1" width="8.421875" style="0" customWidth="1"/>
    <col min="2" max="2" width="32.57421875" style="0" customWidth="1"/>
    <col min="3" max="3" width="10.00390625" style="0" customWidth="1"/>
    <col min="5" max="5" width="8.421875" style="0" customWidth="1"/>
    <col min="6" max="6" width="30.140625" style="0" customWidth="1"/>
    <col min="11" max="11" width="8.7109375" style="0" customWidth="1"/>
    <col min="12" max="12" width="32.421875" style="0" customWidth="1"/>
  </cols>
  <sheetData>
    <row r="1" spans="1:3" ht="18">
      <c r="A1" s="504" t="s">
        <v>231</v>
      </c>
      <c r="B1" s="504"/>
      <c r="C1" s="504"/>
    </row>
    <row r="2" spans="1:3" ht="12.75">
      <c r="A2" s="194"/>
      <c r="B2" s="194"/>
      <c r="C2" s="194"/>
    </row>
    <row r="3" spans="1:3" ht="12.75">
      <c r="A3" s="510" t="s">
        <v>232</v>
      </c>
      <c r="B3" s="510"/>
      <c r="C3" s="510"/>
    </row>
    <row r="4" ht="12.75">
      <c r="A4" s="195" t="s">
        <v>225</v>
      </c>
    </row>
    <row r="5" spans="1:3" ht="12.75">
      <c r="A5" s="196" t="s">
        <v>226</v>
      </c>
      <c r="B5" s="196" t="s">
        <v>227</v>
      </c>
      <c r="C5" s="196" t="s">
        <v>228</v>
      </c>
    </row>
    <row r="6" spans="1:3" ht="12.75">
      <c r="A6" s="12">
        <v>133</v>
      </c>
      <c r="B6" s="12" t="s">
        <v>324</v>
      </c>
      <c r="C6" s="186">
        <v>-80</v>
      </c>
    </row>
    <row r="7" spans="1:3" ht="12.75">
      <c r="A7" s="12">
        <v>222</v>
      </c>
      <c r="B7" s="12" t="s">
        <v>325</v>
      </c>
      <c r="C7" s="186">
        <v>600</v>
      </c>
    </row>
    <row r="8" spans="1:3" ht="12.75">
      <c r="A8" s="12">
        <v>223</v>
      </c>
      <c r="B8" s="12" t="s">
        <v>326</v>
      </c>
      <c r="C8" s="186">
        <v>100</v>
      </c>
    </row>
    <row r="9" spans="1:3" ht="12.75">
      <c r="A9" s="12">
        <v>292</v>
      </c>
      <c r="B9" s="12" t="s">
        <v>327</v>
      </c>
      <c r="C9" s="186">
        <v>5057</v>
      </c>
    </row>
    <row r="10" spans="1:3" ht="12.75">
      <c r="A10" s="12">
        <v>292</v>
      </c>
      <c r="B10" s="12" t="s">
        <v>348</v>
      </c>
      <c r="C10" s="186">
        <v>1441</v>
      </c>
    </row>
    <row r="11" spans="1:3" ht="12.75">
      <c r="A11" s="12">
        <v>312</v>
      </c>
      <c r="B11" s="12" t="s">
        <v>328</v>
      </c>
      <c r="C11" s="186">
        <v>2431</v>
      </c>
    </row>
    <row r="12" spans="1:3" ht="12.75">
      <c r="A12" s="12">
        <v>312</v>
      </c>
      <c r="B12" s="12" t="s">
        <v>329</v>
      </c>
      <c r="C12" s="186">
        <v>14402</v>
      </c>
    </row>
    <row r="13" spans="1:3" ht="12.75">
      <c r="A13" s="12">
        <v>312</v>
      </c>
      <c r="B13" s="12" t="s">
        <v>330</v>
      </c>
      <c r="C13" s="186">
        <v>44465</v>
      </c>
    </row>
    <row r="14" spans="1:3" ht="12.75">
      <c r="A14" s="12">
        <v>312</v>
      </c>
      <c r="B14" s="12" t="s">
        <v>332</v>
      </c>
      <c r="C14" s="186">
        <v>34</v>
      </c>
    </row>
    <row r="15" spans="1:3" ht="12.75">
      <c r="A15" s="12">
        <v>312</v>
      </c>
      <c r="B15" s="12" t="s">
        <v>333</v>
      </c>
      <c r="C15" s="186">
        <v>21</v>
      </c>
    </row>
    <row r="16" spans="1:3" ht="12.75">
      <c r="A16" s="12">
        <v>312</v>
      </c>
      <c r="B16" s="12" t="s">
        <v>334</v>
      </c>
      <c r="C16" s="186">
        <v>-602</v>
      </c>
    </row>
    <row r="17" spans="1:3" ht="12.75">
      <c r="A17" s="12">
        <v>312</v>
      </c>
      <c r="B17" s="12" t="s">
        <v>335</v>
      </c>
      <c r="C17" s="186">
        <v>23024</v>
      </c>
    </row>
    <row r="18" spans="1:3" ht="12.75">
      <c r="A18" s="12">
        <v>322</v>
      </c>
      <c r="B18" s="12" t="s">
        <v>161</v>
      </c>
      <c r="C18" s="186">
        <v>326446</v>
      </c>
    </row>
    <row r="19" spans="1:3" ht="12.75">
      <c r="A19" s="12">
        <v>322</v>
      </c>
      <c r="B19" s="12" t="s">
        <v>162</v>
      </c>
      <c r="C19" s="186">
        <v>53105</v>
      </c>
    </row>
    <row r="20" spans="1:3" ht="12.75">
      <c r="A20" s="12">
        <v>322</v>
      </c>
      <c r="B20" s="12" t="s">
        <v>163</v>
      </c>
      <c r="C20" s="186">
        <v>4</v>
      </c>
    </row>
    <row r="21" spans="1:3" ht="12.75">
      <c r="A21" s="12">
        <v>513</v>
      </c>
      <c r="B21" s="12" t="s">
        <v>349</v>
      </c>
      <c r="C21" s="186">
        <v>17744</v>
      </c>
    </row>
    <row r="22" spans="1:3" ht="12.75">
      <c r="A22" s="506" t="s">
        <v>344</v>
      </c>
      <c r="B22" s="507"/>
      <c r="C22" s="399">
        <f>SUM(C6:C21)</f>
        <v>488192</v>
      </c>
    </row>
    <row r="23" spans="1:3" ht="12.75">
      <c r="A23" s="450"/>
      <c r="B23" s="451"/>
      <c r="C23" s="452"/>
    </row>
    <row r="24" spans="1:3" ht="13.5" thickBot="1">
      <c r="A24" s="394" t="s">
        <v>230</v>
      </c>
      <c r="B24" s="141" t="s">
        <v>63</v>
      </c>
      <c r="C24" s="395">
        <v>400</v>
      </c>
    </row>
    <row r="25" spans="1:3" ht="13.5" thickBot="1">
      <c r="A25" s="508" t="s">
        <v>345</v>
      </c>
      <c r="B25" s="509"/>
      <c r="C25" s="398">
        <f>SUM(C22:C24)</f>
        <v>488592</v>
      </c>
    </row>
    <row r="26" spans="2:3" ht="12.75">
      <c r="B26" s="116"/>
      <c r="C26" s="161"/>
    </row>
    <row r="27" spans="1:3" ht="12.75">
      <c r="A27" s="195" t="s">
        <v>229</v>
      </c>
      <c r="B27" s="195"/>
      <c r="C27" s="197"/>
    </row>
    <row r="28" spans="1:3" ht="12.75">
      <c r="A28" s="196" t="s">
        <v>233</v>
      </c>
      <c r="B28" s="196" t="s">
        <v>227</v>
      </c>
      <c r="C28" s="198" t="s">
        <v>228</v>
      </c>
    </row>
    <row r="29" spans="1:3" ht="12.75">
      <c r="A29" s="199" t="s">
        <v>69</v>
      </c>
      <c r="B29" s="200" t="s">
        <v>336</v>
      </c>
      <c r="C29" s="201">
        <v>1200</v>
      </c>
    </row>
    <row r="30" spans="1:3" ht="12.75">
      <c r="A30" s="199" t="s">
        <v>71</v>
      </c>
      <c r="B30" s="200" t="s">
        <v>331</v>
      </c>
      <c r="C30" s="201">
        <v>34</v>
      </c>
    </row>
    <row r="31" spans="1:3" ht="12.75">
      <c r="A31" s="202" t="s">
        <v>84</v>
      </c>
      <c r="B31" s="45" t="s">
        <v>337</v>
      </c>
      <c r="C31" s="203">
        <v>37446</v>
      </c>
    </row>
    <row r="32" spans="1:3" ht="12.75">
      <c r="A32" s="202" t="s">
        <v>84</v>
      </c>
      <c r="B32" s="45" t="s">
        <v>338</v>
      </c>
      <c r="C32" s="203">
        <v>1420</v>
      </c>
    </row>
    <row r="33" spans="1:3" ht="12.75">
      <c r="A33" s="202" t="s">
        <v>92</v>
      </c>
      <c r="B33" s="45" t="s">
        <v>339</v>
      </c>
      <c r="C33" s="203">
        <v>24519</v>
      </c>
    </row>
    <row r="34" spans="1:3" ht="12.75">
      <c r="A34" s="202" t="s">
        <v>92</v>
      </c>
      <c r="B34" s="45" t="s">
        <v>340</v>
      </c>
      <c r="C34" s="203">
        <v>342208</v>
      </c>
    </row>
    <row r="35" spans="1:3" ht="12.75">
      <c r="A35" s="202" t="s">
        <v>94</v>
      </c>
      <c r="B35" s="45" t="s">
        <v>341</v>
      </c>
      <c r="C35" s="203">
        <v>55900</v>
      </c>
    </row>
    <row r="36" spans="1:3" ht="12.75">
      <c r="A36" s="202" t="s">
        <v>105</v>
      </c>
      <c r="B36" s="45" t="s">
        <v>342</v>
      </c>
      <c r="C36" s="203">
        <v>800</v>
      </c>
    </row>
    <row r="37" spans="1:3" ht="12.75">
      <c r="A37" s="506" t="s">
        <v>344</v>
      </c>
      <c r="B37" s="507"/>
      <c r="C37" s="399">
        <f>SUM(C29:C36)</f>
        <v>463527</v>
      </c>
    </row>
    <row r="38" spans="1:3" ht="12.75">
      <c r="A38" s="202" t="s">
        <v>230</v>
      </c>
      <c r="B38" s="45" t="s">
        <v>343</v>
      </c>
      <c r="C38" s="203">
        <f>23424+1441</f>
        <v>24865</v>
      </c>
    </row>
    <row r="39" spans="1:3" ht="13.5" thickBot="1">
      <c r="A39" s="396" t="s">
        <v>230</v>
      </c>
      <c r="B39" s="141" t="s">
        <v>346</v>
      </c>
      <c r="C39" s="397">
        <v>200</v>
      </c>
    </row>
    <row r="40" spans="1:3" ht="13.5" thickBot="1">
      <c r="A40" s="508" t="s">
        <v>345</v>
      </c>
      <c r="B40" s="509"/>
      <c r="C40" s="398">
        <f>SUM(C37:C39)</f>
        <v>488592</v>
      </c>
    </row>
    <row r="43" ht="12.75">
      <c r="A43" t="s">
        <v>216</v>
      </c>
    </row>
    <row r="44" ht="37.5" customHeight="1"/>
    <row r="45" spans="1:3" ht="18">
      <c r="A45" s="504" t="s">
        <v>371</v>
      </c>
      <c r="B45" s="504"/>
      <c r="C45" s="504"/>
    </row>
    <row r="46" spans="1:3" ht="12.75">
      <c r="A46" s="194"/>
      <c r="B46" s="194"/>
      <c r="C46" s="194"/>
    </row>
    <row r="47" spans="1:3" ht="12.75">
      <c r="A47" s="510" t="s">
        <v>232</v>
      </c>
      <c r="B47" s="510"/>
      <c r="C47" s="510"/>
    </row>
    <row r="48" ht="12.75">
      <c r="A48" s="195" t="s">
        <v>225</v>
      </c>
    </row>
    <row r="49" spans="1:3" ht="12.75">
      <c r="A49" s="196" t="s">
        <v>226</v>
      </c>
      <c r="B49" s="196" t="s">
        <v>227</v>
      </c>
      <c r="C49" s="196" t="s">
        <v>228</v>
      </c>
    </row>
    <row r="50" spans="1:3" ht="12.75">
      <c r="A50" s="428">
        <v>223</v>
      </c>
      <c r="B50" s="429" t="s">
        <v>392</v>
      </c>
      <c r="C50" s="428">
        <f>400</f>
        <v>400</v>
      </c>
    </row>
    <row r="51" spans="1:3" ht="12.75">
      <c r="A51" s="428">
        <v>223</v>
      </c>
      <c r="B51" s="429" t="s">
        <v>386</v>
      </c>
      <c r="C51" s="428">
        <v>8846</v>
      </c>
    </row>
    <row r="52" spans="1:3" ht="12.75">
      <c r="A52" s="12">
        <v>233</v>
      </c>
      <c r="B52" s="12" t="s">
        <v>372</v>
      </c>
      <c r="C52" s="186">
        <v>2261</v>
      </c>
    </row>
    <row r="53" spans="1:3" ht="12.75">
      <c r="A53" s="12">
        <v>292</v>
      </c>
      <c r="B53" s="12" t="s">
        <v>381</v>
      </c>
      <c r="C53" s="186">
        <v>3</v>
      </c>
    </row>
    <row r="54" spans="1:3" ht="12.75">
      <c r="A54" s="12">
        <v>292</v>
      </c>
      <c r="B54" s="12" t="s">
        <v>384</v>
      </c>
      <c r="C54" s="186">
        <v>200</v>
      </c>
    </row>
    <row r="55" spans="1:3" ht="12.75">
      <c r="A55" s="12">
        <v>292</v>
      </c>
      <c r="B55" s="12" t="s">
        <v>387</v>
      </c>
      <c r="C55" s="186">
        <v>200</v>
      </c>
    </row>
    <row r="56" spans="1:3" ht="12.75">
      <c r="A56" s="12">
        <v>292</v>
      </c>
      <c r="B56" s="12" t="s">
        <v>388</v>
      </c>
      <c r="C56" s="186">
        <v>1300</v>
      </c>
    </row>
    <row r="57" spans="1:3" ht="12.75">
      <c r="A57" s="12">
        <v>311</v>
      </c>
      <c r="B57" s="12" t="s">
        <v>385</v>
      </c>
      <c r="C57" s="186">
        <v>150</v>
      </c>
    </row>
    <row r="58" spans="1:3" ht="12.75">
      <c r="A58" s="12">
        <v>312</v>
      </c>
      <c r="B58" s="12" t="s">
        <v>373</v>
      </c>
      <c r="C58" s="186">
        <v>3670</v>
      </c>
    </row>
    <row r="59" spans="1:3" ht="12.75">
      <c r="A59" s="12">
        <v>312</v>
      </c>
      <c r="B59" s="12" t="s">
        <v>328</v>
      </c>
      <c r="C59" s="186">
        <v>2431</v>
      </c>
    </row>
    <row r="60" spans="1:3" ht="12.75">
      <c r="A60" s="12">
        <v>312</v>
      </c>
      <c r="B60" s="12" t="s">
        <v>374</v>
      </c>
      <c r="C60" s="186">
        <v>700</v>
      </c>
    </row>
    <row r="61" spans="1:3" ht="12.75">
      <c r="A61" s="506" t="s">
        <v>344</v>
      </c>
      <c r="B61" s="507"/>
      <c r="C61" s="399">
        <f>SUM(C50:C60)</f>
        <v>20161</v>
      </c>
    </row>
    <row r="62" spans="1:3" ht="13.5" thickBot="1">
      <c r="A62" s="394" t="s">
        <v>230</v>
      </c>
      <c r="B62" s="141" t="s">
        <v>63</v>
      </c>
      <c r="C62" s="395">
        <v>0</v>
      </c>
    </row>
    <row r="63" spans="1:3" ht="13.5" thickBot="1">
      <c r="A63" s="508" t="s">
        <v>345</v>
      </c>
      <c r="B63" s="509"/>
      <c r="C63" s="398">
        <f>SUM(C61:C62)</f>
        <v>20161</v>
      </c>
    </row>
    <row r="64" spans="2:3" ht="12.75">
      <c r="B64" s="116"/>
      <c r="C64" s="161"/>
    </row>
    <row r="65" ht="12.75">
      <c r="C65" s="161"/>
    </row>
    <row r="66" spans="1:3" ht="12.75">
      <c r="A66" s="195" t="s">
        <v>229</v>
      </c>
      <c r="B66" s="195"/>
      <c r="C66" s="197"/>
    </row>
    <row r="67" spans="1:3" ht="12.75">
      <c r="A67" s="195"/>
      <c r="B67" s="195"/>
      <c r="C67" s="197"/>
    </row>
    <row r="68" spans="1:3" ht="12.75">
      <c r="A68" s="196" t="s">
        <v>233</v>
      </c>
      <c r="B68" s="196" t="s">
        <v>227</v>
      </c>
      <c r="C68" s="198" t="s">
        <v>228</v>
      </c>
    </row>
    <row r="69" spans="1:3" ht="12.75">
      <c r="A69" s="199" t="s">
        <v>67</v>
      </c>
      <c r="B69" s="200" t="s">
        <v>375</v>
      </c>
      <c r="C69" s="201">
        <v>534</v>
      </c>
    </row>
    <row r="70" spans="1:3" ht="12.75">
      <c r="A70" s="199" t="s">
        <v>79</v>
      </c>
      <c r="B70" s="200" t="s">
        <v>391</v>
      </c>
      <c r="C70" s="201">
        <v>1500</v>
      </c>
    </row>
    <row r="71" spans="1:3" ht="12.75">
      <c r="A71" s="199" t="s">
        <v>84</v>
      </c>
      <c r="B71" s="200" t="s">
        <v>376</v>
      </c>
      <c r="C71" s="201">
        <v>2261</v>
      </c>
    </row>
    <row r="72" spans="1:3" ht="12.75">
      <c r="A72" s="199" t="s">
        <v>84</v>
      </c>
      <c r="B72" s="200" t="s">
        <v>393</v>
      </c>
      <c r="C72" s="201">
        <v>300</v>
      </c>
    </row>
    <row r="73" spans="1:3" ht="12.75">
      <c r="A73" s="202" t="s">
        <v>87</v>
      </c>
      <c r="B73" s="45" t="s">
        <v>379</v>
      </c>
      <c r="C73" s="203">
        <v>3670</v>
      </c>
    </row>
    <row r="74" spans="1:3" ht="12.75">
      <c r="A74" s="202" t="s">
        <v>94</v>
      </c>
      <c r="B74" s="45" t="s">
        <v>377</v>
      </c>
      <c r="C74" s="203">
        <v>1500</v>
      </c>
    </row>
    <row r="75" spans="1:3" ht="12.75">
      <c r="A75" s="202" t="s">
        <v>111</v>
      </c>
      <c r="B75" s="45" t="s">
        <v>114</v>
      </c>
      <c r="C75" s="203">
        <v>-500</v>
      </c>
    </row>
    <row r="76" spans="1:3" ht="12.75">
      <c r="A76" s="202" t="s">
        <v>111</v>
      </c>
      <c r="B76" s="45" t="s">
        <v>394</v>
      </c>
      <c r="C76" s="203">
        <v>8846</v>
      </c>
    </row>
    <row r="77" spans="1:3" ht="12.75">
      <c r="A77" s="202" t="s">
        <v>111</v>
      </c>
      <c r="B77" s="45" t="s">
        <v>378</v>
      </c>
      <c r="C77" s="203">
        <f>200+450</f>
        <v>650</v>
      </c>
    </row>
    <row r="78" spans="1:3" ht="12.75">
      <c r="A78" s="202" t="s">
        <v>119</v>
      </c>
      <c r="B78" s="45" t="s">
        <v>390</v>
      </c>
      <c r="C78" s="203">
        <v>700</v>
      </c>
    </row>
    <row r="79" spans="1:3" ht="12.75">
      <c r="A79" s="202" t="s">
        <v>121</v>
      </c>
      <c r="B79" s="45" t="s">
        <v>380</v>
      </c>
      <c r="C79" s="203">
        <v>500</v>
      </c>
    </row>
    <row r="80" spans="1:3" ht="12.75">
      <c r="A80" s="506" t="s">
        <v>344</v>
      </c>
      <c r="B80" s="507"/>
      <c r="C80" s="399">
        <f>SUM(C69:C79)</f>
        <v>19961</v>
      </c>
    </row>
    <row r="81" spans="1:3" ht="12.75">
      <c r="A81" s="202" t="s">
        <v>230</v>
      </c>
      <c r="B81" s="45" t="s">
        <v>343</v>
      </c>
      <c r="C81" s="203">
        <v>0</v>
      </c>
    </row>
    <row r="82" spans="1:3" ht="13.5" thickBot="1">
      <c r="A82" s="396" t="s">
        <v>230</v>
      </c>
      <c r="B82" s="141" t="s">
        <v>346</v>
      </c>
      <c r="C82" s="397">
        <v>200</v>
      </c>
    </row>
    <row r="83" spans="1:3" ht="13.5" thickBot="1">
      <c r="A83" s="508" t="s">
        <v>345</v>
      </c>
      <c r="B83" s="509"/>
      <c r="C83" s="398">
        <f>SUM(C80:C82)</f>
        <v>20161</v>
      </c>
    </row>
    <row r="84" ht="12.75">
      <c r="C84" s="161">
        <f>C83-C63</f>
        <v>0</v>
      </c>
    </row>
    <row r="86" ht="12.75">
      <c r="A86" t="s">
        <v>216</v>
      </c>
    </row>
    <row r="89" spans="1:3" ht="18">
      <c r="A89" s="504" t="s">
        <v>398</v>
      </c>
      <c r="B89" s="504"/>
      <c r="C89" s="504"/>
    </row>
    <row r="90" spans="1:3" ht="12.75">
      <c r="A90" s="194"/>
      <c r="B90" s="194"/>
      <c r="C90" s="194"/>
    </row>
    <row r="91" spans="1:3" ht="12.75">
      <c r="A91" s="510" t="s">
        <v>232</v>
      </c>
      <c r="B91" s="510"/>
      <c r="C91" s="510"/>
    </row>
    <row r="92" ht="12.75">
      <c r="A92" s="195" t="s">
        <v>225</v>
      </c>
    </row>
    <row r="93" spans="1:3" ht="12.75">
      <c r="A93" s="196" t="s">
        <v>226</v>
      </c>
      <c r="B93" s="196" t="s">
        <v>227</v>
      </c>
      <c r="C93" s="196" t="s">
        <v>228</v>
      </c>
    </row>
    <row r="94" spans="1:3" ht="12.75">
      <c r="A94" s="428">
        <v>111</v>
      </c>
      <c r="B94" s="429" t="s">
        <v>422</v>
      </c>
      <c r="C94" s="453">
        <f>4000+22000</f>
        <v>26000</v>
      </c>
    </row>
    <row r="95" spans="1:3" ht="12.75">
      <c r="A95" s="428">
        <v>133</v>
      </c>
      <c r="B95" s="429" t="s">
        <v>417</v>
      </c>
      <c r="C95" s="453">
        <v>50</v>
      </c>
    </row>
    <row r="96" spans="1:3" ht="12.75">
      <c r="A96" s="428">
        <v>212</v>
      </c>
      <c r="B96" s="429" t="s">
        <v>426</v>
      </c>
      <c r="C96" s="453">
        <v>221</v>
      </c>
    </row>
    <row r="97" spans="1:3" ht="12.75">
      <c r="A97" s="428">
        <v>212</v>
      </c>
      <c r="B97" s="429" t="s">
        <v>404</v>
      </c>
      <c r="C97" s="448">
        <v>2000</v>
      </c>
    </row>
    <row r="98" spans="1:3" ht="12.75">
      <c r="A98" s="428">
        <v>212</v>
      </c>
      <c r="B98" s="429" t="s">
        <v>427</v>
      </c>
      <c r="C98" s="448">
        <v>50</v>
      </c>
    </row>
    <row r="99" spans="1:3" ht="12.75">
      <c r="A99" s="428">
        <v>221</v>
      </c>
      <c r="B99" s="429" t="s">
        <v>412</v>
      </c>
      <c r="C99" s="448">
        <f>400+500+500+100</f>
        <v>1500</v>
      </c>
    </row>
    <row r="100" spans="1:3" ht="12.75">
      <c r="A100" s="428">
        <v>223</v>
      </c>
      <c r="B100" s="429" t="s">
        <v>138</v>
      </c>
      <c r="C100" s="448">
        <v>1100</v>
      </c>
    </row>
    <row r="101" spans="1:3" ht="12.75">
      <c r="A101" s="428">
        <v>223</v>
      </c>
      <c r="B101" s="429" t="s">
        <v>392</v>
      </c>
      <c r="C101" s="448">
        <v>500</v>
      </c>
    </row>
    <row r="102" spans="1:3" ht="12.75">
      <c r="A102" s="428">
        <v>223</v>
      </c>
      <c r="B102" s="429" t="s">
        <v>428</v>
      </c>
      <c r="C102" s="448">
        <v>1400</v>
      </c>
    </row>
    <row r="103" spans="1:3" ht="12.75">
      <c r="A103" s="428">
        <v>233</v>
      </c>
      <c r="B103" s="429" t="s">
        <v>431</v>
      </c>
      <c r="C103" s="448">
        <v>1073</v>
      </c>
    </row>
    <row r="104" spans="1:3" ht="12.75">
      <c r="A104" s="12">
        <v>242</v>
      </c>
      <c r="B104" s="12" t="s">
        <v>399</v>
      </c>
      <c r="C104" s="186">
        <v>150</v>
      </c>
    </row>
    <row r="105" spans="1:3" ht="12.75">
      <c r="A105" s="437">
        <v>292</v>
      </c>
      <c r="B105" s="12" t="s">
        <v>418</v>
      </c>
      <c r="C105" s="186">
        <f>4000+200</f>
        <v>4200</v>
      </c>
    </row>
    <row r="106" spans="1:3" ht="12.75">
      <c r="A106" s="437">
        <v>312</v>
      </c>
      <c r="B106" s="12" t="s">
        <v>435</v>
      </c>
      <c r="C106" s="186">
        <v>-2</v>
      </c>
    </row>
    <row r="107" spans="1:3" ht="12.75">
      <c r="A107" s="455">
        <v>312</v>
      </c>
      <c r="B107" s="45" t="s">
        <v>430</v>
      </c>
      <c r="C107" s="203">
        <v>2431</v>
      </c>
    </row>
    <row r="108" spans="1:3" ht="12.75">
      <c r="A108" s="455">
        <v>513</v>
      </c>
      <c r="B108" s="45" t="s">
        <v>440</v>
      </c>
      <c r="C108" s="203">
        <v>-25423</v>
      </c>
    </row>
    <row r="109" spans="1:3" ht="12.75">
      <c r="A109" s="506" t="s">
        <v>344</v>
      </c>
      <c r="B109" s="507"/>
      <c r="C109" s="399">
        <f>SUM(C94:C108)</f>
        <v>15250</v>
      </c>
    </row>
    <row r="110" spans="1:3" ht="13.5" thickBot="1">
      <c r="A110" s="394" t="s">
        <v>230</v>
      </c>
      <c r="B110" s="141" t="s">
        <v>429</v>
      </c>
      <c r="C110" s="395">
        <v>500</v>
      </c>
    </row>
    <row r="111" spans="1:3" ht="13.5" thickBot="1">
      <c r="A111" s="508" t="s">
        <v>345</v>
      </c>
      <c r="B111" s="509"/>
      <c r="C111" s="398">
        <f>SUM(C109:C110)</f>
        <v>15750</v>
      </c>
    </row>
    <row r="112" spans="2:3" ht="12.75">
      <c r="B112" s="116"/>
      <c r="C112" s="161"/>
    </row>
    <row r="113" ht="12.75">
      <c r="C113" s="161"/>
    </row>
    <row r="114" spans="1:3" ht="12.75">
      <c r="A114" s="195" t="s">
        <v>229</v>
      </c>
      <c r="B114" s="195"/>
      <c r="C114" s="197"/>
    </row>
    <row r="115" spans="1:3" ht="12.75">
      <c r="A115" s="196" t="s">
        <v>233</v>
      </c>
      <c r="B115" s="196" t="s">
        <v>227</v>
      </c>
      <c r="C115" s="198" t="s">
        <v>228</v>
      </c>
    </row>
    <row r="116" spans="1:3" ht="12.75">
      <c r="A116" s="491" t="s">
        <v>89</v>
      </c>
      <c r="B116" s="45" t="s">
        <v>410</v>
      </c>
      <c r="C116" s="203">
        <v>3000</v>
      </c>
    </row>
    <row r="117" spans="1:3" ht="12.75">
      <c r="A117" s="491" t="s">
        <v>89</v>
      </c>
      <c r="B117" s="45" t="s">
        <v>420</v>
      </c>
      <c r="C117" s="203">
        <v>1500</v>
      </c>
    </row>
    <row r="118" spans="1:3" ht="12.75">
      <c r="A118" s="491" t="s">
        <v>94</v>
      </c>
      <c r="B118" s="45" t="s">
        <v>436</v>
      </c>
      <c r="C118" s="203">
        <f>700+400</f>
        <v>1100</v>
      </c>
    </row>
    <row r="119" spans="1:3" ht="12.75">
      <c r="A119" s="491" t="s">
        <v>96</v>
      </c>
      <c r="B119" s="45" t="s">
        <v>441</v>
      </c>
      <c r="C119" s="203">
        <v>100</v>
      </c>
    </row>
    <row r="120" spans="1:3" ht="12.75">
      <c r="A120" s="491" t="s">
        <v>102</v>
      </c>
      <c r="B120" s="45" t="s">
        <v>401</v>
      </c>
      <c r="C120" s="203">
        <v>920</v>
      </c>
    </row>
    <row r="121" spans="1:3" ht="12.75">
      <c r="A121" s="491" t="s">
        <v>109</v>
      </c>
      <c r="B121" s="45" t="s">
        <v>419</v>
      </c>
      <c r="C121" s="203">
        <v>370</v>
      </c>
    </row>
    <row r="122" spans="1:3" ht="12.75">
      <c r="A122" s="491" t="s">
        <v>111</v>
      </c>
      <c r="B122" s="45" t="s">
        <v>437</v>
      </c>
      <c r="C122" s="203">
        <v>150</v>
      </c>
    </row>
    <row r="123" spans="1:3" ht="12.75">
      <c r="A123" s="491" t="s">
        <v>111</v>
      </c>
      <c r="B123" s="45" t="s">
        <v>421</v>
      </c>
      <c r="C123" s="203">
        <v>2560</v>
      </c>
    </row>
    <row r="124" spans="1:3" ht="12.75">
      <c r="A124" s="491" t="s">
        <v>111</v>
      </c>
      <c r="B124" s="45" t="s">
        <v>402</v>
      </c>
      <c r="C124" s="203">
        <v>350</v>
      </c>
    </row>
    <row r="125" spans="1:3" ht="12.75">
      <c r="A125" s="491" t="s">
        <v>111</v>
      </c>
      <c r="B125" s="45" t="s">
        <v>442</v>
      </c>
      <c r="C125" s="203">
        <v>100</v>
      </c>
    </row>
    <row r="126" spans="1:3" ht="12.75">
      <c r="A126" s="491" t="s">
        <v>119</v>
      </c>
      <c r="B126" s="45" t="s">
        <v>438</v>
      </c>
      <c r="C126" s="203">
        <v>100</v>
      </c>
    </row>
    <row r="127" spans="1:3" ht="12.75">
      <c r="A127" s="491" t="s">
        <v>123</v>
      </c>
      <c r="B127" s="45" t="s">
        <v>403</v>
      </c>
      <c r="C127" s="203">
        <v>2000</v>
      </c>
    </row>
    <row r="128" spans="1:3" ht="12.75">
      <c r="A128" s="492" t="s">
        <v>130</v>
      </c>
      <c r="B128" s="45" t="s">
        <v>439</v>
      </c>
      <c r="C128" s="203">
        <f>1000+1000+600+200</f>
        <v>2800</v>
      </c>
    </row>
    <row r="129" spans="1:3" ht="12.75">
      <c r="A129" s="506" t="s">
        <v>344</v>
      </c>
      <c r="B129" s="507"/>
      <c r="C129" s="399">
        <f>SUM(C116:C128)</f>
        <v>15050</v>
      </c>
    </row>
    <row r="130" spans="1:3" ht="12.75">
      <c r="A130" s="202" t="s">
        <v>230</v>
      </c>
      <c r="B130" s="45" t="s">
        <v>343</v>
      </c>
      <c r="C130" s="203">
        <v>500</v>
      </c>
    </row>
    <row r="131" spans="1:3" ht="13.5" thickBot="1">
      <c r="A131" s="396" t="s">
        <v>230</v>
      </c>
      <c r="B131" s="141" t="s">
        <v>346</v>
      </c>
      <c r="C131" s="397">
        <v>200</v>
      </c>
    </row>
    <row r="132" spans="1:3" ht="13.5" thickBot="1">
      <c r="A132" s="508" t="s">
        <v>345</v>
      </c>
      <c r="B132" s="509"/>
      <c r="C132" s="398">
        <f>SUM(C129:C131)</f>
        <v>15750</v>
      </c>
    </row>
    <row r="133" ht="12.75">
      <c r="C133" s="161">
        <f>C132-C111</f>
        <v>0</v>
      </c>
    </row>
    <row r="135" ht="12.75">
      <c r="A135" t="s">
        <v>216</v>
      </c>
    </row>
    <row r="165" spans="1:3" ht="18">
      <c r="A165" s="504" t="s">
        <v>447</v>
      </c>
      <c r="B165" s="504"/>
      <c r="C165" s="504"/>
    </row>
    <row r="166" spans="1:3" ht="12.75">
      <c r="A166" s="194"/>
      <c r="B166" s="194"/>
      <c r="C166" s="194"/>
    </row>
    <row r="167" spans="1:3" ht="12.75">
      <c r="A167" s="510" t="s">
        <v>232</v>
      </c>
      <c r="B167" s="510"/>
      <c r="C167" s="510"/>
    </row>
    <row r="168" ht="12.75">
      <c r="A168" s="195" t="s">
        <v>225</v>
      </c>
    </row>
    <row r="169" spans="1:3" ht="12.75">
      <c r="A169" s="196" t="s">
        <v>226</v>
      </c>
      <c r="B169" s="196" t="s">
        <v>227</v>
      </c>
      <c r="C169" s="196" t="s">
        <v>228</v>
      </c>
    </row>
    <row r="170" spans="1:3" ht="12.75">
      <c r="A170" s="428">
        <v>111</v>
      </c>
      <c r="B170" s="429" t="s">
        <v>422</v>
      </c>
      <c r="C170" s="453">
        <v>6000</v>
      </c>
    </row>
    <row r="171" spans="1:3" ht="12.75">
      <c r="A171" s="428">
        <v>133</v>
      </c>
      <c r="B171" s="429" t="s">
        <v>448</v>
      </c>
      <c r="C171" s="453">
        <v>330</v>
      </c>
    </row>
    <row r="172" spans="1:3" ht="12.75">
      <c r="A172" s="428">
        <v>133</v>
      </c>
      <c r="B172" s="429" t="s">
        <v>452</v>
      </c>
      <c r="C172" s="453">
        <v>500</v>
      </c>
    </row>
    <row r="173" spans="1:3" ht="12.75">
      <c r="A173" s="428">
        <v>242</v>
      </c>
      <c r="B173" s="429" t="s">
        <v>399</v>
      </c>
      <c r="C173" s="453">
        <v>18</v>
      </c>
    </row>
    <row r="174" spans="1:3" ht="12.75">
      <c r="A174" s="428">
        <v>292</v>
      </c>
      <c r="B174" s="429" t="s">
        <v>456</v>
      </c>
      <c r="C174" s="448">
        <v>10</v>
      </c>
    </row>
    <row r="175" spans="1:3" ht="12.75">
      <c r="A175" s="490">
        <v>292</v>
      </c>
      <c r="B175" s="429" t="s">
        <v>459</v>
      </c>
      <c r="C175" s="448">
        <v>-2300</v>
      </c>
    </row>
    <row r="176" spans="1:3" ht="12.75">
      <c r="A176" s="490">
        <v>292</v>
      </c>
      <c r="B176" s="429" t="s">
        <v>457</v>
      </c>
      <c r="C176" s="448">
        <v>600</v>
      </c>
    </row>
    <row r="177" spans="1:3" ht="12.75">
      <c r="A177" s="490">
        <v>292</v>
      </c>
      <c r="B177" s="429" t="s">
        <v>458</v>
      </c>
      <c r="C177" s="448">
        <v>2800</v>
      </c>
    </row>
    <row r="178" spans="1:3" ht="12.75">
      <c r="A178" s="490">
        <v>312</v>
      </c>
      <c r="B178" s="429" t="s">
        <v>460</v>
      </c>
      <c r="C178" s="448">
        <v>1210</v>
      </c>
    </row>
    <row r="179" spans="1:3" ht="12.75">
      <c r="A179" s="455">
        <v>312</v>
      </c>
      <c r="B179" s="45" t="s">
        <v>450</v>
      </c>
      <c r="C179" s="203">
        <v>360</v>
      </c>
    </row>
    <row r="180" spans="1:3" ht="12.75">
      <c r="A180" s="490">
        <v>312</v>
      </c>
      <c r="B180" s="429" t="s">
        <v>461</v>
      </c>
      <c r="C180" s="448">
        <v>2432</v>
      </c>
    </row>
    <row r="181" spans="1:3" ht="12.75">
      <c r="A181" s="437">
        <v>312</v>
      </c>
      <c r="B181" s="12" t="s">
        <v>453</v>
      </c>
      <c r="C181" s="186">
        <v>-94</v>
      </c>
    </row>
    <row r="182" spans="1:3" ht="12.75">
      <c r="A182" s="455">
        <v>312</v>
      </c>
      <c r="B182" s="45" t="s">
        <v>462</v>
      </c>
      <c r="C182" s="203">
        <v>6786</v>
      </c>
    </row>
    <row r="183" spans="1:3" ht="12.75">
      <c r="A183" s="455">
        <v>513</v>
      </c>
      <c r="B183" s="45" t="s">
        <v>440</v>
      </c>
      <c r="C183" s="203">
        <v>-15366</v>
      </c>
    </row>
    <row r="184" spans="1:3" ht="12.75">
      <c r="A184" s="506" t="s">
        <v>344</v>
      </c>
      <c r="B184" s="507"/>
      <c r="C184" s="399">
        <f>SUM(C170:C183)</f>
        <v>3286</v>
      </c>
    </row>
    <row r="185" spans="1:3" ht="13.5" thickBot="1">
      <c r="A185" s="394" t="s">
        <v>230</v>
      </c>
      <c r="B185" s="141" t="s">
        <v>429</v>
      </c>
      <c r="C185" s="395">
        <v>3800</v>
      </c>
    </row>
    <row r="186" spans="1:3" ht="13.5" thickBot="1">
      <c r="A186" s="508" t="s">
        <v>345</v>
      </c>
      <c r="B186" s="509"/>
      <c r="C186" s="398">
        <f>SUM(C184:C185)</f>
        <v>7086</v>
      </c>
    </row>
    <row r="187" spans="2:3" ht="12.75">
      <c r="B187" s="116"/>
      <c r="C187" s="161"/>
    </row>
    <row r="188" ht="12.75">
      <c r="C188" s="161"/>
    </row>
    <row r="189" spans="1:3" ht="12.75">
      <c r="A189" s="195" t="s">
        <v>229</v>
      </c>
      <c r="B189" s="195"/>
      <c r="C189" s="197"/>
    </row>
    <row r="190" spans="1:3" ht="12.75">
      <c r="A190" s="196" t="s">
        <v>233</v>
      </c>
      <c r="B190" s="196" t="s">
        <v>227</v>
      </c>
      <c r="C190" s="198" t="s">
        <v>228</v>
      </c>
    </row>
    <row r="191" spans="1:3" ht="12.75">
      <c r="A191" s="491" t="s">
        <v>73</v>
      </c>
      <c r="B191" s="45" t="s">
        <v>451</v>
      </c>
      <c r="C191" s="203">
        <v>360</v>
      </c>
    </row>
    <row r="192" spans="1:3" ht="12.75">
      <c r="A192" s="491" t="s">
        <v>467</v>
      </c>
      <c r="B192" s="45" t="s">
        <v>471</v>
      </c>
      <c r="C192" s="203">
        <v>130</v>
      </c>
    </row>
    <row r="193" spans="1:3" ht="12.75">
      <c r="A193" s="491" t="s">
        <v>94</v>
      </c>
      <c r="B193" s="45" t="s">
        <v>474</v>
      </c>
      <c r="C193" s="203">
        <f>500-7500</f>
        <v>-7000</v>
      </c>
    </row>
    <row r="194" spans="1:3" ht="12.75">
      <c r="A194" s="491" t="s">
        <v>99</v>
      </c>
      <c r="B194" s="45" t="s">
        <v>466</v>
      </c>
      <c r="C194" s="203">
        <v>100</v>
      </c>
    </row>
    <row r="195" spans="1:3" ht="12.75">
      <c r="A195" s="491" t="s">
        <v>102</v>
      </c>
      <c r="B195" s="45" t="s">
        <v>280</v>
      </c>
      <c r="C195" s="203">
        <v>1000</v>
      </c>
    </row>
    <row r="196" spans="1:3" ht="12.75">
      <c r="A196" s="491" t="s">
        <v>111</v>
      </c>
      <c r="B196" s="45" t="s">
        <v>454</v>
      </c>
      <c r="C196" s="203">
        <v>400</v>
      </c>
    </row>
    <row r="197" spans="1:3" ht="12.75">
      <c r="A197" s="491" t="s">
        <v>123</v>
      </c>
      <c r="B197" s="45" t="s">
        <v>449</v>
      </c>
      <c r="C197" s="203">
        <f>300</f>
        <v>300</v>
      </c>
    </row>
    <row r="198" spans="1:3" ht="12.75">
      <c r="A198" s="506" t="s">
        <v>344</v>
      </c>
      <c r="B198" s="507"/>
      <c r="C198" s="399">
        <f>SUM(C191:C197)</f>
        <v>-4710</v>
      </c>
    </row>
    <row r="199" spans="1:3" ht="12.75">
      <c r="A199" s="202" t="s">
        <v>230</v>
      </c>
      <c r="B199" s="45" t="s">
        <v>343</v>
      </c>
      <c r="C199" s="203">
        <f>3800+6786+1210</f>
        <v>11796</v>
      </c>
    </row>
    <row r="200" spans="1:3" ht="13.5" thickBot="1">
      <c r="A200" s="396" t="s">
        <v>230</v>
      </c>
      <c r="B200" s="141" t="s">
        <v>346</v>
      </c>
      <c r="C200" s="397">
        <v>0</v>
      </c>
    </row>
    <row r="201" spans="1:3" ht="13.5" thickBot="1">
      <c r="A201" s="508" t="s">
        <v>345</v>
      </c>
      <c r="B201" s="509"/>
      <c r="C201" s="398">
        <f>SUM(C198:C200)</f>
        <v>7086</v>
      </c>
    </row>
    <row r="202" ht="12.75">
      <c r="C202" s="161">
        <f>C201-C186</f>
        <v>0</v>
      </c>
    </row>
    <row r="204" ht="12.75">
      <c r="A204" t="s">
        <v>216</v>
      </c>
    </row>
  </sheetData>
  <sheetProtection/>
  <mergeCells count="24">
    <mergeCell ref="A80:B80"/>
    <mergeCell ref="A83:B83"/>
    <mergeCell ref="A45:C45"/>
    <mergeCell ref="A47:C47"/>
    <mergeCell ref="A61:B61"/>
    <mergeCell ref="A63:B63"/>
    <mergeCell ref="A40:B40"/>
    <mergeCell ref="A1:C1"/>
    <mergeCell ref="A3:C3"/>
    <mergeCell ref="A22:B22"/>
    <mergeCell ref="A37:B37"/>
    <mergeCell ref="A25:B25"/>
    <mergeCell ref="A129:B129"/>
    <mergeCell ref="A132:B132"/>
    <mergeCell ref="A89:C89"/>
    <mergeCell ref="A91:C91"/>
    <mergeCell ref="A109:B109"/>
    <mergeCell ref="A111:B111"/>
    <mergeCell ref="A198:B198"/>
    <mergeCell ref="A201:B201"/>
    <mergeCell ref="A165:C165"/>
    <mergeCell ref="A167:C167"/>
    <mergeCell ref="A184:B184"/>
    <mergeCell ref="A186:B18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6.140625" style="0" customWidth="1"/>
    <col min="2" max="2" width="42.00390625" style="0" customWidth="1"/>
    <col min="3" max="3" width="11.421875" style="0" customWidth="1"/>
    <col min="4" max="4" width="11.140625" style="0" customWidth="1"/>
    <col min="5" max="7" width="11.421875" style="0" customWidth="1"/>
    <col min="8" max="8" width="11.140625" style="0" customWidth="1"/>
    <col min="9" max="9" width="6.8515625" style="0" customWidth="1"/>
  </cols>
  <sheetData>
    <row r="1" spans="1:8" ht="20.25">
      <c r="A1" s="514" t="s">
        <v>416</v>
      </c>
      <c r="B1" s="514"/>
      <c r="C1" s="514"/>
      <c r="D1" s="514"/>
      <c r="E1" s="514"/>
      <c r="F1" s="514"/>
      <c r="G1" s="514"/>
      <c r="H1" s="514"/>
    </row>
    <row r="2" spans="5:7" ht="13.5" thickBot="1">
      <c r="E2" s="420"/>
      <c r="F2" s="420"/>
      <c r="G2" s="420"/>
    </row>
    <row r="3" spans="1:8" ht="18.75" thickBot="1">
      <c r="A3" s="542" t="s">
        <v>2</v>
      </c>
      <c r="B3" s="543"/>
      <c r="C3" s="543"/>
      <c r="D3" s="543"/>
      <c r="E3" s="543"/>
      <c r="F3" s="543"/>
      <c r="G3" s="543"/>
      <c r="H3" s="544"/>
    </row>
    <row r="4" spans="1:8" ht="12.75" customHeight="1">
      <c r="A4" s="515" t="s">
        <v>3</v>
      </c>
      <c r="B4" s="516"/>
      <c r="C4" s="512" t="s">
        <v>4</v>
      </c>
      <c r="D4" s="512" t="s">
        <v>199</v>
      </c>
      <c r="E4" s="512" t="s">
        <v>361</v>
      </c>
      <c r="F4" s="512" t="s">
        <v>397</v>
      </c>
      <c r="G4" s="512" t="s">
        <v>446</v>
      </c>
      <c r="H4" s="537" t="s">
        <v>464</v>
      </c>
    </row>
    <row r="5" spans="1:8" ht="13.5" thickBot="1">
      <c r="A5" s="517"/>
      <c r="B5" s="518"/>
      <c r="C5" s="513"/>
      <c r="D5" s="513"/>
      <c r="E5" s="513"/>
      <c r="F5" s="513"/>
      <c r="G5" s="513"/>
      <c r="H5" s="538"/>
    </row>
    <row r="6" spans="1:9" ht="13.5" thickBot="1">
      <c r="A6" s="519" t="s">
        <v>7</v>
      </c>
      <c r="B6" s="520"/>
      <c r="C6" s="4">
        <f aca="true" t="shared" si="0" ref="C6:H6">SUM(C7:C13)</f>
        <v>696283</v>
      </c>
      <c r="D6" s="4">
        <f t="shared" si="0"/>
        <v>696203</v>
      </c>
      <c r="E6" s="4">
        <f t="shared" si="0"/>
        <v>696203</v>
      </c>
      <c r="F6" s="4">
        <f t="shared" si="0"/>
        <v>722253</v>
      </c>
      <c r="G6" s="4">
        <f t="shared" si="0"/>
        <v>729083</v>
      </c>
      <c r="H6" s="4">
        <f t="shared" si="0"/>
        <v>725601</v>
      </c>
      <c r="I6" s="422">
        <f>H6/G6</f>
        <v>0.9952241377182022</v>
      </c>
    </row>
    <row r="7" spans="1:9" ht="13.5" thickBot="1">
      <c r="A7" s="5">
        <v>111</v>
      </c>
      <c r="B7" s="6" t="s">
        <v>8</v>
      </c>
      <c r="C7" s="7">
        <v>644000</v>
      </c>
      <c r="D7" s="7">
        <v>644000</v>
      </c>
      <c r="E7" s="7">
        <v>644000</v>
      </c>
      <c r="F7" s="454">
        <v>670000</v>
      </c>
      <c r="G7" s="488">
        <v>676000</v>
      </c>
      <c r="H7" s="7">
        <v>676167</v>
      </c>
      <c r="I7" s="422">
        <f>H7/G7</f>
        <v>1.0002470414201183</v>
      </c>
    </row>
    <row r="8" spans="1:9" ht="13.5" thickBot="1">
      <c r="A8" s="24">
        <v>121</v>
      </c>
      <c r="B8" s="25" t="s">
        <v>425</v>
      </c>
      <c r="C8" s="27">
        <v>30273</v>
      </c>
      <c r="D8" s="27">
        <v>30273</v>
      </c>
      <c r="E8" s="27">
        <v>30273</v>
      </c>
      <c r="F8" s="27">
        <v>30273</v>
      </c>
      <c r="G8" s="27">
        <v>30273</v>
      </c>
      <c r="H8" s="27">
        <v>28104</v>
      </c>
      <c r="I8" s="422">
        <f aca="true" t="shared" si="1" ref="I8:I67">H8/G8</f>
        <v>0.9283519968288574</v>
      </c>
    </row>
    <row r="9" spans="1:9" ht="12.75">
      <c r="A9" s="8">
        <v>133</v>
      </c>
      <c r="B9" s="9" t="s">
        <v>12</v>
      </c>
      <c r="C9" s="10">
        <v>950</v>
      </c>
      <c r="D9" s="10">
        <v>950</v>
      </c>
      <c r="E9" s="10">
        <v>950</v>
      </c>
      <c r="F9" s="173">
        <v>1000</v>
      </c>
      <c r="G9" s="390">
        <v>1000</v>
      </c>
      <c r="H9" s="10">
        <v>962</v>
      </c>
      <c r="I9" s="422">
        <f t="shared" si="1"/>
        <v>0.962</v>
      </c>
    </row>
    <row r="10" spans="1:9" ht="12.75">
      <c r="A10" s="11">
        <v>133</v>
      </c>
      <c r="B10" s="12" t="s">
        <v>13</v>
      </c>
      <c r="C10" s="13">
        <v>360</v>
      </c>
      <c r="D10" s="162">
        <v>280</v>
      </c>
      <c r="E10" s="384">
        <v>280</v>
      </c>
      <c r="F10" s="384">
        <v>280</v>
      </c>
      <c r="G10" s="384">
        <v>280</v>
      </c>
      <c r="H10" s="384">
        <v>280</v>
      </c>
      <c r="I10" s="422">
        <f t="shared" si="1"/>
        <v>1</v>
      </c>
    </row>
    <row r="11" spans="1:9" ht="12.75">
      <c r="A11" s="11">
        <v>133</v>
      </c>
      <c r="B11" s="12" t="s">
        <v>14</v>
      </c>
      <c r="C11" s="13">
        <v>700</v>
      </c>
      <c r="D11" s="13">
        <v>700</v>
      </c>
      <c r="E11" s="13">
        <v>700</v>
      </c>
      <c r="F11" s="13">
        <v>700</v>
      </c>
      <c r="G11" s="485">
        <v>1030</v>
      </c>
      <c r="H11" s="13">
        <v>1026</v>
      </c>
      <c r="I11" s="422">
        <f t="shared" si="1"/>
        <v>0.996116504854369</v>
      </c>
    </row>
    <row r="12" spans="1:9" ht="12.75">
      <c r="A12" s="11">
        <v>133</v>
      </c>
      <c r="B12" s="12" t="s">
        <v>15</v>
      </c>
      <c r="C12" s="13">
        <v>5000</v>
      </c>
      <c r="D12" s="13">
        <v>5000</v>
      </c>
      <c r="E12" s="13">
        <v>5000</v>
      </c>
      <c r="F12" s="13">
        <v>5000</v>
      </c>
      <c r="G12" s="13">
        <v>5000</v>
      </c>
      <c r="H12" s="13">
        <v>3706</v>
      </c>
      <c r="I12" s="422">
        <f t="shared" si="1"/>
        <v>0.7412</v>
      </c>
    </row>
    <row r="13" spans="1:9" ht="13.5" thickBot="1">
      <c r="A13" s="14">
        <v>133</v>
      </c>
      <c r="B13" s="15" t="s">
        <v>16</v>
      </c>
      <c r="C13" s="17">
        <v>15000</v>
      </c>
      <c r="D13" s="16">
        <v>15000</v>
      </c>
      <c r="E13" s="16">
        <v>15000</v>
      </c>
      <c r="F13" s="16">
        <v>15000</v>
      </c>
      <c r="G13" s="486">
        <v>15500</v>
      </c>
      <c r="H13" s="16">
        <v>15356</v>
      </c>
      <c r="I13" s="422">
        <f t="shared" si="1"/>
        <v>0.9907096774193548</v>
      </c>
    </row>
    <row r="14" spans="1:9" ht="13.5" thickBot="1">
      <c r="A14" s="519" t="s">
        <v>17</v>
      </c>
      <c r="B14" s="520"/>
      <c r="C14" s="4">
        <f aca="true" t="shared" si="2" ref="C14:H14">SUM(C15:C31)</f>
        <v>142437</v>
      </c>
      <c r="D14" s="4">
        <f t="shared" si="2"/>
        <v>143137</v>
      </c>
      <c r="E14" s="4">
        <f t="shared" si="2"/>
        <v>152383</v>
      </c>
      <c r="F14" s="4">
        <f t="shared" si="2"/>
        <v>159154</v>
      </c>
      <c r="G14" s="4">
        <f t="shared" si="2"/>
        <v>159154</v>
      </c>
      <c r="H14" s="4">
        <f t="shared" si="2"/>
        <v>100124</v>
      </c>
      <c r="I14" s="422">
        <f t="shared" si="1"/>
        <v>0.6291013735124471</v>
      </c>
    </row>
    <row r="15" spans="1:9" ht="12.75">
      <c r="A15" s="18">
        <v>212</v>
      </c>
      <c r="B15" s="19" t="s">
        <v>18</v>
      </c>
      <c r="C15" s="20">
        <v>490</v>
      </c>
      <c r="D15" s="20">
        <v>490</v>
      </c>
      <c r="E15" s="20">
        <v>490</v>
      </c>
      <c r="F15" s="20">
        <v>490</v>
      </c>
      <c r="G15" s="20">
        <v>490</v>
      </c>
      <c r="H15" s="20">
        <v>490</v>
      </c>
      <c r="I15" s="422">
        <f t="shared" si="1"/>
        <v>1</v>
      </c>
    </row>
    <row r="16" spans="1:9" ht="12.75">
      <c r="A16" s="8">
        <v>212</v>
      </c>
      <c r="B16" s="9" t="s">
        <v>19</v>
      </c>
      <c r="C16" s="10">
        <v>200</v>
      </c>
      <c r="D16" s="10">
        <v>200</v>
      </c>
      <c r="E16" s="10">
        <v>200</v>
      </c>
      <c r="F16" s="10">
        <v>200</v>
      </c>
      <c r="G16" s="390">
        <v>200</v>
      </c>
      <c r="H16" s="10">
        <v>166</v>
      </c>
      <c r="I16" s="422">
        <f t="shared" si="1"/>
        <v>0.83</v>
      </c>
    </row>
    <row r="17" spans="1:10" ht="12.75">
      <c r="A17" s="11">
        <v>212</v>
      </c>
      <c r="B17" s="12" t="s">
        <v>20</v>
      </c>
      <c r="C17" s="13">
        <v>3809</v>
      </c>
      <c r="D17" s="13">
        <v>3809</v>
      </c>
      <c r="E17" s="13">
        <v>3809</v>
      </c>
      <c r="F17" s="162">
        <f>3809+221</f>
        <v>4030</v>
      </c>
      <c r="G17" s="384">
        <f>3809+221</f>
        <v>4030</v>
      </c>
      <c r="H17" s="13">
        <v>3977</v>
      </c>
      <c r="I17" s="422">
        <f t="shared" si="1"/>
        <v>0.986848635235732</v>
      </c>
      <c r="J17" s="161"/>
    </row>
    <row r="18" spans="1:10" ht="12.75">
      <c r="A18" s="11">
        <v>212</v>
      </c>
      <c r="B18" s="12" t="s">
        <v>432</v>
      </c>
      <c r="C18" s="13">
        <v>12590</v>
      </c>
      <c r="D18" s="13">
        <v>12590</v>
      </c>
      <c r="E18" s="13">
        <v>12590</v>
      </c>
      <c r="F18" s="162">
        <f>12590+1900</f>
        <v>14490</v>
      </c>
      <c r="G18" s="384">
        <f>12590+1900</f>
        <v>14490</v>
      </c>
      <c r="H18" s="13">
        <v>12657</v>
      </c>
      <c r="I18" s="422">
        <f t="shared" si="1"/>
        <v>0.8734989648033127</v>
      </c>
      <c r="J18" s="161"/>
    </row>
    <row r="19" spans="1:11" ht="13.5" thickBot="1">
      <c r="A19" s="21">
        <v>212</v>
      </c>
      <c r="B19" s="22" t="s">
        <v>434</v>
      </c>
      <c r="C19" s="23">
        <v>20</v>
      </c>
      <c r="D19" s="23">
        <v>20</v>
      </c>
      <c r="E19" s="23">
        <v>20</v>
      </c>
      <c r="F19" s="436">
        <v>170</v>
      </c>
      <c r="G19" s="482">
        <v>170</v>
      </c>
      <c r="H19" s="23">
        <v>170</v>
      </c>
      <c r="I19" s="422">
        <f t="shared" si="1"/>
        <v>1</v>
      </c>
      <c r="J19" s="161">
        <f>SUM(H15:H19)</f>
        <v>17460</v>
      </c>
      <c r="K19" s="161"/>
    </row>
    <row r="20" spans="1:10" ht="13.5" thickBot="1">
      <c r="A20" s="24">
        <v>221</v>
      </c>
      <c r="B20" s="25" t="s">
        <v>23</v>
      </c>
      <c r="C20" s="26">
        <v>9200</v>
      </c>
      <c r="D20" s="27">
        <v>9200</v>
      </c>
      <c r="E20" s="27">
        <v>9200</v>
      </c>
      <c r="F20" s="385">
        <f>9200+700+700+100</f>
        <v>10700</v>
      </c>
      <c r="G20" s="495">
        <v>10700</v>
      </c>
      <c r="H20" s="27">
        <v>10504</v>
      </c>
      <c r="I20" s="422">
        <f t="shared" si="1"/>
        <v>0.9816822429906542</v>
      </c>
      <c r="J20" s="487" t="s">
        <v>465</v>
      </c>
    </row>
    <row r="21" spans="1:9" ht="13.5" thickBot="1">
      <c r="A21" s="24">
        <v>222</v>
      </c>
      <c r="B21" s="25" t="s">
        <v>24</v>
      </c>
      <c r="C21" s="27">
        <v>100</v>
      </c>
      <c r="D21" s="385">
        <v>700</v>
      </c>
      <c r="E21" s="423">
        <v>700</v>
      </c>
      <c r="F21" s="423">
        <v>700</v>
      </c>
      <c r="G21" s="423">
        <v>700</v>
      </c>
      <c r="H21" s="27">
        <v>500</v>
      </c>
      <c r="I21" s="422">
        <f t="shared" si="1"/>
        <v>0.7142857142857143</v>
      </c>
    </row>
    <row r="22" spans="1:9" ht="12.75">
      <c r="A22" s="8">
        <v>223</v>
      </c>
      <c r="B22" s="9" t="s">
        <v>25</v>
      </c>
      <c r="C22" s="10">
        <v>800</v>
      </c>
      <c r="D22" s="173">
        <v>900</v>
      </c>
      <c r="E22" s="390">
        <v>900</v>
      </c>
      <c r="F22" s="390">
        <v>900</v>
      </c>
      <c r="G22" s="390">
        <v>900</v>
      </c>
      <c r="H22" s="10">
        <v>703</v>
      </c>
      <c r="I22" s="422">
        <f t="shared" si="1"/>
        <v>0.7811111111111111</v>
      </c>
    </row>
    <row r="23" spans="1:9" ht="12.75">
      <c r="A23" s="11">
        <v>223</v>
      </c>
      <c r="B23" s="12" t="s">
        <v>26</v>
      </c>
      <c r="C23" s="13">
        <v>10000</v>
      </c>
      <c r="D23" s="13">
        <v>10000</v>
      </c>
      <c r="E23" s="384">
        <v>10000</v>
      </c>
      <c r="F23" s="162">
        <v>11100</v>
      </c>
      <c r="G23" s="384">
        <v>11100</v>
      </c>
      <c r="H23" s="13">
        <v>10715</v>
      </c>
      <c r="I23" s="422">
        <f t="shared" si="1"/>
        <v>0.9653153153153153</v>
      </c>
    </row>
    <row r="24" spans="1:9" ht="12.75">
      <c r="A24" s="11">
        <v>223</v>
      </c>
      <c r="B24" s="12" t="s">
        <v>27</v>
      </c>
      <c r="C24" s="13">
        <v>12000</v>
      </c>
      <c r="D24" s="13">
        <v>12000</v>
      </c>
      <c r="E24" s="162">
        <f>12000+400+8846</f>
        <v>21246</v>
      </c>
      <c r="F24" s="484">
        <f>12000+400+8846+500</f>
        <v>21746</v>
      </c>
      <c r="G24" s="384">
        <f>12000+400+8846+500</f>
        <v>21746</v>
      </c>
      <c r="H24" s="13">
        <v>21371</v>
      </c>
      <c r="I24" s="422">
        <f t="shared" si="1"/>
        <v>0.9827554492780282</v>
      </c>
    </row>
    <row r="25" spans="1:9" ht="12.75">
      <c r="A25" s="11">
        <v>223</v>
      </c>
      <c r="B25" s="12" t="s">
        <v>28</v>
      </c>
      <c r="C25" s="13">
        <v>1200</v>
      </c>
      <c r="D25" s="13">
        <v>1200</v>
      </c>
      <c r="E25" s="13">
        <v>1200</v>
      </c>
      <c r="F25" s="13">
        <v>1200</v>
      </c>
      <c r="G25" s="384">
        <v>1200</v>
      </c>
      <c r="H25" s="13">
        <v>62</v>
      </c>
      <c r="I25" s="422">
        <f t="shared" si="1"/>
        <v>0.051666666666666666</v>
      </c>
    </row>
    <row r="26" spans="1:10" ht="12.75">
      <c r="A26" s="11">
        <v>223</v>
      </c>
      <c r="B26" s="12" t="s">
        <v>29</v>
      </c>
      <c r="C26" s="13">
        <v>650</v>
      </c>
      <c r="D26" s="13">
        <v>650</v>
      </c>
      <c r="E26" s="13">
        <v>650</v>
      </c>
      <c r="F26" s="13">
        <v>650</v>
      </c>
      <c r="G26" s="384">
        <v>650</v>
      </c>
      <c r="H26" s="13">
        <v>564</v>
      </c>
      <c r="I26" s="422">
        <f t="shared" si="1"/>
        <v>0.8676923076923077</v>
      </c>
      <c r="J26" t="s">
        <v>465</v>
      </c>
    </row>
    <row r="27" spans="1:9" ht="12.75">
      <c r="A27" s="11">
        <v>223</v>
      </c>
      <c r="B27" s="12" t="s">
        <v>30</v>
      </c>
      <c r="C27" s="13">
        <v>60000</v>
      </c>
      <c r="D27" s="13">
        <v>60000</v>
      </c>
      <c r="E27" s="13">
        <v>60000</v>
      </c>
      <c r="F27" s="13">
        <v>60000</v>
      </c>
      <c r="G27" s="384">
        <v>60000</v>
      </c>
      <c r="H27" s="13">
        <v>11042</v>
      </c>
      <c r="I27" s="422">
        <f t="shared" si="1"/>
        <v>0.18403333333333333</v>
      </c>
    </row>
    <row r="28" spans="1:10" ht="12.75">
      <c r="A28" s="11">
        <v>223</v>
      </c>
      <c r="B28" s="12" t="s">
        <v>31</v>
      </c>
      <c r="C28" s="13">
        <v>22778</v>
      </c>
      <c r="D28" s="13">
        <v>22778</v>
      </c>
      <c r="E28" s="13">
        <v>22778</v>
      </c>
      <c r="F28" s="13">
        <v>22778</v>
      </c>
      <c r="G28" s="384">
        <v>22778</v>
      </c>
      <c r="H28" s="13">
        <v>18194</v>
      </c>
      <c r="I28" s="422">
        <f t="shared" si="1"/>
        <v>0.7987531828957767</v>
      </c>
      <c r="J28" t="s">
        <v>465</v>
      </c>
    </row>
    <row r="29" spans="1:10" ht="12.75">
      <c r="A29" s="11">
        <v>223</v>
      </c>
      <c r="B29" s="12" t="s">
        <v>32</v>
      </c>
      <c r="C29" s="28">
        <v>7500</v>
      </c>
      <c r="D29" s="13">
        <v>7500</v>
      </c>
      <c r="E29" s="13">
        <v>7500</v>
      </c>
      <c r="F29" s="162">
        <f>7500+1400</f>
        <v>8900</v>
      </c>
      <c r="G29" s="384">
        <f>7500+1400</f>
        <v>8900</v>
      </c>
      <c r="H29" s="13">
        <v>8056</v>
      </c>
      <c r="I29" s="422">
        <f t="shared" si="1"/>
        <v>0.9051685393258427</v>
      </c>
      <c r="J29" s="161"/>
    </row>
    <row r="30" spans="1:10" ht="12.75">
      <c r="A30" s="11">
        <v>223</v>
      </c>
      <c r="B30" s="12" t="s">
        <v>33</v>
      </c>
      <c r="C30" s="13">
        <v>1000</v>
      </c>
      <c r="D30" s="13">
        <v>1000</v>
      </c>
      <c r="E30" s="13">
        <v>1000</v>
      </c>
      <c r="F30" s="13">
        <v>1000</v>
      </c>
      <c r="G30" s="384">
        <v>1000</v>
      </c>
      <c r="H30" s="13">
        <v>888</v>
      </c>
      <c r="I30" s="422">
        <f t="shared" si="1"/>
        <v>0.888</v>
      </c>
      <c r="J30" s="161"/>
    </row>
    <row r="31" spans="1:11" ht="13.5" thickBot="1">
      <c r="A31" s="14">
        <v>223</v>
      </c>
      <c r="B31" s="15" t="s">
        <v>35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65</v>
      </c>
      <c r="I31" s="422">
        <f t="shared" si="1"/>
        <v>0.65</v>
      </c>
      <c r="J31" s="161">
        <f>SUM(H22:H31)</f>
        <v>71660</v>
      </c>
      <c r="K31" s="161">
        <f>H20+H21+J31</f>
        <v>82664</v>
      </c>
    </row>
    <row r="32" spans="1:9" ht="13.5" thickBot="1">
      <c r="A32" s="519" t="s">
        <v>36</v>
      </c>
      <c r="B32" s="520"/>
      <c r="C32" s="4">
        <f aca="true" t="shared" si="3" ref="C32:H32">SUM(C33)</f>
        <v>344</v>
      </c>
      <c r="D32" s="4">
        <f t="shared" si="3"/>
        <v>344</v>
      </c>
      <c r="E32" s="4">
        <f t="shared" si="3"/>
        <v>344</v>
      </c>
      <c r="F32" s="4">
        <f t="shared" si="3"/>
        <v>494</v>
      </c>
      <c r="G32" s="4">
        <f t="shared" si="3"/>
        <v>512</v>
      </c>
      <c r="H32" s="4">
        <f t="shared" si="3"/>
        <v>512</v>
      </c>
      <c r="I32" s="422">
        <f t="shared" si="1"/>
        <v>1</v>
      </c>
    </row>
    <row r="33" spans="1:10" ht="13.5" thickBot="1">
      <c r="A33" s="29">
        <v>240</v>
      </c>
      <c r="B33" s="22" t="s">
        <v>37</v>
      </c>
      <c r="C33" s="23">
        <v>344</v>
      </c>
      <c r="D33" s="23">
        <v>344</v>
      </c>
      <c r="E33" s="23">
        <v>344</v>
      </c>
      <c r="F33" s="436">
        <f>344+50+100</f>
        <v>494</v>
      </c>
      <c r="G33" s="436">
        <v>512</v>
      </c>
      <c r="H33" s="23">
        <v>512</v>
      </c>
      <c r="I33" s="422">
        <f t="shared" si="1"/>
        <v>1</v>
      </c>
      <c r="J33" s="161"/>
    </row>
    <row r="34" spans="1:9" ht="13.5" thickBot="1">
      <c r="A34" s="519" t="s">
        <v>38</v>
      </c>
      <c r="B34" s="520"/>
      <c r="C34" s="4">
        <f aca="true" t="shared" si="4" ref="C34:H34">SUM(C35:C46)</f>
        <v>26100</v>
      </c>
      <c r="D34" s="4">
        <f t="shared" si="4"/>
        <v>32598</v>
      </c>
      <c r="E34" s="4">
        <f t="shared" si="4"/>
        <v>34301</v>
      </c>
      <c r="F34" s="4">
        <f t="shared" si="4"/>
        <v>38501</v>
      </c>
      <c r="G34" s="4">
        <f t="shared" si="4"/>
        <v>39611</v>
      </c>
      <c r="H34" s="4">
        <f t="shared" si="4"/>
        <v>37773.16</v>
      </c>
      <c r="I34" s="422">
        <f t="shared" si="1"/>
        <v>0.9536027871045922</v>
      </c>
    </row>
    <row r="35" spans="1:9" ht="12.75">
      <c r="A35" s="30">
        <v>292</v>
      </c>
      <c r="B35" s="31" t="s">
        <v>389</v>
      </c>
      <c r="C35" s="32">
        <v>0</v>
      </c>
      <c r="D35" s="32">
        <v>0</v>
      </c>
      <c r="E35" s="430">
        <v>200</v>
      </c>
      <c r="F35" s="32">
        <v>200</v>
      </c>
      <c r="G35" s="32">
        <v>200</v>
      </c>
      <c r="H35" s="32">
        <v>159</v>
      </c>
      <c r="I35" s="422">
        <f t="shared" si="1"/>
        <v>0.795</v>
      </c>
    </row>
    <row r="36" spans="1:9" ht="12.75">
      <c r="A36" s="30">
        <v>292</v>
      </c>
      <c r="B36" s="31" t="s">
        <v>39</v>
      </c>
      <c r="C36" s="32">
        <v>100</v>
      </c>
      <c r="D36" s="32">
        <v>100</v>
      </c>
      <c r="E36" s="32">
        <v>100</v>
      </c>
      <c r="F36" s="32">
        <v>100</v>
      </c>
      <c r="G36" s="430">
        <v>110</v>
      </c>
      <c r="H36" s="32">
        <v>108</v>
      </c>
      <c r="I36" s="422">
        <f t="shared" si="1"/>
        <v>0.9818181818181818</v>
      </c>
    </row>
    <row r="37" spans="1:9" ht="12.75">
      <c r="A37" s="33">
        <v>292</v>
      </c>
      <c r="B37" s="34" t="s">
        <v>40</v>
      </c>
      <c r="C37" s="35">
        <v>0</v>
      </c>
      <c r="D37" s="163">
        <f>3595+385+512+565</f>
        <v>5057</v>
      </c>
      <c r="E37" s="163">
        <v>5060</v>
      </c>
      <c r="F37" s="35">
        <v>5060</v>
      </c>
      <c r="G37" s="35">
        <v>5060</v>
      </c>
      <c r="H37" s="35">
        <f>3595+385+512+565+1.61</f>
        <v>5058.61</v>
      </c>
      <c r="I37" s="422">
        <f t="shared" si="1"/>
        <v>0.9997252964426877</v>
      </c>
    </row>
    <row r="38" spans="1:9" ht="12.75">
      <c r="A38" s="33">
        <v>292</v>
      </c>
      <c r="B38" s="12" t="s">
        <v>362</v>
      </c>
      <c r="C38" s="36">
        <v>160</v>
      </c>
      <c r="D38" s="36">
        <v>160</v>
      </c>
      <c r="E38" s="435">
        <v>160</v>
      </c>
      <c r="F38" s="435">
        <v>160</v>
      </c>
      <c r="G38" s="435">
        <v>160</v>
      </c>
      <c r="H38" s="36">
        <v>160</v>
      </c>
      <c r="I38" s="422">
        <f t="shared" si="1"/>
        <v>1</v>
      </c>
    </row>
    <row r="39" spans="1:10" ht="12.75">
      <c r="A39" s="33">
        <v>292</v>
      </c>
      <c r="B39" s="34" t="s">
        <v>322</v>
      </c>
      <c r="C39" s="35">
        <v>3500</v>
      </c>
      <c r="D39" s="35">
        <v>3500</v>
      </c>
      <c r="E39" s="35">
        <v>3500</v>
      </c>
      <c r="F39" s="35">
        <v>3500</v>
      </c>
      <c r="G39" s="163">
        <f>3500-2300</f>
        <v>1200</v>
      </c>
      <c r="H39" s="35">
        <v>1186</v>
      </c>
      <c r="I39" s="422">
        <f t="shared" si="1"/>
        <v>0.9883333333333333</v>
      </c>
      <c r="J39" t="s">
        <v>465</v>
      </c>
    </row>
    <row r="40" spans="1:9" ht="12.75">
      <c r="A40" s="33">
        <v>292</v>
      </c>
      <c r="B40" s="34" t="s">
        <v>43</v>
      </c>
      <c r="C40" s="35">
        <v>200</v>
      </c>
      <c r="D40" s="35">
        <v>200</v>
      </c>
      <c r="E40" s="163">
        <v>400</v>
      </c>
      <c r="F40" s="35">
        <v>400</v>
      </c>
      <c r="G40" s="35">
        <v>400</v>
      </c>
      <c r="H40" s="35">
        <v>199</v>
      </c>
      <c r="I40" s="422">
        <f t="shared" si="1"/>
        <v>0.4975</v>
      </c>
    </row>
    <row r="41" spans="1:9" ht="12.75">
      <c r="A41" s="400">
        <v>292</v>
      </c>
      <c r="B41" s="401" t="s">
        <v>347</v>
      </c>
      <c r="C41" s="402">
        <v>0</v>
      </c>
      <c r="D41" s="403">
        <v>1441</v>
      </c>
      <c r="E41" s="402">
        <v>1441</v>
      </c>
      <c r="F41" s="402">
        <v>1441</v>
      </c>
      <c r="G41" s="402">
        <v>1441</v>
      </c>
      <c r="H41" s="402">
        <v>1441</v>
      </c>
      <c r="I41" s="422">
        <f t="shared" si="1"/>
        <v>1</v>
      </c>
    </row>
    <row r="42" spans="1:9" ht="12.75">
      <c r="A42" s="33">
        <v>292</v>
      </c>
      <c r="B42" s="12" t="s">
        <v>45</v>
      </c>
      <c r="C42" s="36">
        <v>5540</v>
      </c>
      <c r="D42" s="36">
        <v>5540</v>
      </c>
      <c r="E42" s="431">
        <f>5540+1300</f>
        <v>6840</v>
      </c>
      <c r="F42" s="431">
        <f>5540+1300+200</f>
        <v>7040</v>
      </c>
      <c r="G42" s="435">
        <f>5540+1300+200</f>
        <v>7040</v>
      </c>
      <c r="H42" s="36">
        <v>6279</v>
      </c>
      <c r="I42" s="422">
        <f t="shared" si="1"/>
        <v>0.891903409090909</v>
      </c>
    </row>
    <row r="43" spans="1:9" ht="12.75">
      <c r="A43" s="33">
        <v>292</v>
      </c>
      <c r="B43" s="12" t="s">
        <v>46</v>
      </c>
      <c r="C43" s="36">
        <v>2000</v>
      </c>
      <c r="D43" s="36">
        <v>2000</v>
      </c>
      <c r="E43" s="36">
        <v>2000</v>
      </c>
      <c r="F43" s="431">
        <f>2000+1000+3000</f>
        <v>6000</v>
      </c>
      <c r="G43" s="435">
        <f>2000+1000+3000</f>
        <v>6000</v>
      </c>
      <c r="H43" s="36">
        <f>116.55+5202</f>
        <v>5318.55</v>
      </c>
      <c r="I43" s="422">
        <f t="shared" si="1"/>
        <v>0.886425</v>
      </c>
    </row>
    <row r="44" spans="1:9" ht="12.75">
      <c r="A44" s="33">
        <v>292</v>
      </c>
      <c r="B44" s="12" t="s">
        <v>47</v>
      </c>
      <c r="C44" s="36">
        <v>100</v>
      </c>
      <c r="D44" s="36">
        <v>100</v>
      </c>
      <c r="E44" s="36">
        <v>100</v>
      </c>
      <c r="F44" s="36">
        <v>100</v>
      </c>
      <c r="G44" s="435">
        <v>100</v>
      </c>
      <c r="H44" s="36">
        <v>90</v>
      </c>
      <c r="I44" s="422">
        <f t="shared" si="1"/>
        <v>0.9</v>
      </c>
    </row>
    <row r="45" spans="1:9" ht="12.75">
      <c r="A45" s="11">
        <v>292</v>
      </c>
      <c r="B45" s="12" t="s">
        <v>321</v>
      </c>
      <c r="C45" s="13">
        <v>12000</v>
      </c>
      <c r="D45" s="13">
        <v>12000</v>
      </c>
      <c r="E45" s="13">
        <v>12000</v>
      </c>
      <c r="F45" s="13">
        <v>12000</v>
      </c>
      <c r="G45" s="162">
        <v>12600</v>
      </c>
      <c r="H45" s="13">
        <v>12512</v>
      </c>
      <c r="I45" s="422">
        <f t="shared" si="1"/>
        <v>0.993015873015873</v>
      </c>
    </row>
    <row r="46" spans="1:9" ht="13.5" thickBot="1">
      <c r="A46" s="33">
        <v>292</v>
      </c>
      <c r="B46" s="34" t="s">
        <v>323</v>
      </c>
      <c r="C46" s="35">
        <v>2500</v>
      </c>
      <c r="D46" s="35">
        <v>2500</v>
      </c>
      <c r="E46" s="35">
        <v>2500</v>
      </c>
      <c r="F46" s="35">
        <v>2500</v>
      </c>
      <c r="G46" s="163">
        <f>2500+2800</f>
        <v>5300</v>
      </c>
      <c r="H46" s="35">
        <v>5262</v>
      </c>
      <c r="I46" s="422">
        <f t="shared" si="1"/>
        <v>0.9928301886792453</v>
      </c>
    </row>
    <row r="47" spans="1:9" ht="13.5" thickBot="1">
      <c r="A47" s="39" t="s">
        <v>49</v>
      </c>
      <c r="B47" s="40"/>
      <c r="C47" s="41">
        <f aca="true" t="shared" si="5" ref="C47:H47">SUM(C48:C64)</f>
        <v>400700</v>
      </c>
      <c r="D47" s="41">
        <f t="shared" si="5"/>
        <v>484475</v>
      </c>
      <c r="E47" s="41">
        <f t="shared" si="5"/>
        <v>491426</v>
      </c>
      <c r="F47" s="41">
        <f t="shared" si="5"/>
        <v>493855</v>
      </c>
      <c r="G47" s="41">
        <f t="shared" si="5"/>
        <v>504549</v>
      </c>
      <c r="H47" s="41">
        <f t="shared" si="5"/>
        <v>464603</v>
      </c>
      <c r="I47" s="422">
        <f t="shared" si="1"/>
        <v>0.9208283040893946</v>
      </c>
    </row>
    <row r="48" spans="1:9" ht="12.75">
      <c r="A48" s="42">
        <v>311</v>
      </c>
      <c r="B48" s="9" t="s">
        <v>50</v>
      </c>
      <c r="C48" s="10">
        <v>0</v>
      </c>
      <c r="D48" s="10">
        <v>0</v>
      </c>
      <c r="E48" s="173">
        <v>150</v>
      </c>
      <c r="F48" s="390">
        <v>150</v>
      </c>
      <c r="G48" s="390">
        <v>150</v>
      </c>
      <c r="H48" s="10">
        <v>150</v>
      </c>
      <c r="I48" s="422">
        <f t="shared" si="1"/>
        <v>1</v>
      </c>
    </row>
    <row r="49" spans="1:9" ht="12.75">
      <c r="A49" s="404">
        <v>312</v>
      </c>
      <c r="B49" s="405" t="s">
        <v>51</v>
      </c>
      <c r="C49" s="406">
        <v>15600</v>
      </c>
      <c r="D49" s="406">
        <v>15600</v>
      </c>
      <c r="E49" s="406">
        <v>15600</v>
      </c>
      <c r="F49" s="406">
        <v>15600</v>
      </c>
      <c r="G49" s="496">
        <f>15600+1210</f>
        <v>16810</v>
      </c>
      <c r="H49" s="406">
        <v>16805</v>
      </c>
      <c r="I49" s="422">
        <f t="shared" si="1"/>
        <v>0.9997025580011898</v>
      </c>
    </row>
    <row r="50" spans="1:9" ht="12.75">
      <c r="A50" s="44">
        <v>312</v>
      </c>
      <c r="B50" s="12" t="s">
        <v>61</v>
      </c>
      <c r="C50" s="50">
        <v>3000</v>
      </c>
      <c r="D50" s="50">
        <v>3000</v>
      </c>
      <c r="E50" s="50">
        <v>3000</v>
      </c>
      <c r="F50" s="50">
        <v>3000</v>
      </c>
      <c r="G50" s="483">
        <v>3360</v>
      </c>
      <c r="H50" s="50">
        <v>3246</v>
      </c>
      <c r="I50" s="422">
        <f t="shared" si="1"/>
        <v>0.9660714285714286</v>
      </c>
    </row>
    <row r="51" spans="1:9" ht="12.75">
      <c r="A51" s="165">
        <v>312</v>
      </c>
      <c r="B51" s="166" t="s">
        <v>364</v>
      </c>
      <c r="C51" s="167">
        <v>0</v>
      </c>
      <c r="D51" s="168">
        <v>2431</v>
      </c>
      <c r="E51" s="168">
        <f>2431+2431</f>
        <v>4862</v>
      </c>
      <c r="F51" s="168">
        <f>2431+2431+2431</f>
        <v>7293</v>
      </c>
      <c r="G51" s="168">
        <f>2431+2431+2431+2432</f>
        <v>9725</v>
      </c>
      <c r="H51" s="167">
        <f>3*2431+2432</f>
        <v>9725</v>
      </c>
      <c r="I51" s="422">
        <f t="shared" si="1"/>
        <v>1</v>
      </c>
    </row>
    <row r="52" spans="1:9" ht="12.75">
      <c r="A52" s="165">
        <v>312</v>
      </c>
      <c r="B52" s="166" t="s">
        <v>363</v>
      </c>
      <c r="C52" s="167">
        <v>0</v>
      </c>
      <c r="D52" s="167">
        <v>0</v>
      </c>
      <c r="E52" s="168">
        <v>3670</v>
      </c>
      <c r="F52" s="167">
        <v>3670</v>
      </c>
      <c r="G52" s="167">
        <v>3670</v>
      </c>
      <c r="H52" s="167">
        <v>3670</v>
      </c>
      <c r="I52" s="422">
        <f t="shared" si="1"/>
        <v>1</v>
      </c>
    </row>
    <row r="53" spans="1:9" ht="12.75">
      <c r="A53" s="42">
        <v>312</v>
      </c>
      <c r="B53" s="12" t="s">
        <v>52</v>
      </c>
      <c r="C53" s="10">
        <v>7200</v>
      </c>
      <c r="D53" s="10">
        <v>7200</v>
      </c>
      <c r="E53" s="10">
        <v>7200</v>
      </c>
      <c r="F53" s="10">
        <v>7200</v>
      </c>
      <c r="G53" s="10">
        <v>7200</v>
      </c>
      <c r="H53" s="10">
        <v>7025</v>
      </c>
      <c r="I53" s="422">
        <f t="shared" si="1"/>
        <v>0.9756944444444444</v>
      </c>
    </row>
    <row r="54" spans="1:9" ht="12.75">
      <c r="A54" s="42">
        <v>312</v>
      </c>
      <c r="B54" s="43" t="s">
        <v>53</v>
      </c>
      <c r="C54" s="10">
        <v>13500</v>
      </c>
      <c r="D54" s="10">
        <v>13500</v>
      </c>
      <c r="E54" s="10">
        <v>13500</v>
      </c>
      <c r="F54" s="10">
        <v>13500</v>
      </c>
      <c r="G54" s="10">
        <v>13500</v>
      </c>
      <c r="H54" s="10">
        <f>4537+1588</f>
        <v>6125</v>
      </c>
      <c r="I54" s="422">
        <f t="shared" si="1"/>
        <v>0.4537037037037037</v>
      </c>
    </row>
    <row r="55" spans="1:9" ht="12.75">
      <c r="A55" s="42">
        <v>312</v>
      </c>
      <c r="B55" s="43" t="s">
        <v>201</v>
      </c>
      <c r="C55" s="10">
        <v>0</v>
      </c>
      <c r="D55" s="173">
        <v>14402</v>
      </c>
      <c r="E55" s="390">
        <v>14402</v>
      </c>
      <c r="F55" s="390">
        <v>14402</v>
      </c>
      <c r="G55" s="390">
        <v>14402</v>
      </c>
      <c r="H55" s="390">
        <v>14402</v>
      </c>
      <c r="I55" s="422">
        <f t="shared" si="1"/>
        <v>1</v>
      </c>
    </row>
    <row r="56" spans="1:9" ht="12.75">
      <c r="A56" s="42">
        <v>312</v>
      </c>
      <c r="B56" s="43" t="s">
        <v>202</v>
      </c>
      <c r="C56" s="10">
        <v>0</v>
      </c>
      <c r="D56" s="173">
        <v>44465</v>
      </c>
      <c r="E56" s="390">
        <v>44465</v>
      </c>
      <c r="F56" s="390">
        <v>44465</v>
      </c>
      <c r="G56" s="390">
        <v>44465</v>
      </c>
      <c r="H56" s="390">
        <v>13063</v>
      </c>
      <c r="I56" s="422">
        <f t="shared" si="1"/>
        <v>0.2937816259979759</v>
      </c>
    </row>
    <row r="57" spans="1:9" ht="12.75">
      <c r="A57" s="42">
        <v>312</v>
      </c>
      <c r="B57" s="43" t="s">
        <v>54</v>
      </c>
      <c r="C57" s="10">
        <v>9400</v>
      </c>
      <c r="D57" s="10">
        <v>9400</v>
      </c>
      <c r="E57" s="10">
        <v>9400</v>
      </c>
      <c r="F57" s="10">
        <v>9400</v>
      </c>
      <c r="G57" s="10">
        <v>9400</v>
      </c>
      <c r="H57" s="10">
        <v>9200</v>
      </c>
      <c r="I57" s="422">
        <f t="shared" si="1"/>
        <v>0.9787234042553191</v>
      </c>
    </row>
    <row r="58" spans="1:9" ht="12.75">
      <c r="A58" s="42">
        <v>312</v>
      </c>
      <c r="B58" s="43" t="s">
        <v>55</v>
      </c>
      <c r="C58" s="10">
        <v>18000</v>
      </c>
      <c r="D58" s="10">
        <v>18000</v>
      </c>
      <c r="E58" s="10">
        <v>18000</v>
      </c>
      <c r="F58" s="10">
        <v>18000</v>
      </c>
      <c r="G58" s="10">
        <v>18000</v>
      </c>
      <c r="H58" s="10">
        <v>18000</v>
      </c>
      <c r="I58" s="422">
        <f t="shared" si="1"/>
        <v>1</v>
      </c>
    </row>
    <row r="59" spans="1:9" ht="12.75">
      <c r="A59" s="42">
        <v>312</v>
      </c>
      <c r="B59" s="43" t="s">
        <v>56</v>
      </c>
      <c r="C59" s="10">
        <v>6400</v>
      </c>
      <c r="D59" s="10">
        <v>6400</v>
      </c>
      <c r="E59" s="390">
        <v>6400</v>
      </c>
      <c r="F59" s="390">
        <f>6400</f>
        <v>6400</v>
      </c>
      <c r="G59" s="390">
        <f>6400</f>
        <v>6400</v>
      </c>
      <c r="H59" s="390">
        <v>5725</v>
      </c>
      <c r="I59" s="422">
        <f t="shared" si="1"/>
        <v>0.89453125</v>
      </c>
    </row>
    <row r="60" spans="1:9" ht="12.75">
      <c r="A60" s="42">
        <v>312</v>
      </c>
      <c r="B60" s="43" t="s">
        <v>367</v>
      </c>
      <c r="C60" s="10">
        <v>0</v>
      </c>
      <c r="D60" s="10">
        <v>0</v>
      </c>
      <c r="E60" s="173">
        <v>700</v>
      </c>
      <c r="F60" s="390">
        <v>700</v>
      </c>
      <c r="G60" s="390">
        <v>700</v>
      </c>
      <c r="H60" s="390">
        <v>700</v>
      </c>
      <c r="I60" s="422">
        <f t="shared" si="1"/>
        <v>1</v>
      </c>
    </row>
    <row r="61" spans="1:9" ht="12.75">
      <c r="A61" s="44">
        <v>312</v>
      </c>
      <c r="B61" s="12" t="s">
        <v>366</v>
      </c>
      <c r="C61" s="13">
        <v>3700</v>
      </c>
      <c r="D61" s="162">
        <f>916+2818</f>
        <v>3734</v>
      </c>
      <c r="E61" s="384">
        <f>916+2818</f>
        <v>3734</v>
      </c>
      <c r="F61" s="384">
        <f>916+2818</f>
        <v>3734</v>
      </c>
      <c r="G61" s="384">
        <f>916+2818</f>
        <v>3734</v>
      </c>
      <c r="H61" s="384">
        <v>3734</v>
      </c>
      <c r="I61" s="422">
        <f t="shared" si="1"/>
        <v>1</v>
      </c>
    </row>
    <row r="62" spans="1:9" ht="12.75">
      <c r="A62" s="44">
        <v>312</v>
      </c>
      <c r="B62" s="45" t="s">
        <v>365</v>
      </c>
      <c r="C62" s="46">
        <v>3000</v>
      </c>
      <c r="D62" s="169">
        <v>3021</v>
      </c>
      <c r="E62" s="391">
        <v>3021</v>
      </c>
      <c r="F62" s="169">
        <v>3019</v>
      </c>
      <c r="G62" s="391">
        <v>3019</v>
      </c>
      <c r="H62" s="391">
        <v>3019</v>
      </c>
      <c r="I62" s="422">
        <f t="shared" si="1"/>
        <v>1</v>
      </c>
    </row>
    <row r="63" spans="1:9" ht="12.75">
      <c r="A63" s="44">
        <v>312</v>
      </c>
      <c r="B63" s="47" t="s">
        <v>59</v>
      </c>
      <c r="C63" s="46">
        <v>3000</v>
      </c>
      <c r="D63" s="169">
        <v>2398</v>
      </c>
      <c r="E63" s="391">
        <v>2398</v>
      </c>
      <c r="F63" s="391">
        <v>2398</v>
      </c>
      <c r="G63" s="489">
        <v>2304</v>
      </c>
      <c r="H63" s="391">
        <v>2304</v>
      </c>
      <c r="I63" s="422">
        <f t="shared" si="1"/>
        <v>1</v>
      </c>
    </row>
    <row r="64" spans="1:9" ht="13.5" thickBot="1">
      <c r="A64" s="44">
        <v>312</v>
      </c>
      <c r="B64" s="48" t="s">
        <v>60</v>
      </c>
      <c r="C64" s="49">
        <v>317900</v>
      </c>
      <c r="D64" s="164">
        <v>340924</v>
      </c>
      <c r="E64" s="49">
        <v>340924</v>
      </c>
      <c r="F64" s="49">
        <v>340924</v>
      </c>
      <c r="G64" s="49">
        <v>347710</v>
      </c>
      <c r="H64" s="49">
        <v>347710</v>
      </c>
      <c r="I64" s="422">
        <f t="shared" si="1"/>
        <v>1</v>
      </c>
    </row>
    <row r="65" spans="1:9" ht="16.5" thickBot="1">
      <c r="A65" s="51" t="s">
        <v>62</v>
      </c>
      <c r="B65" s="52"/>
      <c r="C65" s="53">
        <f aca="true" t="shared" si="6" ref="C65:H65">SUM(C6+C14+C32+C34+C47)</f>
        <v>1265864</v>
      </c>
      <c r="D65" s="53">
        <f t="shared" si="6"/>
        <v>1356757</v>
      </c>
      <c r="E65" s="53">
        <f t="shared" si="6"/>
        <v>1374657</v>
      </c>
      <c r="F65" s="53">
        <f t="shared" si="6"/>
        <v>1414257</v>
      </c>
      <c r="G65" s="53">
        <f t="shared" si="6"/>
        <v>1432909</v>
      </c>
      <c r="H65" s="53">
        <f t="shared" si="6"/>
        <v>1328613.1600000001</v>
      </c>
      <c r="I65" s="422">
        <f t="shared" si="1"/>
        <v>0.9272139123977867</v>
      </c>
    </row>
    <row r="66" spans="1:9" ht="16.5" customHeight="1" thickBot="1">
      <c r="A66" s="54"/>
      <c r="B66" s="55" t="s">
        <v>63</v>
      </c>
      <c r="C66" s="56">
        <v>500</v>
      </c>
      <c r="D66" s="386">
        <f>500+400</f>
        <v>900</v>
      </c>
      <c r="E66" s="56">
        <f>500+400</f>
        <v>900</v>
      </c>
      <c r="F66" s="386">
        <f>500+400+500</f>
        <v>1400</v>
      </c>
      <c r="G66" s="386">
        <v>5200</v>
      </c>
      <c r="H66" s="56">
        <v>5163</v>
      </c>
      <c r="I66" s="422">
        <f t="shared" si="1"/>
        <v>0.9928846153846154</v>
      </c>
    </row>
    <row r="67" spans="1:9" ht="16.5" thickBot="1">
      <c r="A67" s="51" t="s">
        <v>64</v>
      </c>
      <c r="B67" s="40"/>
      <c r="C67" s="53">
        <f aca="true" t="shared" si="7" ref="C67:H67">SUM(C65:C66)</f>
        <v>1266364</v>
      </c>
      <c r="D67" s="53">
        <f t="shared" si="7"/>
        <v>1357657</v>
      </c>
      <c r="E67" s="53">
        <f t="shared" si="7"/>
        <v>1375557</v>
      </c>
      <c r="F67" s="53">
        <f t="shared" si="7"/>
        <v>1415657</v>
      </c>
      <c r="G67" s="53">
        <f t="shared" si="7"/>
        <v>1438109</v>
      </c>
      <c r="H67" s="53">
        <f t="shared" si="7"/>
        <v>1333776.1600000001</v>
      </c>
      <c r="I67" s="422">
        <f t="shared" si="1"/>
        <v>0.9274513684289578</v>
      </c>
    </row>
    <row r="68" spans="1:9" ht="15.75">
      <c r="A68" s="57"/>
      <c r="B68" s="58"/>
      <c r="C68" s="58"/>
      <c r="D68" s="59"/>
      <c r="E68" s="59"/>
      <c r="F68" s="59"/>
      <c r="G68" s="59"/>
      <c r="H68" s="59"/>
      <c r="I68" s="422"/>
    </row>
    <row r="69" spans="1:8" ht="16.5" thickBot="1">
      <c r="A69" s="57"/>
      <c r="B69" s="58"/>
      <c r="C69" s="58"/>
      <c r="D69" s="58"/>
      <c r="E69" s="58"/>
      <c r="F69" s="58"/>
      <c r="G69" s="58"/>
      <c r="H69" s="58"/>
    </row>
    <row r="70" spans="1:8" ht="18.75" thickBot="1">
      <c r="A70" s="548" t="s">
        <v>65</v>
      </c>
      <c r="B70" s="549"/>
      <c r="C70" s="549"/>
      <c r="D70" s="549"/>
      <c r="E70" s="549"/>
      <c r="F70" s="549"/>
      <c r="G70" s="549"/>
      <c r="H70" s="550"/>
    </row>
    <row r="71" spans="1:8" ht="12.75" customHeight="1">
      <c r="A71" s="515" t="s">
        <v>3</v>
      </c>
      <c r="B71" s="516"/>
      <c r="C71" s="512" t="s">
        <v>4</v>
      </c>
      <c r="D71" s="512" t="s">
        <v>199</v>
      </c>
      <c r="E71" s="512" t="s">
        <v>361</v>
      </c>
      <c r="F71" s="512" t="s">
        <v>397</v>
      </c>
      <c r="G71" s="512" t="s">
        <v>446</v>
      </c>
      <c r="H71" s="537" t="s">
        <v>464</v>
      </c>
    </row>
    <row r="72" spans="1:8" ht="13.5" thickBot="1">
      <c r="A72" s="517"/>
      <c r="B72" s="518"/>
      <c r="C72" s="513"/>
      <c r="D72" s="513"/>
      <c r="E72" s="513"/>
      <c r="F72" s="513"/>
      <c r="G72" s="513"/>
      <c r="H72" s="538"/>
    </row>
    <row r="73" spans="1:9" ht="12.75" customHeight="1" thickBot="1">
      <c r="A73" s="63" t="s">
        <v>66</v>
      </c>
      <c r="B73" s="64"/>
      <c r="C73" s="65">
        <f aca="true" t="shared" si="8" ref="C73:H73">SUM(C74:C77)</f>
        <v>168951</v>
      </c>
      <c r="D73" s="65">
        <f t="shared" si="8"/>
        <v>170185</v>
      </c>
      <c r="E73" s="65">
        <f t="shared" si="8"/>
        <v>170719</v>
      </c>
      <c r="F73" s="65">
        <f t="shared" si="8"/>
        <v>170719</v>
      </c>
      <c r="G73" s="65">
        <f t="shared" si="8"/>
        <v>171079</v>
      </c>
      <c r="H73" s="65">
        <f t="shared" si="8"/>
        <v>154729</v>
      </c>
      <c r="I73" s="422">
        <f>H73/G73</f>
        <v>0.9044301170804131</v>
      </c>
    </row>
    <row r="74" spans="1:9" ht="12.75">
      <c r="A74" s="66" t="s">
        <v>67</v>
      </c>
      <c r="B74" s="67" t="s">
        <v>68</v>
      </c>
      <c r="C74" s="68">
        <v>136801</v>
      </c>
      <c r="D74" s="68">
        <f>136801</f>
        <v>136801</v>
      </c>
      <c r="E74" s="171">
        <f>136801+534</f>
        <v>137335</v>
      </c>
      <c r="F74" s="68">
        <f>136801+534</f>
        <v>137335</v>
      </c>
      <c r="G74" s="68">
        <f>136801+534</f>
        <v>137335</v>
      </c>
      <c r="H74" s="68">
        <v>126709</v>
      </c>
      <c r="I74" s="422">
        <f aca="true" t="shared" si="9" ref="I74:I132">H74/G74</f>
        <v>0.9226271525830997</v>
      </c>
    </row>
    <row r="75" spans="1:9" ht="12.75">
      <c r="A75" s="69" t="s">
        <v>69</v>
      </c>
      <c r="B75" s="43" t="s">
        <v>70</v>
      </c>
      <c r="C75" s="70">
        <v>25450</v>
      </c>
      <c r="D75" s="170">
        <f>25450+930+270</f>
        <v>26650</v>
      </c>
      <c r="E75" s="70">
        <f>25450+930+270</f>
        <v>26650</v>
      </c>
      <c r="F75" s="70">
        <f>25450+930+270</f>
        <v>26650</v>
      </c>
      <c r="G75" s="70">
        <f>25450+930+270</f>
        <v>26650</v>
      </c>
      <c r="H75" s="70">
        <v>21040</v>
      </c>
      <c r="I75" s="422">
        <f t="shared" si="9"/>
        <v>0.7894934333958724</v>
      </c>
    </row>
    <row r="76" spans="1:9" ht="12.75">
      <c r="A76" s="71" t="s">
        <v>71</v>
      </c>
      <c r="B76" s="43" t="s">
        <v>72</v>
      </c>
      <c r="C76" s="70">
        <v>3700</v>
      </c>
      <c r="D76" s="170">
        <v>3734</v>
      </c>
      <c r="E76" s="70">
        <v>3734</v>
      </c>
      <c r="F76" s="70">
        <v>3734</v>
      </c>
      <c r="G76" s="70">
        <v>3734</v>
      </c>
      <c r="H76" s="70">
        <v>3734</v>
      </c>
      <c r="I76" s="422">
        <f t="shared" si="9"/>
        <v>1</v>
      </c>
    </row>
    <row r="77" spans="1:9" ht="13.5" thickBot="1">
      <c r="A77" s="72" t="s">
        <v>73</v>
      </c>
      <c r="B77" s="73" t="s">
        <v>74</v>
      </c>
      <c r="C77" s="74">
        <v>3000</v>
      </c>
      <c r="D77" s="74">
        <v>3000</v>
      </c>
      <c r="E77" s="74">
        <v>3000</v>
      </c>
      <c r="F77" s="74">
        <v>3000</v>
      </c>
      <c r="G77" s="427">
        <v>3360</v>
      </c>
      <c r="H77" s="74">
        <v>3246</v>
      </c>
      <c r="I77" s="422">
        <f t="shared" si="9"/>
        <v>0.9660714285714286</v>
      </c>
    </row>
    <row r="78" spans="1:9" ht="13.5" thickBot="1">
      <c r="A78" s="521" t="s">
        <v>75</v>
      </c>
      <c r="B78" s="522"/>
      <c r="C78" s="65">
        <f aca="true" t="shared" si="10" ref="C78:H78">SUM(C79)</f>
        <v>160</v>
      </c>
      <c r="D78" s="65">
        <f t="shared" si="10"/>
        <v>160</v>
      </c>
      <c r="E78" s="65">
        <f t="shared" si="10"/>
        <v>160</v>
      </c>
      <c r="F78" s="65">
        <f t="shared" si="10"/>
        <v>160</v>
      </c>
      <c r="G78" s="65">
        <f t="shared" si="10"/>
        <v>160</v>
      </c>
      <c r="H78" s="65">
        <f t="shared" si="10"/>
        <v>160</v>
      </c>
      <c r="I78" s="422">
        <f t="shared" si="9"/>
        <v>1</v>
      </c>
    </row>
    <row r="79" spans="1:9" ht="13.5" thickBot="1">
      <c r="A79" s="75" t="s">
        <v>76</v>
      </c>
      <c r="B79" s="58" t="s">
        <v>77</v>
      </c>
      <c r="C79" s="76">
        <v>160</v>
      </c>
      <c r="D79" s="76">
        <v>160</v>
      </c>
      <c r="E79" s="76">
        <v>160</v>
      </c>
      <c r="F79" s="76">
        <v>160</v>
      </c>
      <c r="G79" s="76">
        <v>160</v>
      </c>
      <c r="H79" s="76">
        <v>160</v>
      </c>
      <c r="I79" s="422">
        <f t="shared" si="9"/>
        <v>1</v>
      </c>
    </row>
    <row r="80" spans="1:9" ht="13.5" thickBot="1">
      <c r="A80" s="521" t="s">
        <v>78</v>
      </c>
      <c r="B80" s="522"/>
      <c r="C80" s="65">
        <f aca="true" t="shared" si="11" ref="C80:H80">SUM(C81)</f>
        <v>4000</v>
      </c>
      <c r="D80" s="65">
        <f t="shared" si="11"/>
        <v>4000</v>
      </c>
      <c r="E80" s="65">
        <f t="shared" si="11"/>
        <v>5500</v>
      </c>
      <c r="F80" s="65">
        <f t="shared" si="11"/>
        <v>5500</v>
      </c>
      <c r="G80" s="65">
        <f t="shared" si="11"/>
        <v>5500</v>
      </c>
      <c r="H80" s="65">
        <f t="shared" si="11"/>
        <v>5088</v>
      </c>
      <c r="I80" s="422">
        <f t="shared" si="9"/>
        <v>0.9250909090909091</v>
      </c>
    </row>
    <row r="81" spans="1:9" ht="13.5" thickBot="1">
      <c r="A81" s="77" t="s">
        <v>79</v>
      </c>
      <c r="B81" s="78" t="s">
        <v>80</v>
      </c>
      <c r="C81" s="79">
        <v>4000</v>
      </c>
      <c r="D81" s="79">
        <v>4000</v>
      </c>
      <c r="E81" s="432">
        <v>5500</v>
      </c>
      <c r="F81" s="79">
        <v>5500</v>
      </c>
      <c r="G81" s="79">
        <v>5500</v>
      </c>
      <c r="H81" s="79">
        <v>5088</v>
      </c>
      <c r="I81" s="422">
        <f t="shared" si="9"/>
        <v>0.9250909090909091</v>
      </c>
    </row>
    <row r="82" spans="1:9" ht="13.5" thickBot="1">
      <c r="A82" s="63" t="s">
        <v>81</v>
      </c>
      <c r="B82" s="80"/>
      <c r="C82" s="65">
        <f aca="true" t="shared" si="12" ref="C82:H82">SUM(C83:C89)</f>
        <v>132710</v>
      </c>
      <c r="D82" s="65">
        <f t="shared" si="12"/>
        <v>170156</v>
      </c>
      <c r="E82" s="65">
        <f t="shared" si="12"/>
        <v>174126</v>
      </c>
      <c r="F82" s="65">
        <f t="shared" si="12"/>
        <v>178626</v>
      </c>
      <c r="G82" s="65">
        <f t="shared" si="12"/>
        <v>178756</v>
      </c>
      <c r="H82" s="65">
        <f t="shared" si="12"/>
        <v>141215</v>
      </c>
      <c r="I82" s="422">
        <f t="shared" si="9"/>
        <v>0.7899874689520912</v>
      </c>
    </row>
    <row r="83" spans="1:9" ht="12.75">
      <c r="A83" s="81" t="s">
        <v>82</v>
      </c>
      <c r="B83" s="31" t="s">
        <v>83</v>
      </c>
      <c r="C83" s="32">
        <v>1500</v>
      </c>
      <c r="D83" s="32">
        <v>1500</v>
      </c>
      <c r="E83" s="32">
        <v>1500</v>
      </c>
      <c r="F83" s="32">
        <v>1500</v>
      </c>
      <c r="G83" s="430">
        <v>1630</v>
      </c>
      <c r="H83" s="32">
        <v>1628</v>
      </c>
      <c r="I83" s="422">
        <f t="shared" si="9"/>
        <v>0.9987730061349693</v>
      </c>
    </row>
    <row r="84" spans="1:9" ht="12.75">
      <c r="A84" s="71" t="s">
        <v>84</v>
      </c>
      <c r="B84" s="43" t="s">
        <v>85</v>
      </c>
      <c r="C84" s="70">
        <v>14000</v>
      </c>
      <c r="D84" s="70">
        <v>14000</v>
      </c>
      <c r="E84" s="70">
        <v>14000</v>
      </c>
      <c r="F84" s="70">
        <v>14000</v>
      </c>
      <c r="G84" s="82">
        <f>51746-G85-G86-G87</f>
        <v>14000</v>
      </c>
      <c r="H84" s="82">
        <f>40320-H85-H86-H87</f>
        <v>11443</v>
      </c>
      <c r="I84" s="422">
        <f t="shared" si="9"/>
        <v>0.8173571428571429</v>
      </c>
    </row>
    <row r="85" spans="1:9" ht="12.75">
      <c r="A85" s="71" t="s">
        <v>84</v>
      </c>
      <c r="B85" s="43" t="s">
        <v>204</v>
      </c>
      <c r="C85" s="70">
        <v>0</v>
      </c>
      <c r="D85" s="170">
        <v>15160</v>
      </c>
      <c r="E85" s="70">
        <v>15160</v>
      </c>
      <c r="F85" s="70">
        <v>15160</v>
      </c>
      <c r="G85" s="82">
        <v>15160</v>
      </c>
      <c r="H85" s="82">
        <v>15126</v>
      </c>
      <c r="I85" s="422">
        <f t="shared" si="9"/>
        <v>0.9977572559366754</v>
      </c>
    </row>
    <row r="86" spans="1:11" ht="12.75">
      <c r="A86" s="71" t="s">
        <v>84</v>
      </c>
      <c r="B86" s="43" t="s">
        <v>203</v>
      </c>
      <c r="C86" s="70">
        <v>0</v>
      </c>
      <c r="D86" s="170">
        <f>286+22000</f>
        <v>22286</v>
      </c>
      <c r="E86" s="70">
        <f>286+22000</f>
        <v>22286</v>
      </c>
      <c r="F86" s="70">
        <f>286+22000</f>
        <v>22286</v>
      </c>
      <c r="G86" s="82">
        <v>22286</v>
      </c>
      <c r="H86" s="82">
        <f>0+13751</f>
        <v>13751</v>
      </c>
      <c r="I86" s="422">
        <f t="shared" si="9"/>
        <v>0.6170241407161446</v>
      </c>
      <c r="J86" s="161">
        <f>SUM(G84:G87)</f>
        <v>51746</v>
      </c>
      <c r="K86" s="161"/>
    </row>
    <row r="87" spans="1:9" ht="12.75">
      <c r="A87" s="71" t="s">
        <v>84</v>
      </c>
      <c r="B87" s="494" t="s">
        <v>455</v>
      </c>
      <c r="C87" s="70">
        <v>0</v>
      </c>
      <c r="D87" s="70">
        <v>0</v>
      </c>
      <c r="E87" s="170">
        <v>300</v>
      </c>
      <c r="F87" s="70">
        <v>300</v>
      </c>
      <c r="G87" s="70">
        <v>300</v>
      </c>
      <c r="H87" s="70">
        <v>0</v>
      </c>
      <c r="I87" s="422">
        <f t="shared" si="9"/>
        <v>0</v>
      </c>
    </row>
    <row r="88" spans="1:9" ht="12.75">
      <c r="A88" s="71" t="s">
        <v>87</v>
      </c>
      <c r="B88" s="43" t="s">
        <v>88</v>
      </c>
      <c r="C88" s="82">
        <v>15000</v>
      </c>
      <c r="D88" s="82">
        <v>15000</v>
      </c>
      <c r="E88" s="425">
        <f>15000+3670</f>
        <v>18670</v>
      </c>
      <c r="F88" s="82">
        <f>15000+3670</f>
        <v>18670</v>
      </c>
      <c r="G88" s="82">
        <f>15000+3670</f>
        <v>18670</v>
      </c>
      <c r="H88" s="82">
        <v>15729</v>
      </c>
      <c r="I88" s="422">
        <f t="shared" si="9"/>
        <v>0.8424745581146224</v>
      </c>
    </row>
    <row r="89" spans="1:9" ht="13.5" thickBot="1">
      <c r="A89" s="83" t="s">
        <v>89</v>
      </c>
      <c r="B89" s="84" t="s">
        <v>411</v>
      </c>
      <c r="C89" s="85">
        <v>102210</v>
      </c>
      <c r="D89" s="85">
        <v>102210</v>
      </c>
      <c r="E89" s="85">
        <f>102210</f>
        <v>102210</v>
      </c>
      <c r="F89" s="449">
        <f>102210+3000+1500</f>
        <v>106710</v>
      </c>
      <c r="G89" s="85">
        <f>102210+3000+1500</f>
        <v>106710</v>
      </c>
      <c r="H89" s="85">
        <v>83538</v>
      </c>
      <c r="I89" s="422">
        <f t="shared" si="9"/>
        <v>0.7828507168962608</v>
      </c>
    </row>
    <row r="90" spans="1:9" ht="13.5" thickBot="1">
      <c r="A90" s="63" t="s">
        <v>91</v>
      </c>
      <c r="B90" s="64"/>
      <c r="C90" s="65">
        <f aca="true" t="shared" si="13" ref="C90:H90">SUM(C91:C94)</f>
        <v>94940</v>
      </c>
      <c r="D90" s="65">
        <f t="shared" si="13"/>
        <v>119459</v>
      </c>
      <c r="E90" s="65">
        <f t="shared" si="13"/>
        <v>120959</v>
      </c>
      <c r="F90" s="65">
        <f t="shared" si="13"/>
        <v>122159</v>
      </c>
      <c r="G90" s="65">
        <f t="shared" si="13"/>
        <v>115159</v>
      </c>
      <c r="H90" s="65">
        <f t="shared" si="13"/>
        <v>67769</v>
      </c>
      <c r="I90" s="422">
        <f t="shared" si="9"/>
        <v>0.588482011827126</v>
      </c>
    </row>
    <row r="91" spans="1:9" ht="12.75">
      <c r="A91" s="86" t="s">
        <v>92</v>
      </c>
      <c r="B91" s="87" t="s">
        <v>470</v>
      </c>
      <c r="C91" s="88">
        <v>23800</v>
      </c>
      <c r="D91" s="88">
        <v>23800</v>
      </c>
      <c r="E91" s="88">
        <f>23800</f>
        <v>23800</v>
      </c>
      <c r="F91" s="88">
        <f>23800</f>
        <v>23800</v>
      </c>
      <c r="G91" s="88">
        <f>48319-G92</f>
        <v>23800</v>
      </c>
      <c r="H91" s="88">
        <v>21025</v>
      </c>
      <c r="I91" s="422">
        <f t="shared" si="9"/>
        <v>0.8834033613445378</v>
      </c>
    </row>
    <row r="92" spans="1:9" ht="12.75">
      <c r="A92" s="71" t="s">
        <v>92</v>
      </c>
      <c r="B92" s="43" t="s">
        <v>469</v>
      </c>
      <c r="C92" s="70">
        <v>0</v>
      </c>
      <c r="D92" s="70">
        <v>24519</v>
      </c>
      <c r="E92" s="70">
        <v>24519</v>
      </c>
      <c r="F92" s="70">
        <v>24519</v>
      </c>
      <c r="G92" s="70">
        <v>24519</v>
      </c>
      <c r="H92" s="70">
        <v>0</v>
      </c>
      <c r="I92" s="422">
        <f t="shared" si="9"/>
        <v>0</v>
      </c>
    </row>
    <row r="93" spans="1:9" ht="13.5" customHeight="1">
      <c r="A93" s="75" t="s">
        <v>94</v>
      </c>
      <c r="B93" s="89" t="s">
        <v>95</v>
      </c>
      <c r="C93" s="74">
        <v>64900</v>
      </c>
      <c r="D93" s="74">
        <v>64900</v>
      </c>
      <c r="E93" s="427">
        <f>64900+1500</f>
        <v>66400</v>
      </c>
      <c r="F93" s="427">
        <f>64900+1500+700+400</f>
        <v>67500</v>
      </c>
      <c r="G93" s="499">
        <v>60500</v>
      </c>
      <c r="H93" s="74">
        <v>42495</v>
      </c>
      <c r="I93" s="422">
        <f t="shared" si="9"/>
        <v>0.702396694214876</v>
      </c>
    </row>
    <row r="94" spans="1:9" ht="13.5" thickBot="1">
      <c r="A94" s="90" t="s">
        <v>96</v>
      </c>
      <c r="B94" s="91" t="s">
        <v>97</v>
      </c>
      <c r="C94" s="92">
        <v>6240</v>
      </c>
      <c r="D94" s="92">
        <v>6240</v>
      </c>
      <c r="E94" s="92">
        <v>6240</v>
      </c>
      <c r="F94" s="433">
        <f>6240+100</f>
        <v>6340</v>
      </c>
      <c r="G94" s="498">
        <f>6240+100</f>
        <v>6340</v>
      </c>
      <c r="H94" s="92">
        <v>4249</v>
      </c>
      <c r="I94" s="422">
        <f t="shared" si="9"/>
        <v>0.6701892744479495</v>
      </c>
    </row>
    <row r="95" spans="1:9" ht="13.5" thickBot="1">
      <c r="A95" s="63" t="s">
        <v>98</v>
      </c>
      <c r="B95" s="80"/>
      <c r="C95" s="65">
        <f aca="true" t="shared" si="14" ref="C95:H95">SUM(C96)</f>
        <v>15100</v>
      </c>
      <c r="D95" s="65">
        <f t="shared" si="14"/>
        <v>15100</v>
      </c>
      <c r="E95" s="65">
        <f t="shared" si="14"/>
        <v>15100</v>
      </c>
      <c r="F95" s="65">
        <f t="shared" si="14"/>
        <v>15100</v>
      </c>
      <c r="G95" s="65">
        <f t="shared" si="14"/>
        <v>15200</v>
      </c>
      <c r="H95" s="65">
        <f t="shared" si="14"/>
        <v>15151</v>
      </c>
      <c r="I95" s="422">
        <f t="shared" si="9"/>
        <v>0.9967763157894737</v>
      </c>
    </row>
    <row r="96" spans="1:9" ht="13.5" thickBot="1">
      <c r="A96" s="93" t="s">
        <v>99</v>
      </c>
      <c r="B96" s="84" t="s">
        <v>100</v>
      </c>
      <c r="C96" s="94">
        <v>15100</v>
      </c>
      <c r="D96" s="94">
        <v>15100</v>
      </c>
      <c r="E96" s="94">
        <v>15100</v>
      </c>
      <c r="F96" s="94">
        <v>15100</v>
      </c>
      <c r="G96" s="497">
        <v>15200</v>
      </c>
      <c r="H96" s="94">
        <v>15151</v>
      </c>
      <c r="I96" s="422">
        <f t="shared" si="9"/>
        <v>0.9967763157894737</v>
      </c>
    </row>
    <row r="97" spans="1:9" ht="13.5" thickBot="1">
      <c r="A97" s="95" t="s">
        <v>101</v>
      </c>
      <c r="B97" s="64"/>
      <c r="C97" s="65">
        <f aca="true" t="shared" si="15" ref="C97:H97">SUM(C98:C113)</f>
        <v>66520</v>
      </c>
      <c r="D97" s="65">
        <f t="shared" si="15"/>
        <v>67320</v>
      </c>
      <c r="E97" s="65">
        <f t="shared" si="15"/>
        <v>77516</v>
      </c>
      <c r="F97" s="65">
        <f t="shared" si="15"/>
        <v>84066</v>
      </c>
      <c r="G97" s="65">
        <f t="shared" si="15"/>
        <v>85766</v>
      </c>
      <c r="H97" s="65">
        <f t="shared" si="15"/>
        <v>79653</v>
      </c>
      <c r="I97" s="422">
        <f t="shared" si="9"/>
        <v>0.9287246694494322</v>
      </c>
    </row>
    <row r="98" spans="1:9" ht="13.5" thickBot="1">
      <c r="A98" s="90" t="s">
        <v>102</v>
      </c>
      <c r="B98" s="91" t="s">
        <v>103</v>
      </c>
      <c r="C98" s="92">
        <v>3800</v>
      </c>
      <c r="D98" s="92">
        <v>3800</v>
      </c>
      <c r="E98" s="92">
        <v>3800</v>
      </c>
      <c r="F98" s="433">
        <f>3800+2420</f>
        <v>6220</v>
      </c>
      <c r="G98" s="92">
        <f>3800+2420</f>
        <v>6220</v>
      </c>
      <c r="H98" s="92">
        <v>5785</v>
      </c>
      <c r="I98" s="422">
        <f t="shared" si="9"/>
        <v>0.930064308681672</v>
      </c>
    </row>
    <row r="99" spans="1:9" ht="12.75">
      <c r="A99" s="96" t="s">
        <v>102</v>
      </c>
      <c r="B99" s="67" t="s">
        <v>104</v>
      </c>
      <c r="C99" s="68">
        <v>7500</v>
      </c>
      <c r="D99" s="68">
        <v>7500</v>
      </c>
      <c r="E99" s="68">
        <v>7500</v>
      </c>
      <c r="F99" s="171">
        <v>6000</v>
      </c>
      <c r="G99" s="171">
        <v>7000</v>
      </c>
      <c r="H99" s="68">
        <v>7000</v>
      </c>
      <c r="I99" s="422">
        <f t="shared" si="9"/>
        <v>1</v>
      </c>
    </row>
    <row r="100" spans="1:10" ht="12.75">
      <c r="A100" s="96" t="s">
        <v>105</v>
      </c>
      <c r="B100" s="97" t="s">
        <v>106</v>
      </c>
      <c r="C100" s="98">
        <v>16400</v>
      </c>
      <c r="D100" s="392">
        <f>16400+800</f>
        <v>17200</v>
      </c>
      <c r="E100" s="98">
        <f>16400+800</f>
        <v>17200</v>
      </c>
      <c r="F100" s="98">
        <f>16400+800</f>
        <v>17200</v>
      </c>
      <c r="G100" s="98">
        <f>16400+800</f>
        <v>17200</v>
      </c>
      <c r="H100" s="98">
        <v>16674</v>
      </c>
      <c r="I100" s="422">
        <f t="shared" si="9"/>
        <v>0.9694186046511628</v>
      </c>
      <c r="J100" t="s">
        <v>465</v>
      </c>
    </row>
    <row r="101" spans="1:9" ht="12.75">
      <c r="A101" s="71" t="s">
        <v>107</v>
      </c>
      <c r="B101" s="99" t="s">
        <v>108</v>
      </c>
      <c r="C101" s="70">
        <v>1000</v>
      </c>
      <c r="D101" s="70">
        <v>1000</v>
      </c>
      <c r="E101" s="70">
        <v>1000</v>
      </c>
      <c r="F101" s="70">
        <v>1000</v>
      </c>
      <c r="G101" s="70">
        <v>1000</v>
      </c>
      <c r="H101" s="70">
        <v>728</v>
      </c>
      <c r="I101" s="422">
        <f t="shared" si="9"/>
        <v>0.728</v>
      </c>
    </row>
    <row r="102" spans="1:9" ht="13.5" thickBot="1">
      <c r="A102" s="90" t="s">
        <v>109</v>
      </c>
      <c r="B102" s="91" t="s">
        <v>110</v>
      </c>
      <c r="C102" s="92">
        <v>1000</v>
      </c>
      <c r="D102" s="92">
        <v>1000</v>
      </c>
      <c r="E102" s="92">
        <v>1000</v>
      </c>
      <c r="F102" s="433">
        <f>1000+370</f>
        <v>1370</v>
      </c>
      <c r="G102" s="92">
        <f>1000+370</f>
        <v>1370</v>
      </c>
      <c r="H102" s="92">
        <v>1174</v>
      </c>
      <c r="I102" s="422">
        <f t="shared" si="9"/>
        <v>0.8569343065693431</v>
      </c>
    </row>
    <row r="103" spans="1:9" ht="12.75">
      <c r="A103" s="71" t="s">
        <v>111</v>
      </c>
      <c r="B103" s="43" t="s">
        <v>112</v>
      </c>
      <c r="C103" s="70">
        <v>100</v>
      </c>
      <c r="D103" s="70">
        <v>100</v>
      </c>
      <c r="E103" s="70">
        <v>100</v>
      </c>
      <c r="F103" s="170">
        <v>250</v>
      </c>
      <c r="G103" s="70">
        <v>250</v>
      </c>
      <c r="H103" s="70">
        <v>169</v>
      </c>
      <c r="I103" s="422">
        <f t="shared" si="9"/>
        <v>0.676</v>
      </c>
    </row>
    <row r="104" spans="1:9" ht="12.75">
      <c r="A104" s="71" t="s">
        <v>111</v>
      </c>
      <c r="B104" s="43" t="s">
        <v>113</v>
      </c>
      <c r="C104" s="70">
        <v>1000</v>
      </c>
      <c r="D104" s="70">
        <v>1000</v>
      </c>
      <c r="E104" s="70">
        <v>1000</v>
      </c>
      <c r="F104" s="70">
        <v>1000</v>
      </c>
      <c r="G104" s="70">
        <v>1000</v>
      </c>
      <c r="H104" s="70">
        <v>986</v>
      </c>
      <c r="I104" s="422">
        <f t="shared" si="9"/>
        <v>0.986</v>
      </c>
    </row>
    <row r="105" spans="1:9" ht="12.75">
      <c r="A105" s="71" t="s">
        <v>111</v>
      </c>
      <c r="B105" s="43" t="s">
        <v>114</v>
      </c>
      <c r="C105" s="70">
        <v>2500</v>
      </c>
      <c r="D105" s="70">
        <v>2500</v>
      </c>
      <c r="E105" s="170">
        <v>2000</v>
      </c>
      <c r="F105" s="70">
        <v>2000</v>
      </c>
      <c r="G105" s="70">
        <v>2000</v>
      </c>
      <c r="H105" s="70">
        <v>2000</v>
      </c>
      <c r="I105" s="422">
        <f t="shared" si="9"/>
        <v>1</v>
      </c>
    </row>
    <row r="106" spans="1:9" ht="12.75">
      <c r="A106" s="71" t="s">
        <v>111</v>
      </c>
      <c r="B106" s="43" t="s">
        <v>115</v>
      </c>
      <c r="C106" s="70">
        <v>10000</v>
      </c>
      <c r="D106" s="70">
        <v>10000</v>
      </c>
      <c r="E106" s="70">
        <v>10000</v>
      </c>
      <c r="F106" s="170">
        <f>10000+2560</f>
        <v>12560</v>
      </c>
      <c r="G106" s="70">
        <f>10000+2560</f>
        <v>12560</v>
      </c>
      <c r="H106" s="70">
        <v>12560</v>
      </c>
      <c r="I106" s="422">
        <f t="shared" si="9"/>
        <v>1</v>
      </c>
    </row>
    <row r="107" spans="1:9" ht="12.75">
      <c r="A107" s="71" t="s">
        <v>111</v>
      </c>
      <c r="B107" s="43" t="s">
        <v>116</v>
      </c>
      <c r="C107" s="70">
        <v>100</v>
      </c>
      <c r="D107" s="70">
        <v>100</v>
      </c>
      <c r="E107" s="70">
        <v>100</v>
      </c>
      <c r="F107" s="70">
        <v>100</v>
      </c>
      <c r="G107" s="70">
        <v>100</v>
      </c>
      <c r="H107" s="70">
        <v>94</v>
      </c>
      <c r="I107" s="422">
        <f t="shared" si="9"/>
        <v>0.94</v>
      </c>
    </row>
    <row r="108" spans="1:9" ht="12.75">
      <c r="A108" s="71" t="s">
        <v>111</v>
      </c>
      <c r="B108" s="43" t="s">
        <v>117</v>
      </c>
      <c r="C108" s="70">
        <v>700</v>
      </c>
      <c r="D108" s="70">
        <v>700</v>
      </c>
      <c r="E108" s="70">
        <v>700</v>
      </c>
      <c r="F108" s="170">
        <v>800</v>
      </c>
      <c r="G108" s="425">
        <v>1200</v>
      </c>
      <c r="H108" s="70">
        <v>1185</v>
      </c>
      <c r="I108" s="422">
        <f t="shared" si="9"/>
        <v>0.9875</v>
      </c>
    </row>
    <row r="109" spans="1:9" ht="12.75">
      <c r="A109" s="71" t="s">
        <v>111</v>
      </c>
      <c r="B109" s="43" t="s">
        <v>368</v>
      </c>
      <c r="C109" s="70">
        <v>0</v>
      </c>
      <c r="D109" s="70">
        <v>0</v>
      </c>
      <c r="E109" s="170">
        <v>650</v>
      </c>
      <c r="F109" s="170">
        <v>1000</v>
      </c>
      <c r="G109" s="70">
        <v>1000</v>
      </c>
      <c r="H109" s="70">
        <v>908</v>
      </c>
      <c r="I109" s="422">
        <f>H109/G109</f>
        <v>0.908</v>
      </c>
    </row>
    <row r="110" spans="1:9" ht="13.5" thickBot="1">
      <c r="A110" s="90" t="s">
        <v>111</v>
      </c>
      <c r="B110" s="91" t="s">
        <v>118</v>
      </c>
      <c r="C110" s="92">
        <v>10000</v>
      </c>
      <c r="D110" s="92">
        <v>10000</v>
      </c>
      <c r="E110" s="433">
        <v>18846</v>
      </c>
      <c r="F110" s="92">
        <v>18846</v>
      </c>
      <c r="G110" s="92">
        <v>18846</v>
      </c>
      <c r="H110" s="92">
        <v>18846</v>
      </c>
      <c r="I110" s="422">
        <f t="shared" si="9"/>
        <v>1</v>
      </c>
    </row>
    <row r="111" spans="1:9" ht="12.75">
      <c r="A111" s="86" t="s">
        <v>119</v>
      </c>
      <c r="B111" s="87" t="s">
        <v>120</v>
      </c>
      <c r="C111" s="88">
        <v>2420</v>
      </c>
      <c r="D111" s="88">
        <v>2420</v>
      </c>
      <c r="E111" s="434">
        <v>3120</v>
      </c>
      <c r="F111" s="434">
        <v>3220</v>
      </c>
      <c r="G111" s="88">
        <v>3220</v>
      </c>
      <c r="H111" s="88">
        <v>2633</v>
      </c>
      <c r="I111" s="422">
        <f t="shared" si="9"/>
        <v>0.8177018633540373</v>
      </c>
    </row>
    <row r="112" spans="1:9" ht="12.75">
      <c r="A112" s="96" t="s">
        <v>121</v>
      </c>
      <c r="B112" s="67" t="s">
        <v>122</v>
      </c>
      <c r="C112" s="68">
        <v>8500</v>
      </c>
      <c r="D112" s="68">
        <v>8500</v>
      </c>
      <c r="E112" s="171">
        <v>9000</v>
      </c>
      <c r="F112" s="68">
        <v>9000</v>
      </c>
      <c r="G112" s="68">
        <v>9000</v>
      </c>
      <c r="H112" s="68">
        <v>5838</v>
      </c>
      <c r="I112" s="422">
        <f t="shared" si="9"/>
        <v>0.6486666666666666</v>
      </c>
    </row>
    <row r="113" spans="1:9" ht="13.5" thickBot="1">
      <c r="A113" s="90" t="s">
        <v>123</v>
      </c>
      <c r="B113" s="91" t="s">
        <v>405</v>
      </c>
      <c r="C113" s="92">
        <v>1500</v>
      </c>
      <c r="D113" s="92">
        <v>1500</v>
      </c>
      <c r="E113" s="92">
        <v>1500</v>
      </c>
      <c r="F113" s="433">
        <f>1500+2000</f>
        <v>3500</v>
      </c>
      <c r="G113" s="433">
        <v>3800</v>
      </c>
      <c r="H113" s="92">
        <v>3073</v>
      </c>
      <c r="I113" s="422">
        <f t="shared" si="9"/>
        <v>0.8086842105263158</v>
      </c>
    </row>
    <row r="114" spans="1:9" ht="13.5" thickBot="1">
      <c r="A114" s="521" t="s">
        <v>125</v>
      </c>
      <c r="B114" s="522"/>
      <c r="C114" s="65">
        <f aca="true" t="shared" si="16" ref="C114:H114">SUM(C115:C118)</f>
        <v>276520</v>
      </c>
      <c r="D114" s="65">
        <f t="shared" si="16"/>
        <v>276520</v>
      </c>
      <c r="E114" s="65">
        <f t="shared" si="16"/>
        <v>276520</v>
      </c>
      <c r="F114" s="65">
        <f t="shared" si="16"/>
        <v>279320</v>
      </c>
      <c r="G114" s="65">
        <f t="shared" si="16"/>
        <v>279320</v>
      </c>
      <c r="H114" s="65">
        <f t="shared" si="16"/>
        <v>275105</v>
      </c>
      <c r="I114" s="422">
        <f t="shared" si="9"/>
        <v>0.9849097808964629</v>
      </c>
    </row>
    <row r="115" spans="1:9" ht="12.75">
      <c r="A115" s="100" t="s">
        <v>126</v>
      </c>
      <c r="B115" s="101" t="s">
        <v>127</v>
      </c>
      <c r="C115" s="102">
        <v>90000</v>
      </c>
      <c r="D115" s="102">
        <v>90000</v>
      </c>
      <c r="E115" s="102">
        <v>90000</v>
      </c>
      <c r="F115" s="102">
        <f>90000</f>
        <v>90000</v>
      </c>
      <c r="G115" s="102">
        <f>90000</f>
        <v>90000</v>
      </c>
      <c r="H115" s="102">
        <v>88171</v>
      </c>
      <c r="I115" s="422">
        <f t="shared" si="9"/>
        <v>0.9796777777777778</v>
      </c>
    </row>
    <row r="116" spans="1:9" ht="12.75">
      <c r="A116" s="103" t="s">
        <v>130</v>
      </c>
      <c r="B116" s="34" t="s">
        <v>131</v>
      </c>
      <c r="C116" s="35">
        <v>121340</v>
      </c>
      <c r="D116" s="35">
        <v>121340</v>
      </c>
      <c r="E116" s="35">
        <v>121340</v>
      </c>
      <c r="F116" s="163">
        <f>121340+1000+1000+600+200</f>
        <v>124140</v>
      </c>
      <c r="G116" s="35">
        <f>121340+1000+1000+600+200</f>
        <v>124140</v>
      </c>
      <c r="H116" s="35">
        <v>124069</v>
      </c>
      <c r="I116" s="422">
        <f t="shared" si="9"/>
        <v>0.9994280650878041</v>
      </c>
    </row>
    <row r="117" spans="1:9" ht="12.75">
      <c r="A117" s="103" t="s">
        <v>132</v>
      </c>
      <c r="B117" s="34" t="s">
        <v>133</v>
      </c>
      <c r="C117" s="35">
        <v>47180</v>
      </c>
      <c r="D117" s="35">
        <v>47180</v>
      </c>
      <c r="E117" s="35">
        <v>47180</v>
      </c>
      <c r="F117" s="35">
        <v>47180</v>
      </c>
      <c r="G117" s="35">
        <v>47180</v>
      </c>
      <c r="H117" s="35">
        <v>44865</v>
      </c>
      <c r="I117" s="422">
        <f t="shared" si="9"/>
        <v>0.9509325985587114</v>
      </c>
    </row>
    <row r="118" spans="1:9" ht="13.5" thickBot="1">
      <c r="A118" s="83" t="s">
        <v>134</v>
      </c>
      <c r="B118" s="84" t="s">
        <v>135</v>
      </c>
      <c r="C118" s="104">
        <v>18000</v>
      </c>
      <c r="D118" s="104">
        <v>18000</v>
      </c>
      <c r="E118" s="104">
        <v>18000</v>
      </c>
      <c r="F118" s="104">
        <v>18000</v>
      </c>
      <c r="G118" s="104">
        <v>18000</v>
      </c>
      <c r="H118" s="104">
        <v>18000</v>
      </c>
      <c r="I118" s="422">
        <f t="shared" si="9"/>
        <v>1</v>
      </c>
    </row>
    <row r="119" spans="1:9" ht="13.5" thickBot="1">
      <c r="A119" s="63" t="s">
        <v>136</v>
      </c>
      <c r="B119" s="64"/>
      <c r="C119" s="65">
        <f aca="true" t="shared" si="17" ref="C119:H119">SUM(C120:C127)</f>
        <v>99140</v>
      </c>
      <c r="D119" s="65">
        <f t="shared" si="17"/>
        <v>99140</v>
      </c>
      <c r="E119" s="65">
        <f t="shared" si="17"/>
        <v>99140</v>
      </c>
      <c r="F119" s="65">
        <f t="shared" si="17"/>
        <v>99140</v>
      </c>
      <c r="G119" s="65">
        <f t="shared" si="17"/>
        <v>99140</v>
      </c>
      <c r="H119" s="65">
        <f t="shared" si="17"/>
        <v>88396</v>
      </c>
      <c r="I119" s="422">
        <f t="shared" si="9"/>
        <v>0.8916280008069397</v>
      </c>
    </row>
    <row r="120" spans="1:9" ht="12.75">
      <c r="A120" s="96" t="s">
        <v>137</v>
      </c>
      <c r="B120" s="67" t="s">
        <v>138</v>
      </c>
      <c r="C120" s="68">
        <v>61100</v>
      </c>
      <c r="D120" s="68">
        <v>61100</v>
      </c>
      <c r="E120" s="68">
        <v>61100</v>
      </c>
      <c r="F120" s="68">
        <v>61100</v>
      </c>
      <c r="G120" s="68">
        <v>61100</v>
      </c>
      <c r="H120" s="68">
        <f>61452-H121</f>
        <v>59803</v>
      </c>
      <c r="I120" s="422">
        <f t="shared" si="9"/>
        <v>0.9787725040916531</v>
      </c>
    </row>
    <row r="121" spans="1:9" ht="12.75">
      <c r="A121" s="71" t="s">
        <v>137</v>
      </c>
      <c r="B121" s="43" t="s">
        <v>139</v>
      </c>
      <c r="C121" s="70">
        <v>1800</v>
      </c>
      <c r="D121" s="70">
        <v>1800</v>
      </c>
      <c r="E121" s="70">
        <v>1800</v>
      </c>
      <c r="F121" s="70">
        <v>1800</v>
      </c>
      <c r="G121" s="70">
        <v>1800</v>
      </c>
      <c r="H121" s="70">
        <f>1073+576</f>
        <v>1649</v>
      </c>
      <c r="I121" s="422">
        <f t="shared" si="9"/>
        <v>0.9161111111111111</v>
      </c>
    </row>
    <row r="122" spans="1:9" ht="13.5" thickBot="1">
      <c r="A122" s="90" t="s">
        <v>140</v>
      </c>
      <c r="B122" s="91" t="s">
        <v>141</v>
      </c>
      <c r="C122" s="92">
        <v>11000</v>
      </c>
      <c r="D122" s="92">
        <v>11000</v>
      </c>
      <c r="E122" s="92">
        <v>11000</v>
      </c>
      <c r="F122" s="92">
        <v>11000</v>
      </c>
      <c r="G122" s="92">
        <v>11000</v>
      </c>
      <c r="H122" s="92">
        <v>11000</v>
      </c>
      <c r="I122" s="422">
        <f t="shared" si="9"/>
        <v>1</v>
      </c>
    </row>
    <row r="123" spans="1:9" ht="12.75">
      <c r="A123" s="96" t="s">
        <v>142</v>
      </c>
      <c r="B123" s="67" t="s">
        <v>143</v>
      </c>
      <c r="C123" s="68">
        <v>300</v>
      </c>
      <c r="D123" s="68">
        <v>300</v>
      </c>
      <c r="E123" s="68">
        <v>300</v>
      </c>
      <c r="F123" s="68">
        <v>300</v>
      </c>
      <c r="G123" s="68">
        <v>300</v>
      </c>
      <c r="H123" s="68">
        <v>214</v>
      </c>
      <c r="I123" s="422">
        <f t="shared" si="9"/>
        <v>0.7133333333333334</v>
      </c>
    </row>
    <row r="124" spans="1:9" ht="12.75">
      <c r="A124" s="71" t="s">
        <v>144</v>
      </c>
      <c r="B124" s="43" t="s">
        <v>145</v>
      </c>
      <c r="C124" s="70">
        <v>17040</v>
      </c>
      <c r="D124" s="70">
        <v>17040</v>
      </c>
      <c r="E124" s="70">
        <v>17040</v>
      </c>
      <c r="F124" s="70">
        <v>17040</v>
      </c>
      <c r="G124" s="70">
        <v>17040</v>
      </c>
      <c r="H124" s="70">
        <v>8705</v>
      </c>
      <c r="I124" s="422">
        <f t="shared" si="9"/>
        <v>0.5108568075117371</v>
      </c>
    </row>
    <row r="125" spans="1:9" ht="12.75">
      <c r="A125" s="71" t="s">
        <v>146</v>
      </c>
      <c r="B125" s="43" t="s">
        <v>147</v>
      </c>
      <c r="C125" s="70">
        <v>7200</v>
      </c>
      <c r="D125" s="70">
        <v>7200</v>
      </c>
      <c r="E125" s="70">
        <v>7200</v>
      </c>
      <c r="F125" s="70">
        <v>7200</v>
      </c>
      <c r="G125" s="70">
        <v>7200</v>
      </c>
      <c r="H125" s="70">
        <v>7025</v>
      </c>
      <c r="I125" s="422">
        <f t="shared" si="9"/>
        <v>0.9756944444444444</v>
      </c>
    </row>
    <row r="126" spans="1:9" ht="12.75">
      <c r="A126" s="71" t="s">
        <v>148</v>
      </c>
      <c r="B126" s="43" t="s">
        <v>149</v>
      </c>
      <c r="C126" s="70">
        <v>400</v>
      </c>
      <c r="D126" s="70">
        <v>400</v>
      </c>
      <c r="E126" s="70">
        <v>400</v>
      </c>
      <c r="F126" s="70">
        <v>400</v>
      </c>
      <c r="G126" s="70">
        <v>400</v>
      </c>
      <c r="H126" s="70">
        <v>0</v>
      </c>
      <c r="I126" s="422">
        <f t="shared" si="9"/>
        <v>0</v>
      </c>
    </row>
    <row r="127" spans="1:9" ht="13.5" thickBot="1">
      <c r="A127" s="90" t="s">
        <v>150</v>
      </c>
      <c r="B127" s="91" t="s">
        <v>151</v>
      </c>
      <c r="C127" s="92">
        <v>300</v>
      </c>
      <c r="D127" s="92">
        <v>300</v>
      </c>
      <c r="E127" s="92">
        <v>300</v>
      </c>
      <c r="F127" s="92">
        <v>300</v>
      </c>
      <c r="G127" s="92">
        <v>300</v>
      </c>
      <c r="H127" s="92">
        <v>0</v>
      </c>
      <c r="I127" s="422">
        <f t="shared" si="9"/>
        <v>0</v>
      </c>
    </row>
    <row r="128" spans="1:9" ht="16.5" thickBot="1">
      <c r="A128" s="105" t="s">
        <v>152</v>
      </c>
      <c r="B128" s="106"/>
      <c r="C128" s="107">
        <f aca="true" t="shared" si="18" ref="C128:H128">SUM(C73+C78+C80+C82+C90+C95+C97+C114+C119)</f>
        <v>858041</v>
      </c>
      <c r="D128" s="107">
        <f t="shared" si="18"/>
        <v>922040</v>
      </c>
      <c r="E128" s="107">
        <f t="shared" si="18"/>
        <v>939740</v>
      </c>
      <c r="F128" s="107">
        <f t="shared" si="18"/>
        <v>954790</v>
      </c>
      <c r="G128" s="107">
        <f t="shared" si="18"/>
        <v>950080</v>
      </c>
      <c r="H128" s="107">
        <f t="shared" si="18"/>
        <v>827266</v>
      </c>
      <c r="I128" s="422">
        <f t="shared" si="9"/>
        <v>0.870732990906029</v>
      </c>
    </row>
    <row r="129" spans="1:9" ht="15" customHeight="1">
      <c r="A129" s="108" t="s">
        <v>128</v>
      </c>
      <c r="B129" s="109" t="s">
        <v>153</v>
      </c>
      <c r="C129" s="110">
        <f aca="true" t="shared" si="19" ref="C129:H129">C49+C64+C66+C41</f>
        <v>334000</v>
      </c>
      <c r="D129" s="172">
        <f t="shared" si="19"/>
        <v>358865</v>
      </c>
      <c r="E129" s="110">
        <f t="shared" si="19"/>
        <v>358865</v>
      </c>
      <c r="F129" s="172">
        <f t="shared" si="19"/>
        <v>359365</v>
      </c>
      <c r="G129" s="172">
        <f t="shared" si="19"/>
        <v>371161</v>
      </c>
      <c r="H129" s="110">
        <f t="shared" si="19"/>
        <v>371119</v>
      </c>
      <c r="I129" s="422">
        <f t="shared" si="9"/>
        <v>0.9998868415593233</v>
      </c>
    </row>
    <row r="130" spans="1:9" ht="12.75">
      <c r="A130" s="111" t="s">
        <v>154</v>
      </c>
      <c r="B130" s="48" t="s">
        <v>155</v>
      </c>
      <c r="C130" s="112">
        <v>17000</v>
      </c>
      <c r="D130" s="393">
        <v>17200</v>
      </c>
      <c r="E130" s="393">
        <f>17200+200</f>
        <v>17400</v>
      </c>
      <c r="F130" s="393">
        <f>17200+200+200</f>
        <v>17600</v>
      </c>
      <c r="G130" s="112">
        <v>17600</v>
      </c>
      <c r="H130" s="112">
        <v>17600</v>
      </c>
      <c r="I130" s="422">
        <f t="shared" si="9"/>
        <v>1</v>
      </c>
    </row>
    <row r="131" spans="1:9" ht="13.5" thickBot="1">
      <c r="A131" s="527" t="s">
        <v>156</v>
      </c>
      <c r="B131" s="528"/>
      <c r="C131" s="113">
        <f aca="true" t="shared" si="20" ref="C131:H131">SUM(C129:C130)</f>
        <v>351000</v>
      </c>
      <c r="D131" s="113">
        <f t="shared" si="20"/>
        <v>376065</v>
      </c>
      <c r="E131" s="113">
        <f t="shared" si="20"/>
        <v>376265</v>
      </c>
      <c r="F131" s="113">
        <f t="shared" si="20"/>
        <v>376965</v>
      </c>
      <c r="G131" s="113">
        <f t="shared" si="20"/>
        <v>388761</v>
      </c>
      <c r="H131" s="113">
        <f t="shared" si="20"/>
        <v>388719</v>
      </c>
      <c r="I131" s="422">
        <f t="shared" si="9"/>
        <v>0.9998919644717449</v>
      </c>
    </row>
    <row r="132" spans="1:9" ht="16.5" thickBot="1">
      <c r="A132" s="114" t="s">
        <v>157</v>
      </c>
      <c r="B132" s="80"/>
      <c r="C132" s="115">
        <f aca="true" t="shared" si="21" ref="C132:H132">C128+C131</f>
        <v>1209041</v>
      </c>
      <c r="D132" s="115">
        <f t="shared" si="21"/>
        <v>1298105</v>
      </c>
      <c r="E132" s="115">
        <f t="shared" si="21"/>
        <v>1316005</v>
      </c>
      <c r="F132" s="115">
        <f t="shared" si="21"/>
        <v>1331755</v>
      </c>
      <c r="G132" s="115">
        <f t="shared" si="21"/>
        <v>1338841</v>
      </c>
      <c r="H132" s="115">
        <f t="shared" si="21"/>
        <v>1215985</v>
      </c>
      <c r="I132" s="422">
        <f t="shared" si="9"/>
        <v>0.9082370498065118</v>
      </c>
    </row>
    <row r="133" ht="12.75">
      <c r="I133" s="422"/>
    </row>
    <row r="134" ht="12.75">
      <c r="I134" s="422"/>
    </row>
    <row r="135" ht="12.75">
      <c r="I135" s="422"/>
    </row>
    <row r="137" spans="1:8" ht="27.75" customHeight="1" thickBot="1">
      <c r="A137" s="116"/>
      <c r="B137" s="117"/>
      <c r="C137" s="117"/>
      <c r="D137" s="117"/>
      <c r="E137" s="117"/>
      <c r="F137" s="117"/>
      <c r="G137" s="117"/>
      <c r="H137" s="117"/>
    </row>
    <row r="138" spans="1:8" ht="16.5" customHeight="1" thickBot="1">
      <c r="A138" s="545" t="s">
        <v>158</v>
      </c>
      <c r="B138" s="546"/>
      <c r="C138" s="546"/>
      <c r="D138" s="546"/>
      <c r="E138" s="546"/>
      <c r="F138" s="546"/>
      <c r="G138" s="546"/>
      <c r="H138" s="547"/>
    </row>
    <row r="139" spans="1:8" ht="12.75" customHeight="1">
      <c r="A139" s="515" t="s">
        <v>3</v>
      </c>
      <c r="B139" s="516"/>
      <c r="C139" s="512" t="s">
        <v>4</v>
      </c>
      <c r="D139" s="512" t="s">
        <v>199</v>
      </c>
      <c r="E139" s="512" t="s">
        <v>361</v>
      </c>
      <c r="F139" s="512" t="s">
        <v>397</v>
      </c>
      <c r="G139" s="512" t="s">
        <v>446</v>
      </c>
      <c r="H139" s="537" t="s">
        <v>464</v>
      </c>
    </row>
    <row r="140" spans="1:8" ht="13.5" thickBot="1">
      <c r="A140" s="523"/>
      <c r="B140" s="524"/>
      <c r="C140" s="513"/>
      <c r="D140" s="513"/>
      <c r="E140" s="513"/>
      <c r="F140" s="513"/>
      <c r="G140" s="513"/>
      <c r="H140" s="538"/>
    </row>
    <row r="141" spans="1:9" ht="18.75" customHeight="1" thickBot="1">
      <c r="A141" s="529" t="s">
        <v>159</v>
      </c>
      <c r="B141" s="530"/>
      <c r="C141" s="121">
        <f aca="true" t="shared" si="22" ref="C141:H141">SUM(C142:C145)</f>
        <v>210370</v>
      </c>
      <c r="D141" s="121">
        <f t="shared" si="22"/>
        <v>589925</v>
      </c>
      <c r="E141" s="121">
        <f t="shared" si="22"/>
        <v>592186</v>
      </c>
      <c r="F141" s="121">
        <f t="shared" si="22"/>
        <v>593259</v>
      </c>
      <c r="G141" s="121">
        <f t="shared" si="22"/>
        <v>593259</v>
      </c>
      <c r="H141" s="121">
        <f t="shared" si="22"/>
        <v>106863</v>
      </c>
      <c r="I141" s="422">
        <f>H141/G141</f>
        <v>0.18012874646655172</v>
      </c>
    </row>
    <row r="142" spans="1:9" ht="13.5" thickBot="1">
      <c r="A142" s="122">
        <v>230</v>
      </c>
      <c r="B142" s="123" t="s">
        <v>160</v>
      </c>
      <c r="C142" s="124">
        <v>30000</v>
      </c>
      <c r="D142" s="124">
        <v>30000</v>
      </c>
      <c r="E142" s="426">
        <f>30000+2261</f>
        <v>32261</v>
      </c>
      <c r="F142" s="426">
        <f>30000+2261+1073</f>
        <v>33334</v>
      </c>
      <c r="G142" s="124">
        <v>33334</v>
      </c>
      <c r="H142" s="124">
        <v>3334</v>
      </c>
      <c r="I142" s="422">
        <f aca="true" t="shared" si="23" ref="I142:I153">H142/G142</f>
        <v>0.1000179996400072</v>
      </c>
    </row>
    <row r="143" spans="1:10" ht="12.75">
      <c r="A143" s="42">
        <v>322</v>
      </c>
      <c r="B143" s="67" t="s">
        <v>161</v>
      </c>
      <c r="C143" s="68">
        <v>0</v>
      </c>
      <c r="D143" s="171">
        <v>326446</v>
      </c>
      <c r="E143" s="68">
        <v>326446</v>
      </c>
      <c r="F143" s="68">
        <v>326446</v>
      </c>
      <c r="G143" s="68">
        <v>326446</v>
      </c>
      <c r="H143" s="68">
        <v>50426</v>
      </c>
      <c r="I143" s="422">
        <f t="shared" si="23"/>
        <v>0.15446965194856116</v>
      </c>
      <c r="J143" s="161"/>
    </row>
    <row r="144" spans="1:10" ht="12.75">
      <c r="A144" s="42">
        <v>322</v>
      </c>
      <c r="B144" s="67" t="s">
        <v>162</v>
      </c>
      <c r="C144" s="68">
        <v>0</v>
      </c>
      <c r="D144" s="171">
        <v>53105</v>
      </c>
      <c r="E144" s="68">
        <v>53105</v>
      </c>
      <c r="F144" s="68">
        <v>53105</v>
      </c>
      <c r="G144" s="68">
        <v>53105</v>
      </c>
      <c r="H144" s="68">
        <v>53103</v>
      </c>
      <c r="I144" s="422">
        <f t="shared" si="23"/>
        <v>0.9999623387628284</v>
      </c>
      <c r="J144" s="161"/>
    </row>
    <row r="145" spans="1:9" ht="13.5" thickBot="1">
      <c r="A145" s="44">
        <v>322</v>
      </c>
      <c r="B145" s="43" t="s">
        <v>163</v>
      </c>
      <c r="C145" s="70">
        <v>180370</v>
      </c>
      <c r="D145" s="170">
        <v>180374</v>
      </c>
      <c r="E145" s="70">
        <v>180374</v>
      </c>
      <c r="F145" s="70">
        <v>180374</v>
      </c>
      <c r="G145" s="70">
        <v>180374</v>
      </c>
      <c r="H145" s="70">
        <v>0</v>
      </c>
      <c r="I145" s="422">
        <f t="shared" si="23"/>
        <v>0</v>
      </c>
    </row>
    <row r="146" spans="1:9" ht="16.5" thickBot="1">
      <c r="A146" s="529" t="s">
        <v>164</v>
      </c>
      <c r="B146" s="530"/>
      <c r="C146" s="121">
        <f aca="true" t="shared" si="24" ref="C146:H146">SUM(C147:C153)</f>
        <v>257420</v>
      </c>
      <c r="D146" s="121">
        <f t="shared" si="24"/>
        <v>656948</v>
      </c>
      <c r="E146" s="121">
        <f t="shared" si="24"/>
        <v>659209</v>
      </c>
      <c r="F146" s="121">
        <f t="shared" si="24"/>
        <v>659209</v>
      </c>
      <c r="G146" s="121">
        <f t="shared" si="24"/>
        <v>659209</v>
      </c>
      <c r="H146" s="121">
        <f t="shared" si="24"/>
        <v>88410</v>
      </c>
      <c r="I146" s="422">
        <f t="shared" si="23"/>
        <v>0.1341152805862784</v>
      </c>
    </row>
    <row r="147" spans="1:9" ht="12.75">
      <c r="A147" s="71" t="s">
        <v>84</v>
      </c>
      <c r="B147" s="12" t="s">
        <v>165</v>
      </c>
      <c r="C147" s="13">
        <v>0</v>
      </c>
      <c r="D147" s="13">
        <v>0</v>
      </c>
      <c r="E147" s="162">
        <v>2261</v>
      </c>
      <c r="F147" s="384">
        <v>2261</v>
      </c>
      <c r="G147" s="384">
        <v>2261</v>
      </c>
      <c r="H147" s="384">
        <v>2261</v>
      </c>
      <c r="I147" s="422">
        <f t="shared" si="23"/>
        <v>1</v>
      </c>
    </row>
    <row r="148" spans="1:9" ht="12.75">
      <c r="A148" s="125" t="s">
        <v>84</v>
      </c>
      <c r="B148" s="12" t="s">
        <v>166</v>
      </c>
      <c r="C148" s="13">
        <v>30000</v>
      </c>
      <c r="D148" s="13">
        <v>30000</v>
      </c>
      <c r="E148" s="13">
        <v>30000</v>
      </c>
      <c r="F148" s="13">
        <v>30000</v>
      </c>
      <c r="G148" s="13">
        <v>30000</v>
      </c>
      <c r="H148" s="384">
        <v>0</v>
      </c>
      <c r="I148" s="422">
        <f t="shared" si="23"/>
        <v>0</v>
      </c>
    </row>
    <row r="149" spans="1:9" ht="12.75">
      <c r="A149" s="66" t="s">
        <v>89</v>
      </c>
      <c r="B149" s="127" t="s">
        <v>168</v>
      </c>
      <c r="C149" s="10">
        <v>7550</v>
      </c>
      <c r="D149" s="10">
        <v>7550</v>
      </c>
      <c r="E149" s="390">
        <v>7550</v>
      </c>
      <c r="F149" s="390">
        <v>7550</v>
      </c>
      <c r="G149" s="390">
        <v>7550</v>
      </c>
      <c r="H149" s="390">
        <v>7550</v>
      </c>
      <c r="I149" s="422">
        <f t="shared" si="23"/>
        <v>1</v>
      </c>
    </row>
    <row r="150" spans="1:9" ht="12.75">
      <c r="A150" s="66" t="s">
        <v>92</v>
      </c>
      <c r="B150" s="9" t="s">
        <v>468</v>
      </c>
      <c r="C150" s="13">
        <v>0</v>
      </c>
      <c r="D150" s="162">
        <v>343628</v>
      </c>
      <c r="E150" s="384">
        <v>343628</v>
      </c>
      <c r="F150" s="384">
        <v>343628</v>
      </c>
      <c r="G150" s="384">
        <f>342208+1420</f>
        <v>343628</v>
      </c>
      <c r="H150" s="384">
        <f>0+53080</f>
        <v>53080</v>
      </c>
      <c r="I150" s="422">
        <f t="shared" si="23"/>
        <v>0.15446936803752895</v>
      </c>
    </row>
    <row r="151" spans="1:9" ht="12.75">
      <c r="A151" s="103" t="s">
        <v>94</v>
      </c>
      <c r="B151" s="126" t="s">
        <v>170</v>
      </c>
      <c r="C151" s="13">
        <v>30000</v>
      </c>
      <c r="D151" s="13">
        <v>30000</v>
      </c>
      <c r="E151" s="384">
        <v>30000</v>
      </c>
      <c r="F151" s="384">
        <v>30000</v>
      </c>
      <c r="G151" s="384">
        <v>30000</v>
      </c>
      <c r="H151" s="384">
        <v>25519</v>
      </c>
      <c r="I151" s="422">
        <f t="shared" si="23"/>
        <v>0.8506333333333334</v>
      </c>
    </row>
    <row r="152" spans="1:9" ht="12.75">
      <c r="A152" s="71" t="s">
        <v>94</v>
      </c>
      <c r="B152" s="12" t="s">
        <v>171</v>
      </c>
      <c r="C152" s="13">
        <v>0</v>
      </c>
      <c r="D152" s="162">
        <v>55900</v>
      </c>
      <c r="E152" s="384">
        <v>55900</v>
      </c>
      <c r="F152" s="384">
        <v>55900</v>
      </c>
      <c r="G152" s="391">
        <v>55900</v>
      </c>
      <c r="H152" s="384">
        <v>0</v>
      </c>
      <c r="I152" s="422">
        <f t="shared" si="23"/>
        <v>0</v>
      </c>
    </row>
    <row r="153" spans="1:9" ht="12.75" customHeight="1" thickBot="1">
      <c r="A153" s="129" t="s">
        <v>99</v>
      </c>
      <c r="B153" s="15" t="s">
        <v>175</v>
      </c>
      <c r="C153" s="16">
        <v>189870</v>
      </c>
      <c r="D153" s="16">
        <v>189870</v>
      </c>
      <c r="E153" s="16">
        <v>189870</v>
      </c>
      <c r="F153" s="16">
        <v>189870</v>
      </c>
      <c r="G153" s="16">
        <v>189870</v>
      </c>
      <c r="H153" s="16">
        <v>0</v>
      </c>
      <c r="I153" s="422">
        <f t="shared" si="23"/>
        <v>0</v>
      </c>
    </row>
    <row r="154" ht="12.75">
      <c r="I154" s="422"/>
    </row>
    <row r="156" spans="1:8" ht="12.75">
      <c r="A156" s="130"/>
      <c r="B156" s="131"/>
      <c r="C156" s="131"/>
      <c r="D156" s="131"/>
      <c r="E156" s="131"/>
      <c r="F156" s="131"/>
      <c r="G156" s="131"/>
      <c r="H156" s="131"/>
    </row>
    <row r="157" spans="1:8" ht="19.5" customHeight="1" thickBot="1">
      <c r="A157" s="131"/>
      <c r="B157" s="117"/>
      <c r="C157" s="117"/>
      <c r="D157" s="117"/>
      <c r="E157" s="117"/>
      <c r="F157" s="117"/>
      <c r="G157" s="117"/>
      <c r="H157" s="117"/>
    </row>
    <row r="158" spans="1:8" ht="26.25" customHeight="1" thickBot="1">
      <c r="A158" s="534" t="s">
        <v>176</v>
      </c>
      <c r="B158" s="535"/>
      <c r="C158" s="535"/>
      <c r="D158" s="535"/>
      <c r="E158" s="535"/>
      <c r="F158" s="535"/>
      <c r="G158" s="535"/>
      <c r="H158" s="536"/>
    </row>
    <row r="159" spans="1:8" ht="12.75" customHeight="1">
      <c r="A159" s="515" t="s">
        <v>3</v>
      </c>
      <c r="B159" s="516"/>
      <c r="C159" s="512" t="s">
        <v>4</v>
      </c>
      <c r="D159" s="512" t="s">
        <v>199</v>
      </c>
      <c r="E159" s="512" t="s">
        <v>361</v>
      </c>
      <c r="F159" s="512" t="s">
        <v>397</v>
      </c>
      <c r="G159" s="512" t="s">
        <v>446</v>
      </c>
      <c r="H159" s="537" t="s">
        <v>464</v>
      </c>
    </row>
    <row r="160" spans="1:8" ht="13.5" thickBot="1">
      <c r="A160" s="523"/>
      <c r="B160" s="524"/>
      <c r="C160" s="513"/>
      <c r="D160" s="513"/>
      <c r="E160" s="513"/>
      <c r="F160" s="513"/>
      <c r="G160" s="513"/>
      <c r="H160" s="538"/>
    </row>
    <row r="161" spans="1:9" ht="17.25" customHeight="1" thickBot="1">
      <c r="A161" s="525" t="s">
        <v>177</v>
      </c>
      <c r="B161" s="526"/>
      <c r="C161" s="135">
        <f aca="true" t="shared" si="25" ref="C161:H161">SUM(C162:C164)</f>
        <v>30427</v>
      </c>
      <c r="D161" s="135">
        <f t="shared" si="25"/>
        <v>48171</v>
      </c>
      <c r="E161" s="135">
        <f t="shared" si="25"/>
        <v>48171</v>
      </c>
      <c r="F161" s="135">
        <f t="shared" si="25"/>
        <v>22748</v>
      </c>
      <c r="G161" s="135">
        <f t="shared" si="25"/>
        <v>7382</v>
      </c>
      <c r="H161" s="135">
        <f t="shared" si="25"/>
        <v>3342</v>
      </c>
      <c r="I161" s="422">
        <f>H161/G161</f>
        <v>0.45272283933893254</v>
      </c>
    </row>
    <row r="162" spans="1:9" ht="12.75">
      <c r="A162" s="136">
        <v>411</v>
      </c>
      <c r="B162" s="137" t="s">
        <v>178</v>
      </c>
      <c r="C162" s="138">
        <v>427</v>
      </c>
      <c r="D162" s="138">
        <v>427</v>
      </c>
      <c r="E162" s="138">
        <v>427</v>
      </c>
      <c r="F162" s="138">
        <v>427</v>
      </c>
      <c r="G162" s="138">
        <v>427</v>
      </c>
      <c r="H162" s="138">
        <v>0</v>
      </c>
      <c r="I162" s="422">
        <f aca="true" t="shared" si="26" ref="I162:I167">H162/G162</f>
        <v>0</v>
      </c>
    </row>
    <row r="163" spans="1:9" ht="12.75">
      <c r="A163" s="139">
        <v>454</v>
      </c>
      <c r="B163" s="45" t="s">
        <v>179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22">
        <v>0</v>
      </c>
    </row>
    <row r="164" spans="1:9" ht="13.5" thickBot="1">
      <c r="A164" s="140">
        <v>513</v>
      </c>
      <c r="B164" s="141" t="s">
        <v>180</v>
      </c>
      <c r="C164" s="142">
        <v>30000</v>
      </c>
      <c r="D164" s="174">
        <f>30000+17744</f>
        <v>47744</v>
      </c>
      <c r="E164" s="387">
        <f>30000+17744</f>
        <v>47744</v>
      </c>
      <c r="F164" s="174">
        <f>30000+17744-25423</f>
        <v>22321</v>
      </c>
      <c r="G164" s="174">
        <f>30000+17744-25423-15366</f>
        <v>6955</v>
      </c>
      <c r="H164" s="387">
        <v>3342</v>
      </c>
      <c r="I164" s="422">
        <f t="shared" si="26"/>
        <v>0.4805176132278936</v>
      </c>
    </row>
    <row r="165" spans="1:9" ht="16.5" thickBot="1">
      <c r="A165" s="525" t="s">
        <v>181</v>
      </c>
      <c r="B165" s="526"/>
      <c r="C165" s="135">
        <f aca="true" t="shared" si="27" ref="C165:H165">SUM(C166:C167)</f>
        <v>40700</v>
      </c>
      <c r="D165" s="135">
        <f t="shared" si="27"/>
        <v>40700</v>
      </c>
      <c r="E165" s="135">
        <f t="shared" si="27"/>
        <v>40700</v>
      </c>
      <c r="F165" s="135">
        <f t="shared" si="27"/>
        <v>40700</v>
      </c>
      <c r="G165" s="135">
        <f t="shared" si="27"/>
        <v>40700</v>
      </c>
      <c r="H165" s="135">
        <f t="shared" si="27"/>
        <v>30423</v>
      </c>
      <c r="I165" s="422">
        <f t="shared" si="26"/>
        <v>0.7474938574938574</v>
      </c>
    </row>
    <row r="166" spans="1:9" ht="15" customHeight="1">
      <c r="A166" s="143">
        <v>821</v>
      </c>
      <c r="B166" s="137" t="s">
        <v>182</v>
      </c>
      <c r="C166" s="144">
        <v>40000</v>
      </c>
      <c r="D166" s="144">
        <v>40000</v>
      </c>
      <c r="E166" s="144">
        <v>40000</v>
      </c>
      <c r="F166" s="144">
        <v>40000</v>
      </c>
      <c r="G166" s="144">
        <v>40000</v>
      </c>
      <c r="H166" s="144">
        <v>29747</v>
      </c>
      <c r="I166" s="422">
        <f t="shared" si="26"/>
        <v>0.743675</v>
      </c>
    </row>
    <row r="167" spans="1:9" ht="13.5" thickBot="1">
      <c r="A167" s="29">
        <v>821</v>
      </c>
      <c r="B167" s="145" t="s">
        <v>183</v>
      </c>
      <c r="C167" s="146">
        <v>700</v>
      </c>
      <c r="D167" s="146">
        <v>700</v>
      </c>
      <c r="E167" s="146">
        <v>700</v>
      </c>
      <c r="F167" s="146">
        <v>700</v>
      </c>
      <c r="G167" s="7">
        <v>700</v>
      </c>
      <c r="H167" s="146">
        <v>676</v>
      </c>
      <c r="I167" s="422">
        <f t="shared" si="26"/>
        <v>0.9657142857142857</v>
      </c>
    </row>
    <row r="168" spans="1:9" ht="15.75">
      <c r="A168" s="57"/>
      <c r="B168" s="116"/>
      <c r="C168" s="116"/>
      <c r="D168" s="116"/>
      <c r="E168" s="116"/>
      <c r="F168" s="116"/>
      <c r="G168" s="116"/>
      <c r="H168" s="116"/>
      <c r="I168" s="422"/>
    </row>
    <row r="169" spans="1:8" ht="15.75">
      <c r="A169" s="57"/>
      <c r="B169" s="116"/>
      <c r="C169" s="116"/>
      <c r="D169" s="116"/>
      <c r="E169" s="116"/>
      <c r="F169" s="116"/>
      <c r="G169" s="116"/>
      <c r="H169" s="116"/>
    </row>
    <row r="170" spans="1:8" ht="15.75">
      <c r="A170" s="57"/>
      <c r="B170" s="116"/>
      <c r="C170" s="116"/>
      <c r="D170" s="116"/>
      <c r="E170" s="116"/>
      <c r="F170" s="116"/>
      <c r="G170" s="116"/>
      <c r="H170" s="116"/>
    </row>
    <row r="171" spans="1:8" ht="7.5" customHeight="1">
      <c r="A171" s="57"/>
      <c r="B171" s="116"/>
      <c r="C171" s="116"/>
      <c r="D171" s="116"/>
      <c r="E171" s="116"/>
      <c r="F171" s="116"/>
      <c r="G171" s="116"/>
      <c r="H171" s="116"/>
    </row>
    <row r="172" spans="2:8" ht="21" customHeight="1" thickBot="1">
      <c r="B172" s="117"/>
      <c r="C172" s="117"/>
      <c r="D172" s="117"/>
      <c r="E172" s="117"/>
      <c r="F172" s="117"/>
      <c r="G172" s="117"/>
      <c r="H172" s="117"/>
    </row>
    <row r="173" spans="1:8" ht="30" customHeight="1" thickBot="1">
      <c r="A173" s="539" t="s">
        <v>184</v>
      </c>
      <c r="B173" s="540"/>
      <c r="C173" s="540"/>
      <c r="D173" s="540"/>
      <c r="E173" s="540"/>
      <c r="F173" s="540"/>
      <c r="G173" s="540"/>
      <c r="H173" s="541"/>
    </row>
    <row r="174" spans="1:8" ht="12.75" customHeight="1">
      <c r="A174" s="515" t="s">
        <v>3</v>
      </c>
      <c r="B174" s="516"/>
      <c r="C174" s="512" t="s">
        <v>4</v>
      </c>
      <c r="D174" s="512" t="s">
        <v>199</v>
      </c>
      <c r="E174" s="512" t="s">
        <v>361</v>
      </c>
      <c r="F174" s="512" t="s">
        <v>397</v>
      </c>
      <c r="G174" s="512" t="s">
        <v>446</v>
      </c>
      <c r="H174" s="537" t="s">
        <v>464</v>
      </c>
    </row>
    <row r="175" spans="1:8" ht="13.5" thickBot="1">
      <c r="A175" s="501"/>
      <c r="B175" s="502"/>
      <c r="C175" s="513"/>
      <c r="D175" s="513"/>
      <c r="E175" s="513"/>
      <c r="F175" s="513"/>
      <c r="G175" s="513"/>
      <c r="H175" s="538"/>
    </row>
    <row r="176" spans="1:8" ht="12.75" customHeight="1">
      <c r="A176" s="150" t="s">
        <v>185</v>
      </c>
      <c r="B176" s="19"/>
      <c r="C176" s="88">
        <f aca="true" t="shared" si="28" ref="C176:H176">C67</f>
        <v>1266364</v>
      </c>
      <c r="D176" s="88">
        <f t="shared" si="28"/>
        <v>1357657</v>
      </c>
      <c r="E176" s="88">
        <f t="shared" si="28"/>
        <v>1375557</v>
      </c>
      <c r="F176" s="88">
        <f t="shared" si="28"/>
        <v>1415657</v>
      </c>
      <c r="G176" s="88">
        <f t="shared" si="28"/>
        <v>1438109</v>
      </c>
      <c r="H176" s="88">
        <f t="shared" si="28"/>
        <v>1333776.1600000001</v>
      </c>
    </row>
    <row r="177" spans="1:8" ht="15">
      <c r="A177" s="151" t="s">
        <v>186</v>
      </c>
      <c r="B177" s="12"/>
      <c r="C177" s="70">
        <f aca="true" t="shared" si="29" ref="C177:H177">C132</f>
        <v>1209041</v>
      </c>
      <c r="D177" s="70">
        <f t="shared" si="29"/>
        <v>1298105</v>
      </c>
      <c r="E177" s="70">
        <f t="shared" si="29"/>
        <v>1316005</v>
      </c>
      <c r="F177" s="70">
        <f t="shared" si="29"/>
        <v>1331755</v>
      </c>
      <c r="G177" s="70">
        <f t="shared" si="29"/>
        <v>1338841</v>
      </c>
      <c r="H177" s="70">
        <f t="shared" si="29"/>
        <v>1215985</v>
      </c>
    </row>
    <row r="178" spans="1:8" ht="15.75">
      <c r="A178" s="152"/>
      <c r="B178" s="153" t="s">
        <v>187</v>
      </c>
      <c r="C178" s="154">
        <f aca="true" t="shared" si="30" ref="C178:H178">C176-C177</f>
        <v>57323</v>
      </c>
      <c r="D178" s="154">
        <f t="shared" si="30"/>
        <v>59552</v>
      </c>
      <c r="E178" s="154">
        <f t="shared" si="30"/>
        <v>59552</v>
      </c>
      <c r="F178" s="154">
        <f t="shared" si="30"/>
        <v>83902</v>
      </c>
      <c r="G178" s="154">
        <f t="shared" si="30"/>
        <v>99268</v>
      </c>
      <c r="H178" s="154">
        <f t="shared" si="30"/>
        <v>117791.16000000015</v>
      </c>
    </row>
    <row r="179" spans="1:8" ht="15">
      <c r="A179" s="151" t="s">
        <v>188</v>
      </c>
      <c r="B179" s="12"/>
      <c r="C179" s="70">
        <f aca="true" t="shared" si="31" ref="C179:H179">C141</f>
        <v>210370</v>
      </c>
      <c r="D179" s="70">
        <f t="shared" si="31"/>
        <v>589925</v>
      </c>
      <c r="E179" s="70">
        <f t="shared" si="31"/>
        <v>592186</v>
      </c>
      <c r="F179" s="70">
        <f t="shared" si="31"/>
        <v>593259</v>
      </c>
      <c r="G179" s="70">
        <f t="shared" si="31"/>
        <v>593259</v>
      </c>
      <c r="H179" s="70">
        <f t="shared" si="31"/>
        <v>106863</v>
      </c>
    </row>
    <row r="180" spans="1:8" ht="15">
      <c r="A180" s="151" t="s">
        <v>189</v>
      </c>
      <c r="B180" s="12"/>
      <c r="C180" s="13">
        <f aca="true" t="shared" si="32" ref="C180:H180">C146</f>
        <v>257420</v>
      </c>
      <c r="D180" s="13">
        <f t="shared" si="32"/>
        <v>656948</v>
      </c>
      <c r="E180" s="13">
        <f t="shared" si="32"/>
        <v>659209</v>
      </c>
      <c r="F180" s="13">
        <f t="shared" si="32"/>
        <v>659209</v>
      </c>
      <c r="G180" s="13">
        <f t="shared" si="32"/>
        <v>659209</v>
      </c>
      <c r="H180" s="13">
        <f t="shared" si="32"/>
        <v>88410</v>
      </c>
    </row>
    <row r="181" spans="1:8" ht="15.75">
      <c r="A181" s="152"/>
      <c r="B181" s="155" t="s">
        <v>190</v>
      </c>
      <c r="C181" s="154">
        <f aca="true" t="shared" si="33" ref="C181:H181">C179-C180</f>
        <v>-47050</v>
      </c>
      <c r="D181" s="154">
        <f t="shared" si="33"/>
        <v>-67023</v>
      </c>
      <c r="E181" s="154">
        <f t="shared" si="33"/>
        <v>-67023</v>
      </c>
      <c r="F181" s="154">
        <f t="shared" si="33"/>
        <v>-65950</v>
      </c>
      <c r="G181" s="154">
        <f t="shared" si="33"/>
        <v>-65950</v>
      </c>
      <c r="H181" s="154">
        <f t="shared" si="33"/>
        <v>18453</v>
      </c>
    </row>
    <row r="182" spans="1:8" ht="15">
      <c r="A182" s="500" t="s">
        <v>191</v>
      </c>
      <c r="B182" s="533"/>
      <c r="C182" s="82">
        <f aca="true" t="shared" si="34" ref="C182:H182">C161</f>
        <v>30427</v>
      </c>
      <c r="D182" s="82">
        <f t="shared" si="34"/>
        <v>48171</v>
      </c>
      <c r="E182" s="82">
        <f t="shared" si="34"/>
        <v>48171</v>
      </c>
      <c r="F182" s="82">
        <f t="shared" si="34"/>
        <v>22748</v>
      </c>
      <c r="G182" s="82">
        <f t="shared" si="34"/>
        <v>7382</v>
      </c>
      <c r="H182" s="82">
        <f t="shared" si="34"/>
        <v>3342</v>
      </c>
    </row>
    <row r="183" spans="1:8" ht="15">
      <c r="A183" s="500" t="s">
        <v>192</v>
      </c>
      <c r="B183" s="533"/>
      <c r="C183" s="82">
        <f aca="true" t="shared" si="35" ref="C183:H183">C165</f>
        <v>40700</v>
      </c>
      <c r="D183" s="82">
        <f t="shared" si="35"/>
        <v>40700</v>
      </c>
      <c r="E183" s="82">
        <f t="shared" si="35"/>
        <v>40700</v>
      </c>
      <c r="F183" s="82">
        <f t="shared" si="35"/>
        <v>40700</v>
      </c>
      <c r="G183" s="82">
        <f t="shared" si="35"/>
        <v>40700</v>
      </c>
      <c r="H183" s="82">
        <f t="shared" si="35"/>
        <v>30423</v>
      </c>
    </row>
    <row r="184" spans="1:8" ht="16.5" thickBot="1">
      <c r="A184" s="156"/>
      <c r="B184" s="157" t="s">
        <v>193</v>
      </c>
      <c r="C184" s="158">
        <f aca="true" t="shared" si="36" ref="C184:H184">C182-C183</f>
        <v>-10273</v>
      </c>
      <c r="D184" s="158">
        <f t="shared" si="36"/>
        <v>7471</v>
      </c>
      <c r="E184" s="158">
        <f t="shared" si="36"/>
        <v>7471</v>
      </c>
      <c r="F184" s="158">
        <f t="shared" si="36"/>
        <v>-17952</v>
      </c>
      <c r="G184" s="158">
        <f t="shared" si="36"/>
        <v>-33318</v>
      </c>
      <c r="H184" s="158">
        <f t="shared" si="36"/>
        <v>-27081</v>
      </c>
    </row>
    <row r="185" spans="1:8" ht="16.5" thickBot="1">
      <c r="A185" s="531" t="s">
        <v>194</v>
      </c>
      <c r="B185" s="532"/>
      <c r="C185" s="159">
        <f aca="true" t="shared" si="37" ref="C185:H185">C178+C181+C184</f>
        <v>0</v>
      </c>
      <c r="D185" s="159">
        <f t="shared" si="37"/>
        <v>0</v>
      </c>
      <c r="E185" s="159">
        <f t="shared" si="37"/>
        <v>0</v>
      </c>
      <c r="F185" s="159">
        <f t="shared" si="37"/>
        <v>0</v>
      </c>
      <c r="G185" s="159">
        <f t="shared" si="37"/>
        <v>0</v>
      </c>
      <c r="H185" s="159">
        <f t="shared" si="37"/>
        <v>109163.16000000015</v>
      </c>
    </row>
    <row r="187" spans="2:8" ht="12.75">
      <c r="B187" s="160" t="s">
        <v>195</v>
      </c>
      <c r="C187" s="161">
        <f aca="true" t="shared" si="38" ref="C187:H188">C176+C179+C182</f>
        <v>1507161</v>
      </c>
      <c r="D187" s="161">
        <f t="shared" si="38"/>
        <v>1995753</v>
      </c>
      <c r="E187" s="161">
        <f t="shared" si="38"/>
        <v>2015914</v>
      </c>
      <c r="F187" s="161">
        <f t="shared" si="38"/>
        <v>2031664</v>
      </c>
      <c r="G187" s="161">
        <f t="shared" si="38"/>
        <v>2038750</v>
      </c>
      <c r="H187" s="161">
        <f t="shared" si="38"/>
        <v>1443981.1600000001</v>
      </c>
    </row>
    <row r="188" spans="2:8" ht="12.75">
      <c r="B188" s="160" t="s">
        <v>196</v>
      </c>
      <c r="C188" s="161">
        <f t="shared" si="38"/>
        <v>1507161</v>
      </c>
      <c r="D188" s="161">
        <f t="shared" si="38"/>
        <v>1995753</v>
      </c>
      <c r="E188" s="161">
        <f t="shared" si="38"/>
        <v>2015914</v>
      </c>
      <c r="F188" s="161">
        <f t="shared" si="38"/>
        <v>2031664</v>
      </c>
      <c r="G188" s="161">
        <f t="shared" si="38"/>
        <v>2038750</v>
      </c>
      <c r="H188" s="161">
        <f t="shared" si="38"/>
        <v>1334818</v>
      </c>
    </row>
    <row r="189" spans="2:8" ht="12.75">
      <c r="B189" s="160"/>
      <c r="C189" s="161"/>
      <c r="D189" s="161"/>
      <c r="E189" s="161"/>
      <c r="F189" s="161"/>
      <c r="G189" s="161"/>
      <c r="H189" s="161"/>
    </row>
    <row r="190" spans="2:8" ht="12.75">
      <c r="B190" s="160" t="s">
        <v>197</v>
      </c>
      <c r="C190" s="161">
        <f aca="true" t="shared" si="39" ref="C190:H190">C187-C66</f>
        <v>1506661</v>
      </c>
      <c r="D190" s="161">
        <f t="shared" si="39"/>
        <v>1994853</v>
      </c>
      <c r="E190" s="161">
        <f t="shared" si="39"/>
        <v>2015014</v>
      </c>
      <c r="F190" s="161">
        <f t="shared" si="39"/>
        <v>2030264</v>
      </c>
      <c r="G190" s="161">
        <f t="shared" si="39"/>
        <v>2033550</v>
      </c>
      <c r="H190" s="161">
        <f t="shared" si="39"/>
        <v>1438818.1600000001</v>
      </c>
    </row>
    <row r="191" spans="2:10" ht="12.75">
      <c r="B191" s="160" t="s">
        <v>198</v>
      </c>
      <c r="C191" s="161">
        <f aca="true" t="shared" si="40" ref="C191:H191">C188-C131</f>
        <v>1156161</v>
      </c>
      <c r="D191" s="161">
        <f t="shared" si="40"/>
        <v>1619688</v>
      </c>
      <c r="E191" s="161">
        <f t="shared" si="40"/>
        <v>1639649</v>
      </c>
      <c r="F191" s="161">
        <f t="shared" si="40"/>
        <v>1654699</v>
      </c>
      <c r="G191" s="161">
        <f t="shared" si="40"/>
        <v>1649989</v>
      </c>
      <c r="H191" s="161">
        <f t="shared" si="40"/>
        <v>946099</v>
      </c>
      <c r="J191" s="161"/>
    </row>
    <row r="193" spans="2:7" ht="12.75">
      <c r="B193" t="s">
        <v>415</v>
      </c>
      <c r="G193" s="161"/>
    </row>
    <row r="194" spans="2:5" ht="12.75">
      <c r="B194" s="511" t="s">
        <v>1</v>
      </c>
      <c r="C194" s="511"/>
      <c r="D194" s="511"/>
      <c r="E194" s="511"/>
    </row>
    <row r="195" spans="2:5" ht="12.75">
      <c r="B195" s="511" t="s">
        <v>357</v>
      </c>
      <c r="C195" s="511"/>
      <c r="D195" s="511"/>
      <c r="E195" s="511"/>
    </row>
    <row r="196" spans="2:5" ht="12.75">
      <c r="B196" s="511" t="s">
        <v>382</v>
      </c>
      <c r="C196" s="511"/>
      <c r="D196" s="511"/>
      <c r="E196" s="511"/>
    </row>
    <row r="197" spans="2:5" ht="12.75">
      <c r="B197" s="511" t="s">
        <v>414</v>
      </c>
      <c r="C197" s="511"/>
      <c r="D197" s="511"/>
      <c r="E197" s="511"/>
    </row>
    <row r="198" spans="2:5" ht="12.75">
      <c r="B198" s="511" t="s">
        <v>463</v>
      </c>
      <c r="C198" s="511"/>
      <c r="D198" s="511"/>
      <c r="E198" s="511"/>
    </row>
  </sheetData>
  <sheetProtection/>
  <mergeCells count="61">
    <mergeCell ref="F71:F72"/>
    <mergeCell ref="C139:C140"/>
    <mergeCell ref="A3:H3"/>
    <mergeCell ref="A138:H138"/>
    <mergeCell ref="A32:B32"/>
    <mergeCell ref="A34:B34"/>
    <mergeCell ref="H4:H5"/>
    <mergeCell ref="H71:H72"/>
    <mergeCell ref="A70:H70"/>
    <mergeCell ref="G71:G72"/>
    <mergeCell ref="E71:E72"/>
    <mergeCell ref="H159:H160"/>
    <mergeCell ref="G139:G140"/>
    <mergeCell ref="D174:D175"/>
    <mergeCell ref="H174:H175"/>
    <mergeCell ref="G159:G160"/>
    <mergeCell ref="G174:G175"/>
    <mergeCell ref="E139:E140"/>
    <mergeCell ref="E159:E160"/>
    <mergeCell ref="E174:E175"/>
    <mergeCell ref="A158:H158"/>
    <mergeCell ref="F139:F140"/>
    <mergeCell ref="H139:H140"/>
    <mergeCell ref="A183:B183"/>
    <mergeCell ref="A173:H173"/>
    <mergeCell ref="A165:B165"/>
    <mergeCell ref="A141:B141"/>
    <mergeCell ref="A185:B185"/>
    <mergeCell ref="A174:B175"/>
    <mergeCell ref="C174:C175"/>
    <mergeCell ref="A182:B182"/>
    <mergeCell ref="B197:E197"/>
    <mergeCell ref="B196:E196"/>
    <mergeCell ref="A14:B14"/>
    <mergeCell ref="D159:D160"/>
    <mergeCell ref="A161:B161"/>
    <mergeCell ref="C159:C160"/>
    <mergeCell ref="A80:B80"/>
    <mergeCell ref="A114:B114"/>
    <mergeCell ref="A131:B131"/>
    <mergeCell ref="A146:B146"/>
    <mergeCell ref="E4:E5"/>
    <mergeCell ref="B195:E195"/>
    <mergeCell ref="A71:B72"/>
    <mergeCell ref="C71:C72"/>
    <mergeCell ref="D71:D72"/>
    <mergeCell ref="A6:B6"/>
    <mergeCell ref="A78:B78"/>
    <mergeCell ref="B194:E194"/>
    <mergeCell ref="A159:B160"/>
    <mergeCell ref="A139:B140"/>
    <mergeCell ref="B198:E198"/>
    <mergeCell ref="F159:F160"/>
    <mergeCell ref="F174:F175"/>
    <mergeCell ref="A1:H1"/>
    <mergeCell ref="A4:B5"/>
    <mergeCell ref="C4:C5"/>
    <mergeCell ref="D4:D5"/>
    <mergeCell ref="F4:F5"/>
    <mergeCell ref="G4:G5"/>
    <mergeCell ref="D139:D140"/>
  </mergeCells>
  <printOptions/>
  <pageMargins left="0.32" right="0.22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140625" style="0" customWidth="1"/>
    <col min="2" max="2" width="42.00390625" style="0" customWidth="1"/>
    <col min="3" max="3" width="11.421875" style="0" customWidth="1"/>
    <col min="4" max="4" width="11.140625" style="0" customWidth="1"/>
    <col min="5" max="7" width="11.421875" style="0" customWidth="1"/>
    <col min="8" max="8" width="10.7109375" style="0" customWidth="1"/>
    <col min="9" max="9" width="6.8515625" style="0" customWidth="1"/>
  </cols>
  <sheetData>
    <row r="1" spans="1:7" ht="20.25">
      <c r="A1" s="514" t="s">
        <v>205</v>
      </c>
      <c r="B1" s="514"/>
      <c r="C1" s="514"/>
      <c r="D1" s="514"/>
      <c r="E1" s="514"/>
      <c r="F1" s="514"/>
      <c r="G1" s="514"/>
    </row>
    <row r="2" spans="5:7" ht="13.5" thickBot="1">
      <c r="E2" s="420"/>
      <c r="F2" s="420"/>
      <c r="G2" s="420"/>
    </row>
    <row r="3" spans="1:8" ht="18.75" thickBot="1">
      <c r="A3" s="542" t="s">
        <v>2</v>
      </c>
      <c r="B3" s="543"/>
      <c r="C3" s="543"/>
      <c r="D3" s="543"/>
      <c r="E3" s="543"/>
      <c r="F3" s="543"/>
      <c r="G3" s="543"/>
      <c r="H3" s="544"/>
    </row>
    <row r="4" spans="1:7" ht="12.75" customHeight="1">
      <c r="A4" s="515" t="s">
        <v>3</v>
      </c>
      <c r="B4" s="516"/>
      <c r="C4" s="512" t="s">
        <v>4</v>
      </c>
      <c r="D4" s="512" t="s">
        <v>199</v>
      </c>
      <c r="E4" s="512" t="s">
        <v>361</v>
      </c>
      <c r="F4" s="512" t="s">
        <v>397</v>
      </c>
      <c r="G4" s="537" t="s">
        <v>433</v>
      </c>
    </row>
    <row r="5" spans="1:7" ht="13.5" thickBot="1">
      <c r="A5" s="517"/>
      <c r="B5" s="518"/>
      <c r="C5" s="513"/>
      <c r="D5" s="513"/>
      <c r="E5" s="513"/>
      <c r="F5" s="513"/>
      <c r="G5" s="538"/>
    </row>
    <row r="6" spans="1:8" ht="13.5" thickBot="1">
      <c r="A6" s="519" t="s">
        <v>7</v>
      </c>
      <c r="B6" s="520"/>
      <c r="C6" s="4">
        <f>SUM(C7:C13)</f>
        <v>696283</v>
      </c>
      <c r="D6" s="4">
        <f>SUM(D7:D13)</f>
        <v>696203</v>
      </c>
      <c r="E6" s="4">
        <f>SUM(E7:E13)</f>
        <v>696203</v>
      </c>
      <c r="F6" s="4">
        <f>SUM(F7:F13)</f>
        <v>722253</v>
      </c>
      <c r="G6" s="4">
        <f>SUM(G7:G13)</f>
        <v>550336</v>
      </c>
      <c r="H6" s="422">
        <f aca="true" t="shared" si="0" ref="H6:H37">G6/F6</f>
        <v>0.7619712206110602</v>
      </c>
    </row>
    <row r="7" spans="1:8" ht="13.5" thickBot="1">
      <c r="A7" s="5">
        <v>111</v>
      </c>
      <c r="B7" s="6" t="s">
        <v>8</v>
      </c>
      <c r="C7" s="7">
        <v>644000</v>
      </c>
      <c r="D7" s="7">
        <v>644000</v>
      </c>
      <c r="E7" s="7">
        <v>644000</v>
      </c>
      <c r="F7" s="454">
        <v>670000</v>
      </c>
      <c r="G7" s="7">
        <v>509406</v>
      </c>
      <c r="H7" s="422">
        <f t="shared" si="0"/>
        <v>0.7603074626865671</v>
      </c>
    </row>
    <row r="8" spans="1:8" ht="13.5" thickBot="1">
      <c r="A8" s="24">
        <v>121</v>
      </c>
      <c r="B8" s="25" t="s">
        <v>425</v>
      </c>
      <c r="C8" s="27">
        <v>30273</v>
      </c>
      <c r="D8" s="27">
        <v>30273</v>
      </c>
      <c r="E8" s="27">
        <v>30273</v>
      </c>
      <c r="F8" s="27">
        <v>30273</v>
      </c>
      <c r="G8" s="27">
        <v>22440</v>
      </c>
      <c r="H8" s="422">
        <f t="shared" si="0"/>
        <v>0.7412545832920424</v>
      </c>
    </row>
    <row r="9" spans="1:8" ht="12.75">
      <c r="A9" s="8">
        <v>133</v>
      </c>
      <c r="B9" s="9" t="s">
        <v>12</v>
      </c>
      <c r="C9" s="10">
        <v>950</v>
      </c>
      <c r="D9" s="10">
        <v>950</v>
      </c>
      <c r="E9" s="10">
        <v>950</v>
      </c>
      <c r="F9" s="173">
        <v>1000</v>
      </c>
      <c r="G9" s="10">
        <v>953</v>
      </c>
      <c r="H9" s="422">
        <f t="shared" si="0"/>
        <v>0.953</v>
      </c>
    </row>
    <row r="10" spans="1:8" ht="12.75">
      <c r="A10" s="11">
        <v>133</v>
      </c>
      <c r="B10" s="12" t="s">
        <v>13</v>
      </c>
      <c r="C10" s="13">
        <v>360</v>
      </c>
      <c r="D10" s="162">
        <v>280</v>
      </c>
      <c r="E10" s="384">
        <v>280</v>
      </c>
      <c r="F10" s="384">
        <v>280</v>
      </c>
      <c r="G10" s="384">
        <v>280</v>
      </c>
      <c r="H10" s="422">
        <f t="shared" si="0"/>
        <v>1</v>
      </c>
    </row>
    <row r="11" spans="1:8" ht="12.75">
      <c r="A11" s="11">
        <v>133</v>
      </c>
      <c r="B11" s="12" t="s">
        <v>14</v>
      </c>
      <c r="C11" s="13">
        <v>700</v>
      </c>
      <c r="D11" s="13">
        <v>700</v>
      </c>
      <c r="E11" s="13">
        <v>700</v>
      </c>
      <c r="F11" s="13">
        <v>700</v>
      </c>
      <c r="G11" s="13">
        <v>544</v>
      </c>
      <c r="H11" s="422">
        <f t="shared" si="0"/>
        <v>0.7771428571428571</v>
      </c>
    </row>
    <row r="12" spans="1:8" ht="12.75">
      <c r="A12" s="11">
        <v>133</v>
      </c>
      <c r="B12" s="12" t="s">
        <v>15</v>
      </c>
      <c r="C12" s="13">
        <v>5000</v>
      </c>
      <c r="D12" s="13">
        <v>5000</v>
      </c>
      <c r="E12" s="13">
        <v>5000</v>
      </c>
      <c r="F12" s="13">
        <v>5000</v>
      </c>
      <c r="G12" s="13">
        <v>3123</v>
      </c>
      <c r="H12" s="422">
        <f t="shared" si="0"/>
        <v>0.6246</v>
      </c>
    </row>
    <row r="13" spans="1:8" ht="13.5" thickBot="1">
      <c r="A13" s="14">
        <v>133</v>
      </c>
      <c r="B13" s="15" t="s">
        <v>16</v>
      </c>
      <c r="C13" s="17">
        <v>15000</v>
      </c>
      <c r="D13" s="16">
        <v>15000</v>
      </c>
      <c r="E13" s="16">
        <v>15000</v>
      </c>
      <c r="F13" s="16">
        <v>15000</v>
      </c>
      <c r="G13" s="16">
        <v>13590</v>
      </c>
      <c r="H13" s="422">
        <f t="shared" si="0"/>
        <v>0.906</v>
      </c>
    </row>
    <row r="14" spans="1:8" ht="13.5" thickBot="1">
      <c r="A14" s="519" t="s">
        <v>17</v>
      </c>
      <c r="B14" s="520"/>
      <c r="C14" s="4">
        <f>SUM(C15:C31)</f>
        <v>142437</v>
      </c>
      <c r="D14" s="4">
        <f>SUM(D15:D31)</f>
        <v>143137</v>
      </c>
      <c r="E14" s="4">
        <f>SUM(E15:E31)</f>
        <v>152383</v>
      </c>
      <c r="F14" s="4">
        <f>SUM(F15:F31)</f>
        <v>159154</v>
      </c>
      <c r="G14" s="4">
        <f>SUM(G15:G31)</f>
        <v>68512</v>
      </c>
      <c r="H14" s="422">
        <f t="shared" si="0"/>
        <v>0.43047614260401873</v>
      </c>
    </row>
    <row r="15" spans="1:8" ht="12.75">
      <c r="A15" s="18">
        <v>212</v>
      </c>
      <c r="B15" s="19" t="s">
        <v>18</v>
      </c>
      <c r="C15" s="20">
        <v>490</v>
      </c>
      <c r="D15" s="20">
        <v>490</v>
      </c>
      <c r="E15" s="20">
        <v>490</v>
      </c>
      <c r="F15" s="20">
        <v>490</v>
      </c>
      <c r="G15" s="20">
        <v>324</v>
      </c>
      <c r="H15" s="422">
        <f t="shared" si="0"/>
        <v>0.6612244897959184</v>
      </c>
    </row>
    <row r="16" spans="1:8" ht="12.75">
      <c r="A16" s="8">
        <v>212</v>
      </c>
      <c r="B16" s="9" t="s">
        <v>19</v>
      </c>
      <c r="C16" s="10">
        <v>200</v>
      </c>
      <c r="D16" s="10">
        <v>200</v>
      </c>
      <c r="E16" s="10">
        <v>200</v>
      </c>
      <c r="F16" s="10">
        <v>200</v>
      </c>
      <c r="G16" s="10">
        <v>133</v>
      </c>
      <c r="H16" s="422">
        <f t="shared" si="0"/>
        <v>0.665</v>
      </c>
    </row>
    <row r="17" spans="1:9" ht="12.75">
      <c r="A17" s="11">
        <v>212</v>
      </c>
      <c r="B17" s="12" t="s">
        <v>20</v>
      </c>
      <c r="C17" s="13">
        <v>3809</v>
      </c>
      <c r="D17" s="13">
        <v>3809</v>
      </c>
      <c r="E17" s="13">
        <v>3809</v>
      </c>
      <c r="F17" s="162">
        <f>3809+221</f>
        <v>4030</v>
      </c>
      <c r="G17" s="13">
        <v>3124</v>
      </c>
      <c r="H17" s="422">
        <f t="shared" si="0"/>
        <v>0.7751861042183623</v>
      </c>
      <c r="I17" s="161"/>
    </row>
    <row r="18" spans="1:9" ht="12.75">
      <c r="A18" s="11">
        <v>212</v>
      </c>
      <c r="B18" s="12" t="s">
        <v>432</v>
      </c>
      <c r="C18" s="13">
        <v>12590</v>
      </c>
      <c r="D18" s="13">
        <v>12590</v>
      </c>
      <c r="E18" s="13">
        <v>12590</v>
      </c>
      <c r="F18" s="162">
        <f>12590+1900</f>
        <v>14490</v>
      </c>
      <c r="G18" s="13">
        <v>8821</v>
      </c>
      <c r="H18" s="422">
        <f t="shared" si="0"/>
        <v>0.6087646652864044</v>
      </c>
      <c r="I18" s="161">
        <f>SUM(G15:G19)</f>
        <v>12512</v>
      </c>
    </row>
    <row r="19" spans="1:10" ht="13.5" thickBot="1">
      <c r="A19" s="21">
        <v>212</v>
      </c>
      <c r="B19" s="22" t="s">
        <v>434</v>
      </c>
      <c r="C19" s="23">
        <v>20</v>
      </c>
      <c r="D19" s="23">
        <v>20</v>
      </c>
      <c r="E19" s="23">
        <v>20</v>
      </c>
      <c r="F19" s="436">
        <v>170</v>
      </c>
      <c r="G19" s="23">
        <v>110</v>
      </c>
      <c r="H19" s="422">
        <f t="shared" si="0"/>
        <v>0.6470588235294118</v>
      </c>
      <c r="J19" s="161"/>
    </row>
    <row r="20" spans="1:8" ht="13.5" thickBot="1">
      <c r="A20" s="24">
        <v>221</v>
      </c>
      <c r="B20" s="25" t="s">
        <v>23</v>
      </c>
      <c r="C20" s="26">
        <v>9200</v>
      </c>
      <c r="D20" s="27">
        <v>9200</v>
      </c>
      <c r="E20" s="27">
        <v>9200</v>
      </c>
      <c r="F20" s="385">
        <f>9200+700+700+100</f>
        <v>10700</v>
      </c>
      <c r="G20" s="27">
        <v>3734</v>
      </c>
      <c r="H20" s="422">
        <f t="shared" si="0"/>
        <v>0.34897196261682245</v>
      </c>
    </row>
    <row r="21" spans="1:8" ht="13.5" thickBot="1">
      <c r="A21" s="24">
        <v>222</v>
      </c>
      <c r="B21" s="25" t="s">
        <v>24</v>
      </c>
      <c r="C21" s="27">
        <v>100</v>
      </c>
      <c r="D21" s="385">
        <v>700</v>
      </c>
      <c r="E21" s="423">
        <v>700</v>
      </c>
      <c r="F21" s="423">
        <v>700</v>
      </c>
      <c r="G21" s="27">
        <v>500</v>
      </c>
      <c r="H21" s="422">
        <f t="shared" si="0"/>
        <v>0.7142857142857143</v>
      </c>
    </row>
    <row r="22" spans="1:8" ht="12.75">
      <c r="A22" s="8">
        <v>223</v>
      </c>
      <c r="B22" s="9" t="s">
        <v>25</v>
      </c>
      <c r="C22" s="10">
        <v>800</v>
      </c>
      <c r="D22" s="173">
        <v>900</v>
      </c>
      <c r="E22" s="390">
        <v>900</v>
      </c>
      <c r="F22" s="390">
        <v>900</v>
      </c>
      <c r="G22" s="10">
        <v>587</v>
      </c>
      <c r="H22" s="422">
        <f t="shared" si="0"/>
        <v>0.6522222222222223</v>
      </c>
    </row>
    <row r="23" spans="1:8" ht="12.75">
      <c r="A23" s="11">
        <v>223</v>
      </c>
      <c r="B23" s="12" t="s">
        <v>26</v>
      </c>
      <c r="C23" s="13">
        <v>10000</v>
      </c>
      <c r="D23" s="13">
        <v>10000</v>
      </c>
      <c r="E23" s="384">
        <v>10000</v>
      </c>
      <c r="F23" s="162">
        <v>11100</v>
      </c>
      <c r="G23" s="13">
        <v>8344</v>
      </c>
      <c r="H23" s="422">
        <f t="shared" si="0"/>
        <v>0.7517117117117117</v>
      </c>
    </row>
    <row r="24" spans="1:8" ht="12.75">
      <c r="A24" s="11">
        <v>223</v>
      </c>
      <c r="B24" s="12" t="s">
        <v>27</v>
      </c>
      <c r="C24" s="13">
        <v>12000</v>
      </c>
      <c r="D24" s="13">
        <v>12000</v>
      </c>
      <c r="E24" s="162">
        <f>12000+400+8846</f>
        <v>21246</v>
      </c>
      <c r="F24" s="162">
        <f>12000+400+8846+500</f>
        <v>21746</v>
      </c>
      <c r="G24" s="13">
        <v>20587</v>
      </c>
      <c r="H24" s="422">
        <f t="shared" si="0"/>
        <v>0.946702841901959</v>
      </c>
    </row>
    <row r="25" spans="1:8" ht="12.75">
      <c r="A25" s="11">
        <v>223</v>
      </c>
      <c r="B25" s="12" t="s">
        <v>28</v>
      </c>
      <c r="C25" s="13">
        <v>1200</v>
      </c>
      <c r="D25" s="13">
        <v>1200</v>
      </c>
      <c r="E25" s="13">
        <v>1200</v>
      </c>
      <c r="F25" s="13">
        <v>1200</v>
      </c>
      <c r="G25" s="13">
        <v>62</v>
      </c>
      <c r="H25" s="422">
        <f t="shared" si="0"/>
        <v>0.051666666666666666</v>
      </c>
    </row>
    <row r="26" spans="1:8" ht="12.75">
      <c r="A26" s="11">
        <v>223</v>
      </c>
      <c r="B26" s="12" t="s">
        <v>29</v>
      </c>
      <c r="C26" s="13">
        <v>650</v>
      </c>
      <c r="D26" s="13">
        <v>650</v>
      </c>
      <c r="E26" s="13">
        <v>650</v>
      </c>
      <c r="F26" s="13">
        <v>650</v>
      </c>
      <c r="G26" s="13">
        <v>458</v>
      </c>
      <c r="H26" s="422">
        <f t="shared" si="0"/>
        <v>0.7046153846153846</v>
      </c>
    </row>
    <row r="27" spans="1:8" ht="12.75">
      <c r="A27" s="11">
        <v>223</v>
      </c>
      <c r="B27" s="12" t="s">
        <v>30</v>
      </c>
      <c r="C27" s="13">
        <v>60000</v>
      </c>
      <c r="D27" s="13">
        <v>60000</v>
      </c>
      <c r="E27" s="13">
        <v>60000</v>
      </c>
      <c r="F27" s="13">
        <v>60000</v>
      </c>
      <c r="G27" s="13">
        <v>2998</v>
      </c>
      <c r="H27" s="422">
        <f t="shared" si="0"/>
        <v>0.049966666666666666</v>
      </c>
    </row>
    <row r="28" spans="1:8" ht="12.75">
      <c r="A28" s="11">
        <v>223</v>
      </c>
      <c r="B28" s="12" t="s">
        <v>31</v>
      </c>
      <c r="C28" s="13">
        <v>22778</v>
      </c>
      <c r="D28" s="13">
        <v>22778</v>
      </c>
      <c r="E28" s="13">
        <v>22778</v>
      </c>
      <c r="F28" s="13">
        <v>22778</v>
      </c>
      <c r="G28" s="13">
        <v>13553</v>
      </c>
      <c r="H28" s="422">
        <f t="shared" si="0"/>
        <v>0.595003951180964</v>
      </c>
    </row>
    <row r="29" spans="1:9" ht="12.75">
      <c r="A29" s="11">
        <v>223</v>
      </c>
      <c r="B29" s="12" t="s">
        <v>32</v>
      </c>
      <c r="C29" s="28">
        <v>7500</v>
      </c>
      <c r="D29" s="13">
        <v>7500</v>
      </c>
      <c r="E29" s="13">
        <v>7500</v>
      </c>
      <c r="F29" s="162">
        <f>7500+1400</f>
        <v>8900</v>
      </c>
      <c r="G29" s="13">
        <v>4511</v>
      </c>
      <c r="H29" s="422">
        <f t="shared" si="0"/>
        <v>0.5068539325842697</v>
      </c>
      <c r="I29" s="161"/>
    </row>
    <row r="30" spans="1:9" ht="12.75">
      <c r="A30" s="11">
        <v>223</v>
      </c>
      <c r="B30" s="12" t="s">
        <v>33</v>
      </c>
      <c r="C30" s="13">
        <v>1000</v>
      </c>
      <c r="D30" s="13">
        <v>1000</v>
      </c>
      <c r="E30" s="13">
        <v>1000</v>
      </c>
      <c r="F30" s="13">
        <v>1000</v>
      </c>
      <c r="G30" s="13">
        <v>616</v>
      </c>
      <c r="H30" s="422">
        <f t="shared" si="0"/>
        <v>0.616</v>
      </c>
      <c r="I30" s="161">
        <f>SUM(G20:G31)</f>
        <v>56000</v>
      </c>
    </row>
    <row r="31" spans="1:10" ht="13.5" thickBot="1">
      <c r="A31" s="14">
        <v>223</v>
      </c>
      <c r="B31" s="15" t="s">
        <v>35</v>
      </c>
      <c r="C31" s="16">
        <v>100</v>
      </c>
      <c r="D31" s="16">
        <v>100</v>
      </c>
      <c r="E31" s="16">
        <v>100</v>
      </c>
      <c r="F31" s="16">
        <v>100</v>
      </c>
      <c r="G31" s="16">
        <v>50</v>
      </c>
      <c r="H31" s="422">
        <f t="shared" si="0"/>
        <v>0.5</v>
      </c>
      <c r="I31" s="161"/>
      <c r="J31" s="161"/>
    </row>
    <row r="32" spans="1:8" ht="13.5" thickBot="1">
      <c r="A32" s="519" t="s">
        <v>36</v>
      </c>
      <c r="B32" s="520"/>
      <c r="C32" s="4">
        <f>SUM(C33)</f>
        <v>344</v>
      </c>
      <c r="D32" s="4">
        <f>SUM(D33)</f>
        <v>344</v>
      </c>
      <c r="E32" s="4">
        <f>SUM(E33)</f>
        <v>344</v>
      </c>
      <c r="F32" s="4">
        <f>SUM(F33)</f>
        <v>494</v>
      </c>
      <c r="G32" s="4">
        <f>SUM(G33)</f>
        <v>381</v>
      </c>
      <c r="H32" s="422">
        <f t="shared" si="0"/>
        <v>0.771255060728745</v>
      </c>
    </row>
    <row r="33" spans="1:9" ht="13.5" thickBot="1">
      <c r="A33" s="29">
        <v>240</v>
      </c>
      <c r="B33" s="22" t="s">
        <v>37</v>
      </c>
      <c r="C33" s="23">
        <v>344</v>
      </c>
      <c r="D33" s="23">
        <v>344</v>
      </c>
      <c r="E33" s="23">
        <v>344</v>
      </c>
      <c r="F33" s="436">
        <f>344+50+100</f>
        <v>494</v>
      </c>
      <c r="G33" s="23">
        <v>381</v>
      </c>
      <c r="H33" s="422">
        <f t="shared" si="0"/>
        <v>0.771255060728745</v>
      </c>
      <c r="I33" s="161"/>
    </row>
    <row r="34" spans="1:8" ht="13.5" thickBot="1">
      <c r="A34" s="519" t="s">
        <v>38</v>
      </c>
      <c r="B34" s="520"/>
      <c r="C34" s="4">
        <f>SUM(C35:C46)</f>
        <v>26100</v>
      </c>
      <c r="D34" s="4">
        <f>SUM(D35:D46)</f>
        <v>32598</v>
      </c>
      <c r="E34" s="4">
        <f>SUM(E35:E46)</f>
        <v>34301</v>
      </c>
      <c r="F34" s="4">
        <f>SUM(F35:F46)</f>
        <v>38501</v>
      </c>
      <c r="G34" s="4">
        <f>SUM(G35:G46)</f>
        <v>22666.16</v>
      </c>
      <c r="H34" s="422">
        <f t="shared" si="0"/>
        <v>0.5887161372431885</v>
      </c>
    </row>
    <row r="35" spans="1:8" ht="12.75">
      <c r="A35" s="30">
        <v>292</v>
      </c>
      <c r="B35" s="31" t="s">
        <v>389</v>
      </c>
      <c r="C35" s="32">
        <v>0</v>
      </c>
      <c r="D35" s="32">
        <v>0</v>
      </c>
      <c r="E35" s="430">
        <v>200</v>
      </c>
      <c r="F35" s="32">
        <v>200</v>
      </c>
      <c r="G35" s="32">
        <v>159</v>
      </c>
      <c r="H35" s="422">
        <f t="shared" si="0"/>
        <v>0.795</v>
      </c>
    </row>
    <row r="36" spans="1:8" ht="12.75">
      <c r="A36" s="30">
        <v>292</v>
      </c>
      <c r="B36" s="31" t="s">
        <v>39</v>
      </c>
      <c r="C36" s="32">
        <v>100</v>
      </c>
      <c r="D36" s="32">
        <v>100</v>
      </c>
      <c r="E36" s="32">
        <v>100</v>
      </c>
      <c r="F36" s="32">
        <v>100</v>
      </c>
      <c r="G36" s="32">
        <v>77</v>
      </c>
      <c r="H36" s="422">
        <f t="shared" si="0"/>
        <v>0.77</v>
      </c>
    </row>
    <row r="37" spans="1:8" ht="12.75">
      <c r="A37" s="33">
        <v>292</v>
      </c>
      <c r="B37" s="34" t="s">
        <v>40</v>
      </c>
      <c r="C37" s="35">
        <v>0</v>
      </c>
      <c r="D37" s="163">
        <f>3595+385+512+565</f>
        <v>5057</v>
      </c>
      <c r="E37" s="163">
        <v>5060</v>
      </c>
      <c r="F37" s="35">
        <v>5060</v>
      </c>
      <c r="G37" s="35">
        <f>3595+385+512+565+1.61</f>
        <v>5058.61</v>
      </c>
      <c r="H37" s="422">
        <f t="shared" si="0"/>
        <v>0.9997252964426877</v>
      </c>
    </row>
    <row r="38" spans="1:8" ht="12.75">
      <c r="A38" s="33">
        <v>292</v>
      </c>
      <c r="B38" s="12" t="s">
        <v>362</v>
      </c>
      <c r="C38" s="36">
        <v>160</v>
      </c>
      <c r="D38" s="36">
        <v>160</v>
      </c>
      <c r="E38" s="435">
        <v>160</v>
      </c>
      <c r="F38" s="435">
        <v>160</v>
      </c>
      <c r="G38" s="36">
        <v>80</v>
      </c>
      <c r="H38" s="422">
        <f aca="true" t="shared" si="1" ref="H38:H67">G38/F38</f>
        <v>0.5</v>
      </c>
    </row>
    <row r="39" spans="1:8" ht="12.75">
      <c r="A39" s="33">
        <v>292</v>
      </c>
      <c r="B39" s="34" t="s">
        <v>322</v>
      </c>
      <c r="C39" s="35">
        <v>3500</v>
      </c>
      <c r="D39" s="35">
        <v>3500</v>
      </c>
      <c r="E39" s="35">
        <v>3500</v>
      </c>
      <c r="F39" s="35">
        <v>3500</v>
      </c>
      <c r="G39" s="35">
        <v>943</v>
      </c>
      <c r="H39" s="422">
        <f t="shared" si="1"/>
        <v>0.2694285714285714</v>
      </c>
    </row>
    <row r="40" spans="1:8" ht="12.75">
      <c r="A40" s="33">
        <v>292</v>
      </c>
      <c r="B40" s="34" t="s">
        <v>43</v>
      </c>
      <c r="C40" s="35">
        <v>200</v>
      </c>
      <c r="D40" s="35">
        <v>200</v>
      </c>
      <c r="E40" s="163">
        <v>400</v>
      </c>
      <c r="F40" s="35">
        <v>400</v>
      </c>
      <c r="G40" s="35">
        <v>199</v>
      </c>
      <c r="H40" s="422">
        <f t="shared" si="1"/>
        <v>0.4975</v>
      </c>
    </row>
    <row r="41" spans="1:8" ht="12.75">
      <c r="A41" s="400">
        <v>292</v>
      </c>
      <c r="B41" s="401" t="s">
        <v>347</v>
      </c>
      <c r="C41" s="402">
        <v>0</v>
      </c>
      <c r="D41" s="403">
        <v>1441</v>
      </c>
      <c r="E41" s="402">
        <v>1441</v>
      </c>
      <c r="F41" s="402">
        <v>1441</v>
      </c>
      <c r="G41" s="402">
        <v>1441</v>
      </c>
      <c r="H41" s="422">
        <f t="shared" si="1"/>
        <v>1</v>
      </c>
    </row>
    <row r="42" spans="1:8" ht="12.75">
      <c r="A42" s="33">
        <v>292</v>
      </c>
      <c r="B42" s="12" t="s">
        <v>45</v>
      </c>
      <c r="C42" s="36">
        <v>5540</v>
      </c>
      <c r="D42" s="36">
        <v>5540</v>
      </c>
      <c r="E42" s="431">
        <f>5540+1300</f>
        <v>6840</v>
      </c>
      <c r="F42" s="431">
        <f>5540+1300+200</f>
        <v>7040</v>
      </c>
      <c r="G42" s="36">
        <v>3744</v>
      </c>
      <c r="H42" s="422">
        <f t="shared" si="1"/>
        <v>0.5318181818181819</v>
      </c>
    </row>
    <row r="43" spans="1:8" ht="12.75">
      <c r="A43" s="33">
        <v>292</v>
      </c>
      <c r="B43" s="12" t="s">
        <v>46</v>
      </c>
      <c r="C43" s="36">
        <v>2000</v>
      </c>
      <c r="D43" s="36">
        <v>2000</v>
      </c>
      <c r="E43" s="36">
        <v>2000</v>
      </c>
      <c r="F43" s="431">
        <f>2000+1000+3000</f>
        <v>6000</v>
      </c>
      <c r="G43" s="36">
        <f>116.55+2153</f>
        <v>2269.55</v>
      </c>
      <c r="H43" s="422">
        <f t="shared" si="1"/>
        <v>0.37825833333333336</v>
      </c>
    </row>
    <row r="44" spans="1:8" ht="12.75">
      <c r="A44" s="33">
        <v>292</v>
      </c>
      <c r="B44" s="12" t="s">
        <v>47</v>
      </c>
      <c r="C44" s="36">
        <v>100</v>
      </c>
      <c r="D44" s="36">
        <v>100</v>
      </c>
      <c r="E44" s="36">
        <v>100</v>
      </c>
      <c r="F44" s="36">
        <v>100</v>
      </c>
      <c r="G44" s="36">
        <v>0</v>
      </c>
      <c r="H44" s="422">
        <f t="shared" si="1"/>
        <v>0</v>
      </c>
    </row>
    <row r="45" spans="1:8" ht="12.75">
      <c r="A45" s="11">
        <v>292</v>
      </c>
      <c r="B45" s="12" t="s">
        <v>321</v>
      </c>
      <c r="C45" s="13">
        <v>12000</v>
      </c>
      <c r="D45" s="13">
        <v>12000</v>
      </c>
      <c r="E45" s="13">
        <v>12000</v>
      </c>
      <c r="F45" s="13">
        <v>12000</v>
      </c>
      <c r="G45" s="13">
        <v>8274</v>
      </c>
      <c r="H45" s="422">
        <f t="shared" si="1"/>
        <v>0.6895</v>
      </c>
    </row>
    <row r="46" spans="1:8" ht="13.5" thickBot="1">
      <c r="A46" s="33">
        <v>292</v>
      </c>
      <c r="B46" s="34" t="s">
        <v>323</v>
      </c>
      <c r="C46" s="35">
        <v>2500</v>
      </c>
      <c r="D46" s="35">
        <v>2500</v>
      </c>
      <c r="E46" s="35">
        <v>2500</v>
      </c>
      <c r="F46" s="35">
        <v>2500</v>
      </c>
      <c r="G46" s="35">
        <v>421</v>
      </c>
      <c r="H46" s="422">
        <f t="shared" si="1"/>
        <v>0.1684</v>
      </c>
    </row>
    <row r="47" spans="1:8" ht="13.5" thickBot="1">
      <c r="A47" s="39" t="s">
        <v>49</v>
      </c>
      <c r="B47" s="40"/>
      <c r="C47" s="41">
        <f>SUM(C48:C64)</f>
        <v>400700</v>
      </c>
      <c r="D47" s="41">
        <f>SUM(D48:D64)</f>
        <v>484475</v>
      </c>
      <c r="E47" s="41">
        <f>SUM(E48:E64)</f>
        <v>491426</v>
      </c>
      <c r="F47" s="41">
        <f>SUM(F48:F64)</f>
        <v>493855</v>
      </c>
      <c r="G47" s="41">
        <f>SUM(G48:G64)</f>
        <v>324196</v>
      </c>
      <c r="H47" s="422">
        <f t="shared" si="1"/>
        <v>0.6564598920735844</v>
      </c>
    </row>
    <row r="48" spans="1:8" ht="12.75">
      <c r="A48" s="42">
        <v>311</v>
      </c>
      <c r="B48" s="9" t="s">
        <v>50</v>
      </c>
      <c r="C48" s="10">
        <v>0</v>
      </c>
      <c r="D48" s="10">
        <v>0</v>
      </c>
      <c r="E48" s="173">
        <v>150</v>
      </c>
      <c r="F48" s="390">
        <v>150</v>
      </c>
      <c r="G48" s="10">
        <v>150</v>
      </c>
      <c r="H48" s="422">
        <f t="shared" si="1"/>
        <v>1</v>
      </c>
    </row>
    <row r="49" spans="1:8" ht="12.75">
      <c r="A49" s="404">
        <v>312</v>
      </c>
      <c r="B49" s="405" t="s">
        <v>51</v>
      </c>
      <c r="C49" s="406">
        <v>15600</v>
      </c>
      <c r="D49" s="406">
        <v>15600</v>
      </c>
      <c r="E49" s="406">
        <v>15600</v>
      </c>
      <c r="F49" s="406">
        <v>15600</v>
      </c>
      <c r="G49" s="406">
        <v>9075</v>
      </c>
      <c r="H49" s="422">
        <f t="shared" si="1"/>
        <v>0.5817307692307693</v>
      </c>
    </row>
    <row r="50" spans="1:8" ht="12.75">
      <c r="A50" s="165">
        <v>312</v>
      </c>
      <c r="B50" s="166" t="s">
        <v>364</v>
      </c>
      <c r="C50" s="167">
        <v>0</v>
      </c>
      <c r="D50" s="168">
        <v>2431</v>
      </c>
      <c r="E50" s="168">
        <f>2431+2431</f>
        <v>4862</v>
      </c>
      <c r="F50" s="168">
        <f>2431+2431+2431</f>
        <v>7293</v>
      </c>
      <c r="G50" s="167">
        <v>4862</v>
      </c>
      <c r="H50" s="422">
        <f t="shared" si="1"/>
        <v>0.6666666666666666</v>
      </c>
    </row>
    <row r="51" spans="1:8" ht="12.75">
      <c r="A51" s="165">
        <v>312</v>
      </c>
      <c r="B51" s="166" t="s">
        <v>363</v>
      </c>
      <c r="C51" s="167">
        <v>0</v>
      </c>
      <c r="D51" s="167">
        <v>0</v>
      </c>
      <c r="E51" s="168">
        <v>3670</v>
      </c>
      <c r="F51" s="167">
        <v>3670</v>
      </c>
      <c r="G51" s="167">
        <v>3670</v>
      </c>
      <c r="H51" s="422">
        <f t="shared" si="1"/>
        <v>1</v>
      </c>
    </row>
    <row r="52" spans="1:8" ht="12.75">
      <c r="A52" s="42">
        <v>312</v>
      </c>
      <c r="B52" s="12" t="s">
        <v>52</v>
      </c>
      <c r="C52" s="10">
        <v>7200</v>
      </c>
      <c r="D52" s="10">
        <v>7200</v>
      </c>
      <c r="E52" s="10">
        <v>7200</v>
      </c>
      <c r="F52" s="10">
        <v>7200</v>
      </c>
      <c r="G52" s="10">
        <v>6444</v>
      </c>
      <c r="H52" s="422">
        <f t="shared" si="1"/>
        <v>0.895</v>
      </c>
    </row>
    <row r="53" spans="1:8" ht="12.75">
      <c r="A53" s="42">
        <v>312</v>
      </c>
      <c r="B53" s="43" t="s">
        <v>53</v>
      </c>
      <c r="C53" s="10">
        <v>13500</v>
      </c>
      <c r="D53" s="10">
        <v>13500</v>
      </c>
      <c r="E53" s="10">
        <v>13500</v>
      </c>
      <c r="F53" s="10">
        <v>13500</v>
      </c>
      <c r="G53" s="10">
        <f>1190+823</f>
        <v>2013</v>
      </c>
      <c r="H53" s="422">
        <f t="shared" si="1"/>
        <v>0.1491111111111111</v>
      </c>
    </row>
    <row r="54" spans="1:8" ht="12.75">
      <c r="A54" s="42">
        <v>312</v>
      </c>
      <c r="B54" s="43" t="s">
        <v>201</v>
      </c>
      <c r="C54" s="10">
        <v>0</v>
      </c>
      <c r="D54" s="173">
        <v>14402</v>
      </c>
      <c r="E54" s="390">
        <v>14402</v>
      </c>
      <c r="F54" s="390">
        <v>14402</v>
      </c>
      <c r="G54" s="390">
        <v>0</v>
      </c>
      <c r="H54" s="422">
        <f t="shared" si="1"/>
        <v>0</v>
      </c>
    </row>
    <row r="55" spans="1:8" ht="12.75">
      <c r="A55" s="42">
        <v>312</v>
      </c>
      <c r="B55" s="43" t="s">
        <v>202</v>
      </c>
      <c r="C55" s="10">
        <v>0</v>
      </c>
      <c r="D55" s="173">
        <v>44465</v>
      </c>
      <c r="E55" s="390">
        <v>44465</v>
      </c>
      <c r="F55" s="390">
        <v>44465</v>
      </c>
      <c r="G55" s="390">
        <v>13063</v>
      </c>
      <c r="H55" s="422">
        <f t="shared" si="1"/>
        <v>0.2937816259979759</v>
      </c>
    </row>
    <row r="56" spans="1:8" ht="12.75">
      <c r="A56" s="42">
        <v>312</v>
      </c>
      <c r="B56" s="43" t="s">
        <v>54</v>
      </c>
      <c r="C56" s="10">
        <v>9400</v>
      </c>
      <c r="D56" s="10">
        <v>9400</v>
      </c>
      <c r="E56" s="10">
        <v>9400</v>
      </c>
      <c r="F56" s="10">
        <v>9400</v>
      </c>
      <c r="G56" s="10">
        <v>6903</v>
      </c>
      <c r="H56" s="422">
        <f t="shared" si="1"/>
        <v>0.7343617021276596</v>
      </c>
    </row>
    <row r="57" spans="1:8" ht="12.75">
      <c r="A57" s="42">
        <v>312</v>
      </c>
      <c r="B57" s="43" t="s">
        <v>55</v>
      </c>
      <c r="C57" s="10">
        <v>18000</v>
      </c>
      <c r="D57" s="10">
        <v>18000</v>
      </c>
      <c r="E57" s="10">
        <v>18000</v>
      </c>
      <c r="F57" s="10">
        <v>18000</v>
      </c>
      <c r="G57" s="10">
        <v>13200</v>
      </c>
      <c r="H57" s="422">
        <f t="shared" si="1"/>
        <v>0.7333333333333333</v>
      </c>
    </row>
    <row r="58" spans="1:8" ht="12.75">
      <c r="A58" s="42">
        <v>312</v>
      </c>
      <c r="B58" s="43" t="s">
        <v>56</v>
      </c>
      <c r="C58" s="10">
        <v>6400</v>
      </c>
      <c r="D58" s="10">
        <v>6400</v>
      </c>
      <c r="E58" s="390">
        <v>6400</v>
      </c>
      <c r="F58" s="390">
        <f>6400</f>
        <v>6400</v>
      </c>
      <c r="G58" s="390">
        <v>2663</v>
      </c>
      <c r="H58" s="422">
        <f t="shared" si="1"/>
        <v>0.41609375</v>
      </c>
    </row>
    <row r="59" spans="1:8" ht="12.75">
      <c r="A59" s="42">
        <v>312</v>
      </c>
      <c r="B59" s="43" t="s">
        <v>367</v>
      </c>
      <c r="C59" s="10">
        <v>0</v>
      </c>
      <c r="D59" s="10">
        <v>0</v>
      </c>
      <c r="E59" s="173">
        <v>700</v>
      </c>
      <c r="F59" s="390">
        <v>700</v>
      </c>
      <c r="G59" s="390">
        <v>700</v>
      </c>
      <c r="H59" s="422">
        <f t="shared" si="1"/>
        <v>1</v>
      </c>
    </row>
    <row r="60" spans="1:8" ht="12.75">
      <c r="A60" s="44">
        <v>312</v>
      </c>
      <c r="B60" s="12" t="s">
        <v>366</v>
      </c>
      <c r="C60" s="13">
        <v>3700</v>
      </c>
      <c r="D60" s="162">
        <f>916+2818</f>
        <v>3734</v>
      </c>
      <c r="E60" s="384">
        <f>916+2818</f>
        <v>3734</v>
      </c>
      <c r="F60" s="384">
        <f>916+2818</f>
        <v>3734</v>
      </c>
      <c r="G60" s="384">
        <v>1867</v>
      </c>
      <c r="H60" s="422">
        <f t="shared" si="1"/>
        <v>0.5</v>
      </c>
    </row>
    <row r="61" spans="1:8" ht="12.75">
      <c r="A61" s="44">
        <v>312</v>
      </c>
      <c r="B61" s="45" t="s">
        <v>365</v>
      </c>
      <c r="C61" s="46">
        <v>3000</v>
      </c>
      <c r="D61" s="169">
        <v>3021</v>
      </c>
      <c r="E61" s="391">
        <v>3021</v>
      </c>
      <c r="F61" s="169">
        <v>3019</v>
      </c>
      <c r="G61" s="391">
        <v>3019</v>
      </c>
      <c r="H61" s="422">
        <f t="shared" si="1"/>
        <v>1</v>
      </c>
    </row>
    <row r="62" spans="1:8" ht="12.75">
      <c r="A62" s="44">
        <v>312</v>
      </c>
      <c r="B62" s="47" t="s">
        <v>59</v>
      </c>
      <c r="C62" s="46">
        <v>3000</v>
      </c>
      <c r="D62" s="169">
        <v>2398</v>
      </c>
      <c r="E62" s="391">
        <v>2398</v>
      </c>
      <c r="F62" s="391">
        <v>2398</v>
      </c>
      <c r="G62" s="391">
        <v>1599</v>
      </c>
      <c r="H62" s="422">
        <f t="shared" si="1"/>
        <v>0.6668056713928273</v>
      </c>
    </row>
    <row r="63" spans="1:8" ht="12.75">
      <c r="A63" s="44">
        <v>312</v>
      </c>
      <c r="B63" s="48" t="s">
        <v>60</v>
      </c>
      <c r="C63" s="49">
        <v>317900</v>
      </c>
      <c r="D63" s="164">
        <v>340924</v>
      </c>
      <c r="E63" s="49">
        <v>340924</v>
      </c>
      <c r="F63" s="49">
        <v>340924</v>
      </c>
      <c r="G63" s="49">
        <v>254968</v>
      </c>
      <c r="H63" s="422">
        <f t="shared" si="1"/>
        <v>0.7478734263354883</v>
      </c>
    </row>
    <row r="64" spans="1:8" ht="13.5" thickBot="1">
      <c r="A64" s="44">
        <v>312</v>
      </c>
      <c r="B64" s="12" t="s">
        <v>61</v>
      </c>
      <c r="C64" s="50">
        <v>3000</v>
      </c>
      <c r="D64" s="50">
        <v>3000</v>
      </c>
      <c r="E64" s="50">
        <v>3000</v>
      </c>
      <c r="F64" s="50">
        <v>3000</v>
      </c>
      <c r="G64" s="50">
        <v>0</v>
      </c>
      <c r="H64" s="422">
        <f t="shared" si="1"/>
        <v>0</v>
      </c>
    </row>
    <row r="65" spans="1:8" ht="16.5" thickBot="1">
      <c r="A65" s="51" t="s">
        <v>62</v>
      </c>
      <c r="B65" s="52"/>
      <c r="C65" s="53">
        <f>SUM(C6+C14+C32+C34+C47)</f>
        <v>1265864</v>
      </c>
      <c r="D65" s="53">
        <f>SUM(D6+D14+D32+D34+D47)</f>
        <v>1356757</v>
      </c>
      <c r="E65" s="53">
        <f>SUM(E6+E14+E32+E34+E47)</f>
        <v>1374657</v>
      </c>
      <c r="F65" s="53">
        <f>SUM(F6+F14+F32+F34+F47)</f>
        <v>1414257</v>
      </c>
      <c r="G65" s="53">
        <f>SUM(G6+G14+G32+G34+G47)</f>
        <v>966091.16</v>
      </c>
      <c r="H65" s="422">
        <f t="shared" si="1"/>
        <v>0.6831086287711499</v>
      </c>
    </row>
    <row r="66" spans="1:8" ht="16.5" customHeight="1" thickBot="1">
      <c r="A66" s="54"/>
      <c r="B66" s="55" t="s">
        <v>63</v>
      </c>
      <c r="C66" s="56">
        <v>500</v>
      </c>
      <c r="D66" s="386">
        <f>500+400</f>
        <v>900</v>
      </c>
      <c r="E66" s="56">
        <f>500+400</f>
        <v>900</v>
      </c>
      <c r="F66" s="386">
        <f>500+400+500</f>
        <v>1400</v>
      </c>
      <c r="G66" s="56">
        <f>339+300</f>
        <v>639</v>
      </c>
      <c r="H66" s="422">
        <f t="shared" si="1"/>
        <v>0.4564285714285714</v>
      </c>
    </row>
    <row r="67" spans="1:8" ht="16.5" thickBot="1">
      <c r="A67" s="51" t="s">
        <v>64</v>
      </c>
      <c r="B67" s="40"/>
      <c r="C67" s="53">
        <f>SUM(C65:C66)</f>
        <v>1266364</v>
      </c>
      <c r="D67" s="53">
        <f>SUM(D65:D66)</f>
        <v>1357657</v>
      </c>
      <c r="E67" s="53">
        <f>SUM(E65:E66)</f>
        <v>1375557</v>
      </c>
      <c r="F67" s="53">
        <f>SUM(F65:F66)</f>
        <v>1415657</v>
      </c>
      <c r="G67" s="53">
        <f>SUM(G65:G66)</f>
        <v>966730.16</v>
      </c>
      <c r="H67" s="422">
        <f t="shared" si="1"/>
        <v>0.6828844557685937</v>
      </c>
    </row>
    <row r="68" spans="1:9" ht="15.75">
      <c r="A68" s="57"/>
      <c r="B68" s="58"/>
      <c r="C68" s="58"/>
      <c r="D68" s="59"/>
      <c r="E68" s="59"/>
      <c r="F68" s="59"/>
      <c r="G68" s="59"/>
      <c r="H68" s="59"/>
      <c r="I68" s="422"/>
    </row>
    <row r="69" spans="1:8" ht="16.5" thickBot="1">
      <c r="A69" s="57"/>
      <c r="B69" s="58"/>
      <c r="C69" s="58"/>
      <c r="D69" s="58"/>
      <c r="E69" s="58"/>
      <c r="F69" s="58"/>
      <c r="G69" s="58"/>
      <c r="H69" s="58"/>
    </row>
    <row r="70" spans="1:8" ht="18.75" thickBot="1">
      <c r="A70" s="548" t="s">
        <v>65</v>
      </c>
      <c r="B70" s="549"/>
      <c r="C70" s="549"/>
      <c r="D70" s="549"/>
      <c r="E70" s="549"/>
      <c r="F70" s="549"/>
      <c r="G70" s="549"/>
      <c r="H70" s="550"/>
    </row>
    <row r="71" spans="1:7" ht="12.75" customHeight="1">
      <c r="A71" s="515" t="s">
        <v>3</v>
      </c>
      <c r="B71" s="516"/>
      <c r="C71" s="512" t="s">
        <v>4</v>
      </c>
      <c r="D71" s="512" t="s">
        <v>199</v>
      </c>
      <c r="E71" s="512" t="s">
        <v>361</v>
      </c>
      <c r="F71" s="512" t="s">
        <v>397</v>
      </c>
      <c r="G71" s="537" t="s">
        <v>433</v>
      </c>
    </row>
    <row r="72" spans="1:7" ht="13.5" thickBot="1">
      <c r="A72" s="517"/>
      <c r="B72" s="518"/>
      <c r="C72" s="513"/>
      <c r="D72" s="513"/>
      <c r="E72" s="513"/>
      <c r="F72" s="513"/>
      <c r="G72" s="538"/>
    </row>
    <row r="73" spans="1:8" ht="12.75" customHeight="1" thickBot="1">
      <c r="A73" s="63" t="s">
        <v>66</v>
      </c>
      <c r="B73" s="64"/>
      <c r="C73" s="65">
        <f>SUM(C74:C77)</f>
        <v>168951</v>
      </c>
      <c r="D73" s="65">
        <f>SUM(D74:D77)</f>
        <v>170185</v>
      </c>
      <c r="E73" s="65">
        <f>SUM(E74:E77)</f>
        <v>170719</v>
      </c>
      <c r="F73" s="65">
        <f>SUM(F74:F77)</f>
        <v>170719</v>
      </c>
      <c r="G73" s="65">
        <f>SUM(G74:G77)</f>
        <v>106937</v>
      </c>
      <c r="H73" s="422">
        <f aca="true" t="shared" si="2" ref="H73:H104">G73/F73</f>
        <v>0.6263919071690908</v>
      </c>
    </row>
    <row r="74" spans="1:8" ht="12.75">
      <c r="A74" s="66" t="s">
        <v>67</v>
      </c>
      <c r="B74" s="67" t="s">
        <v>68</v>
      </c>
      <c r="C74" s="68">
        <v>136801</v>
      </c>
      <c r="D74" s="68">
        <f>136801</f>
        <v>136801</v>
      </c>
      <c r="E74" s="171">
        <f>136801+534</f>
        <v>137335</v>
      </c>
      <c r="F74" s="68">
        <f>136801+534</f>
        <v>137335</v>
      </c>
      <c r="G74" s="68">
        <v>89287</v>
      </c>
      <c r="H74" s="422">
        <f t="shared" si="2"/>
        <v>0.6501401682018422</v>
      </c>
    </row>
    <row r="75" spans="1:8" ht="12.75">
      <c r="A75" s="69" t="s">
        <v>69</v>
      </c>
      <c r="B75" s="43" t="s">
        <v>70</v>
      </c>
      <c r="C75" s="70">
        <v>25450</v>
      </c>
      <c r="D75" s="170">
        <f>25450+930+270</f>
        <v>26650</v>
      </c>
      <c r="E75" s="70">
        <f>25450+930+270</f>
        <v>26650</v>
      </c>
      <c r="F75" s="70">
        <f>25450+930+270</f>
        <v>26650</v>
      </c>
      <c r="G75" s="70">
        <v>14622</v>
      </c>
      <c r="H75" s="422">
        <f t="shared" si="2"/>
        <v>0.5486679174484053</v>
      </c>
    </row>
    <row r="76" spans="1:8" ht="12.75">
      <c r="A76" s="71" t="s">
        <v>71</v>
      </c>
      <c r="B76" s="43" t="s">
        <v>72</v>
      </c>
      <c r="C76" s="70">
        <v>3700</v>
      </c>
      <c r="D76" s="170">
        <v>3734</v>
      </c>
      <c r="E76" s="70">
        <v>3734</v>
      </c>
      <c r="F76" s="70">
        <v>3734</v>
      </c>
      <c r="G76" s="70">
        <v>3028</v>
      </c>
      <c r="H76" s="422">
        <f t="shared" si="2"/>
        <v>0.8109266202463846</v>
      </c>
    </row>
    <row r="77" spans="1:8" ht="13.5" thickBot="1">
      <c r="A77" s="72" t="s">
        <v>73</v>
      </c>
      <c r="B77" s="73" t="s">
        <v>74</v>
      </c>
      <c r="C77" s="74">
        <v>3000</v>
      </c>
      <c r="D77" s="74">
        <v>3000</v>
      </c>
      <c r="E77" s="74">
        <v>3000</v>
      </c>
      <c r="F77" s="74">
        <v>3000</v>
      </c>
      <c r="G77" s="74">
        <v>0</v>
      </c>
      <c r="H77" s="422">
        <f t="shared" si="2"/>
        <v>0</v>
      </c>
    </row>
    <row r="78" spans="1:8" ht="13.5" thickBot="1">
      <c r="A78" s="521" t="s">
        <v>75</v>
      </c>
      <c r="B78" s="522"/>
      <c r="C78" s="65">
        <f>SUM(C79)</f>
        <v>160</v>
      </c>
      <c r="D78" s="65">
        <f>SUM(D79)</f>
        <v>160</v>
      </c>
      <c r="E78" s="65">
        <f>SUM(E79)</f>
        <v>160</v>
      </c>
      <c r="F78" s="65">
        <f>SUM(F79)</f>
        <v>160</v>
      </c>
      <c r="G78" s="65">
        <f>SUM(G79)</f>
        <v>80</v>
      </c>
      <c r="H78" s="422">
        <f t="shared" si="2"/>
        <v>0.5</v>
      </c>
    </row>
    <row r="79" spans="1:8" ht="13.5" thickBot="1">
      <c r="A79" s="75" t="s">
        <v>76</v>
      </c>
      <c r="B79" s="58" t="s">
        <v>77</v>
      </c>
      <c r="C79" s="76">
        <v>160</v>
      </c>
      <c r="D79" s="76">
        <v>160</v>
      </c>
      <c r="E79" s="76">
        <v>160</v>
      </c>
      <c r="F79" s="76">
        <v>160</v>
      </c>
      <c r="G79" s="76">
        <v>80</v>
      </c>
      <c r="H79" s="422">
        <f t="shared" si="2"/>
        <v>0.5</v>
      </c>
    </row>
    <row r="80" spans="1:8" ht="13.5" thickBot="1">
      <c r="A80" s="521" t="s">
        <v>78</v>
      </c>
      <c r="B80" s="522"/>
      <c r="C80" s="65">
        <f>SUM(C81)</f>
        <v>4000</v>
      </c>
      <c r="D80" s="65">
        <f>SUM(D81)</f>
        <v>4000</v>
      </c>
      <c r="E80" s="65">
        <f>SUM(E81)</f>
        <v>5500</v>
      </c>
      <c r="F80" s="65">
        <f>SUM(F81)</f>
        <v>5500</v>
      </c>
      <c r="G80" s="65">
        <f>SUM(G81)</f>
        <v>3577</v>
      </c>
      <c r="H80" s="422">
        <f t="shared" si="2"/>
        <v>0.6503636363636364</v>
      </c>
    </row>
    <row r="81" spans="1:8" ht="13.5" thickBot="1">
      <c r="A81" s="77" t="s">
        <v>79</v>
      </c>
      <c r="B81" s="78" t="s">
        <v>80</v>
      </c>
      <c r="C81" s="79">
        <v>4000</v>
      </c>
      <c r="D81" s="79">
        <v>4000</v>
      </c>
      <c r="E81" s="432">
        <v>5500</v>
      </c>
      <c r="F81" s="79">
        <v>5500</v>
      </c>
      <c r="G81" s="79">
        <v>3577</v>
      </c>
      <c r="H81" s="422">
        <f t="shared" si="2"/>
        <v>0.6503636363636364</v>
      </c>
    </row>
    <row r="82" spans="1:8" ht="13.5" thickBot="1">
      <c r="A82" s="63" t="s">
        <v>81</v>
      </c>
      <c r="B82" s="80"/>
      <c r="C82" s="65">
        <f>SUM(C83:C89)</f>
        <v>132710</v>
      </c>
      <c r="D82" s="65">
        <f>SUM(D83:D89)</f>
        <v>194675</v>
      </c>
      <c r="E82" s="65">
        <f>SUM(E83:E89)</f>
        <v>198645</v>
      </c>
      <c r="F82" s="65">
        <f>SUM(F83:F89)</f>
        <v>203145</v>
      </c>
      <c r="G82" s="65">
        <f>SUM(G83:G89)</f>
        <v>97454</v>
      </c>
      <c r="H82" s="422">
        <f t="shared" si="2"/>
        <v>0.4797263038716188</v>
      </c>
    </row>
    <row r="83" spans="1:8" ht="12.75">
      <c r="A83" s="81" t="s">
        <v>82</v>
      </c>
      <c r="B83" s="31" t="s">
        <v>83</v>
      </c>
      <c r="C83" s="32">
        <v>1500</v>
      </c>
      <c r="D83" s="32">
        <v>1500</v>
      </c>
      <c r="E83" s="32">
        <v>1500</v>
      </c>
      <c r="F83" s="32">
        <v>1500</v>
      </c>
      <c r="G83" s="32">
        <v>1179</v>
      </c>
      <c r="H83" s="422">
        <f t="shared" si="2"/>
        <v>0.786</v>
      </c>
    </row>
    <row r="84" spans="1:8" ht="12.75">
      <c r="A84" s="71" t="s">
        <v>84</v>
      </c>
      <c r="B84" s="43" t="s">
        <v>85</v>
      </c>
      <c r="C84" s="70">
        <v>14000</v>
      </c>
      <c r="D84" s="70">
        <v>14000</v>
      </c>
      <c r="E84" s="70">
        <v>14000</v>
      </c>
      <c r="F84" s="70">
        <v>14000</v>
      </c>
      <c r="G84" s="70">
        <f>30696-10084-13751</f>
        <v>6861</v>
      </c>
      <c r="H84" s="422">
        <f t="shared" si="2"/>
        <v>0.49007142857142855</v>
      </c>
    </row>
    <row r="85" spans="1:8" ht="12.75">
      <c r="A85" s="71" t="s">
        <v>84</v>
      </c>
      <c r="B85" s="43" t="s">
        <v>204</v>
      </c>
      <c r="C85" s="70">
        <v>0</v>
      </c>
      <c r="D85" s="170">
        <v>15160</v>
      </c>
      <c r="E85" s="70">
        <v>15160</v>
      </c>
      <c r="F85" s="70">
        <v>15160</v>
      </c>
      <c r="G85" s="70">
        <v>10084</v>
      </c>
      <c r="H85" s="422">
        <f t="shared" si="2"/>
        <v>0.6651715039577837</v>
      </c>
    </row>
    <row r="86" spans="1:8" ht="12.75">
      <c r="A86" s="71" t="s">
        <v>84</v>
      </c>
      <c r="B86" s="43" t="s">
        <v>203</v>
      </c>
      <c r="C86" s="70">
        <v>0</v>
      </c>
      <c r="D86" s="170">
        <v>46805</v>
      </c>
      <c r="E86" s="70">
        <v>46805</v>
      </c>
      <c r="F86" s="70">
        <v>46805</v>
      </c>
      <c r="G86" s="70">
        <v>13751</v>
      </c>
      <c r="H86" s="422">
        <f t="shared" si="2"/>
        <v>0.29379339814122424</v>
      </c>
    </row>
    <row r="87" spans="1:8" ht="12.75">
      <c r="A87" s="71" t="s">
        <v>84</v>
      </c>
      <c r="B87" s="43" t="s">
        <v>396</v>
      </c>
      <c r="C87" s="70">
        <v>0</v>
      </c>
      <c r="D87" s="70">
        <v>0</v>
      </c>
      <c r="E87" s="170">
        <v>300</v>
      </c>
      <c r="F87" s="70">
        <v>300</v>
      </c>
      <c r="G87" s="70">
        <v>0</v>
      </c>
      <c r="H87" s="422">
        <f t="shared" si="2"/>
        <v>0</v>
      </c>
    </row>
    <row r="88" spans="1:8" ht="12.75">
      <c r="A88" s="71" t="s">
        <v>87</v>
      </c>
      <c r="B88" s="43" t="s">
        <v>88</v>
      </c>
      <c r="C88" s="82">
        <v>15000</v>
      </c>
      <c r="D88" s="82">
        <v>15000</v>
      </c>
      <c r="E88" s="425">
        <f>15000+3670</f>
        <v>18670</v>
      </c>
      <c r="F88" s="82">
        <f>15000+3670</f>
        <v>18670</v>
      </c>
      <c r="G88" s="82">
        <v>9651</v>
      </c>
      <c r="H88" s="422">
        <f t="shared" si="2"/>
        <v>0.5169255490091055</v>
      </c>
    </row>
    <row r="89" spans="1:8" ht="13.5" thickBot="1">
      <c r="A89" s="83" t="s">
        <v>89</v>
      </c>
      <c r="B89" s="84" t="s">
        <v>411</v>
      </c>
      <c r="C89" s="85">
        <v>102210</v>
      </c>
      <c r="D89" s="85">
        <v>102210</v>
      </c>
      <c r="E89" s="85">
        <f>102210</f>
        <v>102210</v>
      </c>
      <c r="F89" s="449">
        <f>102210+3000+1500</f>
        <v>106710</v>
      </c>
      <c r="G89" s="85">
        <v>55928</v>
      </c>
      <c r="H89" s="422">
        <f t="shared" si="2"/>
        <v>0.5241120794677162</v>
      </c>
    </row>
    <row r="90" spans="1:8" ht="13.5" thickBot="1">
      <c r="A90" s="63" t="s">
        <v>91</v>
      </c>
      <c r="B90" s="64"/>
      <c r="C90" s="65">
        <f>SUM(C91:C93)</f>
        <v>94940</v>
      </c>
      <c r="D90" s="65">
        <f>SUM(D91:D93)</f>
        <v>94940</v>
      </c>
      <c r="E90" s="65">
        <f>SUM(E91:E93)</f>
        <v>96440</v>
      </c>
      <c r="F90" s="65">
        <f>SUM(F91:F93)</f>
        <v>97640</v>
      </c>
      <c r="G90" s="65">
        <f>SUM(G91:G93)</f>
        <v>51559</v>
      </c>
      <c r="H90" s="422">
        <f t="shared" si="2"/>
        <v>0.5280520278574354</v>
      </c>
    </row>
    <row r="91" spans="1:8" ht="12.75">
      <c r="A91" s="86" t="s">
        <v>92</v>
      </c>
      <c r="B91" s="87" t="s">
        <v>93</v>
      </c>
      <c r="C91" s="88">
        <v>23800</v>
      </c>
      <c r="D91" s="88">
        <v>23800</v>
      </c>
      <c r="E91" s="88">
        <f>23800</f>
        <v>23800</v>
      </c>
      <c r="F91" s="88">
        <f>23800</f>
        <v>23800</v>
      </c>
      <c r="G91" s="88">
        <v>14458</v>
      </c>
      <c r="H91" s="422">
        <f t="shared" si="2"/>
        <v>0.6074789915966387</v>
      </c>
    </row>
    <row r="92" spans="1:8" ht="12.75">
      <c r="A92" s="75" t="s">
        <v>94</v>
      </c>
      <c r="B92" s="89" t="s">
        <v>95</v>
      </c>
      <c r="C92" s="74">
        <v>64900</v>
      </c>
      <c r="D92" s="74">
        <v>64900</v>
      </c>
      <c r="E92" s="427">
        <f>64900+1500</f>
        <v>66400</v>
      </c>
      <c r="F92" s="427">
        <f>64900+1500+700+400</f>
        <v>67500</v>
      </c>
      <c r="G92" s="74">
        <v>33850</v>
      </c>
      <c r="H92" s="422">
        <f t="shared" si="2"/>
        <v>0.5014814814814815</v>
      </c>
    </row>
    <row r="93" spans="1:8" ht="13.5" thickBot="1">
      <c r="A93" s="90" t="s">
        <v>96</v>
      </c>
      <c r="B93" s="91" t="s">
        <v>97</v>
      </c>
      <c r="C93" s="92">
        <v>6240</v>
      </c>
      <c r="D93" s="92">
        <v>6240</v>
      </c>
      <c r="E93" s="92">
        <v>6240</v>
      </c>
      <c r="F93" s="433">
        <f>6240+100</f>
        <v>6340</v>
      </c>
      <c r="G93" s="92">
        <v>3251</v>
      </c>
      <c r="H93" s="422">
        <f t="shared" si="2"/>
        <v>0.512776025236593</v>
      </c>
    </row>
    <row r="94" spans="1:8" ht="13.5" thickBot="1">
      <c r="A94" s="63" t="s">
        <v>98</v>
      </c>
      <c r="B94" s="80"/>
      <c r="C94" s="65">
        <f>SUM(C95)</f>
        <v>15100</v>
      </c>
      <c r="D94" s="65">
        <f>SUM(D95)</f>
        <v>15100</v>
      </c>
      <c r="E94" s="65">
        <f>SUM(E95)</f>
        <v>15100</v>
      </c>
      <c r="F94" s="65">
        <f>SUM(F95)</f>
        <v>15100</v>
      </c>
      <c r="G94" s="65">
        <f>SUM(G95)</f>
        <v>10676</v>
      </c>
      <c r="H94" s="422">
        <f t="shared" si="2"/>
        <v>0.7070198675496688</v>
      </c>
    </row>
    <row r="95" spans="1:8" ht="13.5" thickBot="1">
      <c r="A95" s="93" t="s">
        <v>99</v>
      </c>
      <c r="B95" s="84" t="s">
        <v>100</v>
      </c>
      <c r="C95" s="94">
        <v>15100</v>
      </c>
      <c r="D95" s="94">
        <v>15100</v>
      </c>
      <c r="E95" s="94">
        <v>15100</v>
      </c>
      <c r="F95" s="94">
        <v>15100</v>
      </c>
      <c r="G95" s="94">
        <v>10676</v>
      </c>
      <c r="H95" s="422">
        <f t="shared" si="2"/>
        <v>0.7070198675496688</v>
      </c>
    </row>
    <row r="96" spans="1:8" ht="13.5" thickBot="1">
      <c r="A96" s="95" t="s">
        <v>101</v>
      </c>
      <c r="B96" s="64"/>
      <c r="C96" s="65">
        <f>SUM(C97:C112)</f>
        <v>66520</v>
      </c>
      <c r="D96" s="65">
        <f>SUM(D97:D112)</f>
        <v>67320</v>
      </c>
      <c r="E96" s="65">
        <f>SUM(E97:E112)</f>
        <v>77516</v>
      </c>
      <c r="F96" s="65">
        <f>SUM(F97:F112)</f>
        <v>84066</v>
      </c>
      <c r="G96" s="65">
        <f>SUM(G97:G112)</f>
        <v>67065</v>
      </c>
      <c r="H96" s="422">
        <f t="shared" si="2"/>
        <v>0.797766040967811</v>
      </c>
    </row>
    <row r="97" spans="1:8" ht="13.5" thickBot="1">
      <c r="A97" s="90" t="s">
        <v>102</v>
      </c>
      <c r="B97" s="91" t="s">
        <v>103</v>
      </c>
      <c r="C97" s="92">
        <v>3800</v>
      </c>
      <c r="D97" s="92">
        <v>3800</v>
      </c>
      <c r="E97" s="92">
        <v>3800</v>
      </c>
      <c r="F97" s="433">
        <f>3800+2420</f>
        <v>6220</v>
      </c>
      <c r="G97" s="92">
        <v>4749</v>
      </c>
      <c r="H97" s="422">
        <f t="shared" si="2"/>
        <v>0.7635048231511254</v>
      </c>
    </row>
    <row r="98" spans="1:8" ht="12.75">
      <c r="A98" s="96" t="s">
        <v>102</v>
      </c>
      <c r="B98" s="67" t="s">
        <v>104</v>
      </c>
      <c r="C98" s="68">
        <v>7500</v>
      </c>
      <c r="D98" s="68">
        <v>7500</v>
      </c>
      <c r="E98" s="68">
        <v>7500</v>
      </c>
      <c r="F98" s="171">
        <v>6000</v>
      </c>
      <c r="G98" s="68">
        <v>6000</v>
      </c>
      <c r="H98" s="422">
        <f t="shared" si="2"/>
        <v>1</v>
      </c>
    </row>
    <row r="99" spans="1:8" ht="12.75">
      <c r="A99" s="96" t="s">
        <v>105</v>
      </c>
      <c r="B99" s="97" t="s">
        <v>106</v>
      </c>
      <c r="C99" s="98">
        <v>16400</v>
      </c>
      <c r="D99" s="392">
        <f>16400+800</f>
        <v>17200</v>
      </c>
      <c r="E99" s="98">
        <f>16400+800</f>
        <v>17200</v>
      </c>
      <c r="F99" s="98">
        <f>16400+800</f>
        <v>17200</v>
      </c>
      <c r="G99" s="98">
        <v>11630</v>
      </c>
      <c r="H99" s="422">
        <f t="shared" si="2"/>
        <v>0.6761627906976744</v>
      </c>
    </row>
    <row r="100" spans="1:8" ht="12.75">
      <c r="A100" s="71" t="s">
        <v>107</v>
      </c>
      <c r="B100" s="99" t="s">
        <v>108</v>
      </c>
      <c r="C100" s="70">
        <v>1000</v>
      </c>
      <c r="D100" s="70">
        <v>1000</v>
      </c>
      <c r="E100" s="70">
        <v>1000</v>
      </c>
      <c r="F100" s="70">
        <v>1000</v>
      </c>
      <c r="G100" s="70">
        <v>542</v>
      </c>
      <c r="H100" s="422">
        <f t="shared" si="2"/>
        <v>0.542</v>
      </c>
    </row>
    <row r="101" spans="1:8" ht="13.5" thickBot="1">
      <c r="A101" s="90" t="s">
        <v>109</v>
      </c>
      <c r="B101" s="91" t="s">
        <v>110</v>
      </c>
      <c r="C101" s="92">
        <v>1000</v>
      </c>
      <c r="D101" s="92">
        <v>1000</v>
      </c>
      <c r="E101" s="92">
        <v>1000</v>
      </c>
      <c r="F101" s="433">
        <f>1000+370</f>
        <v>1370</v>
      </c>
      <c r="G101" s="92">
        <v>720</v>
      </c>
      <c r="H101" s="422">
        <f t="shared" si="2"/>
        <v>0.5255474452554745</v>
      </c>
    </row>
    <row r="102" spans="1:8" ht="12.75">
      <c r="A102" s="71" t="s">
        <v>111</v>
      </c>
      <c r="B102" s="43" t="s">
        <v>112</v>
      </c>
      <c r="C102" s="70">
        <v>100</v>
      </c>
      <c r="D102" s="70">
        <v>100</v>
      </c>
      <c r="E102" s="70">
        <v>100</v>
      </c>
      <c r="F102" s="170">
        <v>250</v>
      </c>
      <c r="G102" s="70">
        <v>0</v>
      </c>
      <c r="H102" s="422">
        <f t="shared" si="2"/>
        <v>0</v>
      </c>
    </row>
    <row r="103" spans="1:8" ht="12.75">
      <c r="A103" s="71" t="s">
        <v>111</v>
      </c>
      <c r="B103" s="43" t="s">
        <v>113</v>
      </c>
      <c r="C103" s="70">
        <v>1000</v>
      </c>
      <c r="D103" s="70">
        <v>1000</v>
      </c>
      <c r="E103" s="70">
        <v>1000</v>
      </c>
      <c r="F103" s="70">
        <v>1000</v>
      </c>
      <c r="G103" s="70">
        <v>986</v>
      </c>
      <c r="H103" s="422">
        <f t="shared" si="2"/>
        <v>0.986</v>
      </c>
    </row>
    <row r="104" spans="1:8" ht="12.75">
      <c r="A104" s="71" t="s">
        <v>111</v>
      </c>
      <c r="B104" s="43" t="s">
        <v>114</v>
      </c>
      <c r="C104" s="70">
        <v>2500</v>
      </c>
      <c r="D104" s="70">
        <v>2500</v>
      </c>
      <c r="E104" s="170">
        <v>2000</v>
      </c>
      <c r="F104" s="70">
        <v>2000</v>
      </c>
      <c r="G104" s="70">
        <v>2000</v>
      </c>
      <c r="H104" s="422">
        <f t="shared" si="2"/>
        <v>1</v>
      </c>
    </row>
    <row r="105" spans="1:8" ht="12.75">
      <c r="A105" s="71" t="s">
        <v>111</v>
      </c>
      <c r="B105" s="43" t="s">
        <v>115</v>
      </c>
      <c r="C105" s="70">
        <v>10000</v>
      </c>
      <c r="D105" s="70">
        <v>10000</v>
      </c>
      <c r="E105" s="70">
        <v>10000</v>
      </c>
      <c r="F105" s="170">
        <f>10000+2560</f>
        <v>12560</v>
      </c>
      <c r="G105" s="70">
        <v>12560</v>
      </c>
      <c r="H105" s="422">
        <f aca="true" t="shared" si="3" ref="H105:H131">G105/F105</f>
        <v>1</v>
      </c>
    </row>
    <row r="106" spans="1:8" ht="12.75">
      <c r="A106" s="71" t="s">
        <v>111</v>
      </c>
      <c r="B106" s="43" t="s">
        <v>116</v>
      </c>
      <c r="C106" s="70">
        <v>100</v>
      </c>
      <c r="D106" s="70">
        <v>100</v>
      </c>
      <c r="E106" s="70">
        <v>100</v>
      </c>
      <c r="F106" s="70">
        <v>100</v>
      </c>
      <c r="G106" s="70">
        <v>94</v>
      </c>
      <c r="H106" s="422">
        <f t="shared" si="3"/>
        <v>0.94</v>
      </c>
    </row>
    <row r="107" spans="1:8" ht="12.75">
      <c r="A107" s="71" t="s">
        <v>111</v>
      </c>
      <c r="B107" s="43" t="s">
        <v>368</v>
      </c>
      <c r="C107" s="70">
        <v>0</v>
      </c>
      <c r="D107" s="70">
        <v>0</v>
      </c>
      <c r="E107" s="170">
        <v>650</v>
      </c>
      <c r="F107" s="170">
        <v>1000</v>
      </c>
      <c r="G107" s="70">
        <v>908</v>
      </c>
      <c r="H107" s="422">
        <f t="shared" si="3"/>
        <v>0.908</v>
      </c>
    </row>
    <row r="108" spans="1:8" ht="12.75">
      <c r="A108" s="71" t="s">
        <v>111</v>
      </c>
      <c r="B108" s="43" t="s">
        <v>117</v>
      </c>
      <c r="C108" s="70">
        <v>700</v>
      </c>
      <c r="D108" s="70">
        <v>700</v>
      </c>
      <c r="E108" s="70">
        <v>700</v>
      </c>
      <c r="F108" s="170">
        <v>800</v>
      </c>
      <c r="G108" s="70">
        <v>0</v>
      </c>
      <c r="H108" s="422">
        <f t="shared" si="3"/>
        <v>0</v>
      </c>
    </row>
    <row r="109" spans="1:8" ht="13.5" thickBot="1">
      <c r="A109" s="90" t="s">
        <v>111</v>
      </c>
      <c r="B109" s="91" t="s">
        <v>118</v>
      </c>
      <c r="C109" s="92">
        <v>10000</v>
      </c>
      <c r="D109" s="92">
        <v>10000</v>
      </c>
      <c r="E109" s="433">
        <v>18846</v>
      </c>
      <c r="F109" s="92">
        <v>18846</v>
      </c>
      <c r="G109" s="92">
        <v>18846</v>
      </c>
      <c r="H109" s="422">
        <f t="shared" si="3"/>
        <v>1</v>
      </c>
    </row>
    <row r="110" spans="1:8" ht="12.75">
      <c r="A110" s="86" t="s">
        <v>119</v>
      </c>
      <c r="B110" s="87" t="s">
        <v>120</v>
      </c>
      <c r="C110" s="88">
        <v>2420</v>
      </c>
      <c r="D110" s="88">
        <v>2420</v>
      </c>
      <c r="E110" s="434">
        <v>3120</v>
      </c>
      <c r="F110" s="434">
        <v>3220</v>
      </c>
      <c r="G110" s="88">
        <v>2431</v>
      </c>
      <c r="H110" s="422">
        <f t="shared" si="3"/>
        <v>0.7549689440993789</v>
      </c>
    </row>
    <row r="111" spans="1:8" ht="12.75">
      <c r="A111" s="96" t="s">
        <v>121</v>
      </c>
      <c r="B111" s="67" t="s">
        <v>122</v>
      </c>
      <c r="C111" s="68">
        <v>8500</v>
      </c>
      <c r="D111" s="68">
        <v>8500</v>
      </c>
      <c r="E111" s="171">
        <v>9000</v>
      </c>
      <c r="F111" s="68">
        <v>9000</v>
      </c>
      <c r="G111" s="68">
        <v>3816</v>
      </c>
      <c r="H111" s="422">
        <f t="shared" si="3"/>
        <v>0.424</v>
      </c>
    </row>
    <row r="112" spans="1:8" ht="13.5" thickBot="1">
      <c r="A112" s="90" t="s">
        <v>123</v>
      </c>
      <c r="B112" s="91" t="s">
        <v>405</v>
      </c>
      <c r="C112" s="92">
        <v>1500</v>
      </c>
      <c r="D112" s="92">
        <v>1500</v>
      </c>
      <c r="E112" s="92">
        <v>1500</v>
      </c>
      <c r="F112" s="433">
        <f>1500+2000</f>
        <v>3500</v>
      </c>
      <c r="G112" s="92">
        <v>1783</v>
      </c>
      <c r="H112" s="422">
        <f t="shared" si="3"/>
        <v>0.5094285714285715</v>
      </c>
    </row>
    <row r="113" spans="1:8" ht="13.5" thickBot="1">
      <c r="A113" s="521" t="s">
        <v>125</v>
      </c>
      <c r="B113" s="522"/>
      <c r="C113" s="65">
        <f>SUM(C114:C117)</f>
        <v>276520</v>
      </c>
      <c r="D113" s="65">
        <f>SUM(D114:D117)</f>
        <v>276520</v>
      </c>
      <c r="E113" s="65">
        <f>SUM(E114:E117)</f>
        <v>276520</v>
      </c>
      <c r="F113" s="65">
        <f>SUM(F114:F117)</f>
        <v>279320</v>
      </c>
      <c r="G113" s="65">
        <f>SUM(G114:G117)</f>
        <v>186663</v>
      </c>
      <c r="H113" s="422">
        <f t="shared" si="3"/>
        <v>0.6682765287125877</v>
      </c>
    </row>
    <row r="114" spans="1:8" ht="12.75">
      <c r="A114" s="100" t="s">
        <v>126</v>
      </c>
      <c r="B114" s="101" t="s">
        <v>127</v>
      </c>
      <c r="C114" s="102">
        <v>90000</v>
      </c>
      <c r="D114" s="102">
        <v>90000</v>
      </c>
      <c r="E114" s="102">
        <v>90000</v>
      </c>
      <c r="F114" s="102">
        <f>90000</f>
        <v>90000</v>
      </c>
      <c r="G114" s="102">
        <v>61584</v>
      </c>
      <c r="H114" s="422">
        <f t="shared" si="3"/>
        <v>0.6842666666666667</v>
      </c>
    </row>
    <row r="115" spans="1:8" ht="12.75">
      <c r="A115" s="103" t="s">
        <v>130</v>
      </c>
      <c r="B115" s="34" t="s">
        <v>131</v>
      </c>
      <c r="C115" s="35">
        <v>121340</v>
      </c>
      <c r="D115" s="35">
        <v>121340</v>
      </c>
      <c r="E115" s="35">
        <v>121340</v>
      </c>
      <c r="F115" s="163">
        <f>121340+1000+1000+600+200</f>
        <v>124140</v>
      </c>
      <c r="G115" s="35">
        <v>84373</v>
      </c>
      <c r="H115" s="422">
        <f t="shared" si="3"/>
        <v>0.6796600612212018</v>
      </c>
    </row>
    <row r="116" spans="1:8" ht="12.75">
      <c r="A116" s="103" t="s">
        <v>132</v>
      </c>
      <c r="B116" s="34" t="s">
        <v>133</v>
      </c>
      <c r="C116" s="35">
        <v>47180</v>
      </c>
      <c r="D116" s="35">
        <v>47180</v>
      </c>
      <c r="E116" s="35">
        <v>47180</v>
      </c>
      <c r="F116" s="35">
        <v>47180</v>
      </c>
      <c r="G116" s="35">
        <v>28818</v>
      </c>
      <c r="H116" s="422">
        <f t="shared" si="3"/>
        <v>0.6108096651123357</v>
      </c>
    </row>
    <row r="117" spans="1:8" ht="13.5" thickBot="1">
      <c r="A117" s="83" t="s">
        <v>134</v>
      </c>
      <c r="B117" s="84" t="s">
        <v>135</v>
      </c>
      <c r="C117" s="104">
        <v>18000</v>
      </c>
      <c r="D117" s="104">
        <v>18000</v>
      </c>
      <c r="E117" s="104">
        <v>18000</v>
      </c>
      <c r="F117" s="104">
        <v>18000</v>
      </c>
      <c r="G117" s="104">
        <v>11888</v>
      </c>
      <c r="H117" s="422">
        <f t="shared" si="3"/>
        <v>0.6604444444444444</v>
      </c>
    </row>
    <row r="118" spans="1:8" ht="13.5" thickBot="1">
      <c r="A118" s="63" t="s">
        <v>136</v>
      </c>
      <c r="B118" s="64"/>
      <c r="C118" s="65">
        <f>SUM(C119:C126)</f>
        <v>99140</v>
      </c>
      <c r="D118" s="65">
        <f>SUM(D119:D126)</f>
        <v>99140</v>
      </c>
      <c r="E118" s="65">
        <f>SUM(E119:E126)</f>
        <v>99140</v>
      </c>
      <c r="F118" s="65">
        <f>SUM(F119:F126)</f>
        <v>99140</v>
      </c>
      <c r="G118" s="65">
        <f>SUM(G119:G126)</f>
        <v>61864</v>
      </c>
      <c r="H118" s="422">
        <f t="shared" si="3"/>
        <v>0.62400645551745</v>
      </c>
    </row>
    <row r="119" spans="1:8" ht="12.75">
      <c r="A119" s="96" t="s">
        <v>137</v>
      </c>
      <c r="B119" s="67" t="s">
        <v>138</v>
      </c>
      <c r="C119" s="68">
        <v>61100</v>
      </c>
      <c r="D119" s="68">
        <v>61100</v>
      </c>
      <c r="E119" s="68">
        <v>61100</v>
      </c>
      <c r="F119" s="68">
        <v>61100</v>
      </c>
      <c r="G119" s="68">
        <f>44306-G120</f>
        <v>43478</v>
      </c>
      <c r="H119" s="422">
        <f t="shared" si="3"/>
        <v>0.7115875613747954</v>
      </c>
    </row>
    <row r="120" spans="1:8" ht="12.75">
      <c r="A120" s="71" t="s">
        <v>137</v>
      </c>
      <c r="B120" s="43" t="s">
        <v>139</v>
      </c>
      <c r="C120" s="70">
        <v>1800</v>
      </c>
      <c r="D120" s="70">
        <v>1800</v>
      </c>
      <c r="E120" s="70">
        <v>1800</v>
      </c>
      <c r="F120" s="70">
        <v>1800</v>
      </c>
      <c r="G120" s="70">
        <v>828</v>
      </c>
      <c r="H120" s="422">
        <f t="shared" si="3"/>
        <v>0.46</v>
      </c>
    </row>
    <row r="121" spans="1:8" ht="13.5" thickBot="1">
      <c r="A121" s="90" t="s">
        <v>140</v>
      </c>
      <c r="B121" s="91" t="s">
        <v>141</v>
      </c>
      <c r="C121" s="92">
        <v>11000</v>
      </c>
      <c r="D121" s="92">
        <v>11000</v>
      </c>
      <c r="E121" s="92">
        <v>11000</v>
      </c>
      <c r="F121" s="92">
        <v>11000</v>
      </c>
      <c r="G121" s="92">
        <v>8308</v>
      </c>
      <c r="H121" s="422">
        <f t="shared" si="3"/>
        <v>0.7552727272727273</v>
      </c>
    </row>
    <row r="122" spans="1:8" ht="12.75">
      <c r="A122" s="96" t="s">
        <v>142</v>
      </c>
      <c r="B122" s="67" t="s">
        <v>143</v>
      </c>
      <c r="C122" s="68">
        <v>300</v>
      </c>
      <c r="D122" s="68">
        <v>300</v>
      </c>
      <c r="E122" s="68">
        <v>300</v>
      </c>
      <c r="F122" s="68">
        <v>300</v>
      </c>
      <c r="G122" s="68">
        <v>159</v>
      </c>
      <c r="H122" s="422">
        <f t="shared" si="3"/>
        <v>0.53</v>
      </c>
    </row>
    <row r="123" spans="1:8" ht="12.75">
      <c r="A123" s="71" t="s">
        <v>144</v>
      </c>
      <c r="B123" s="43" t="s">
        <v>145</v>
      </c>
      <c r="C123" s="70">
        <v>17040</v>
      </c>
      <c r="D123" s="70">
        <v>17040</v>
      </c>
      <c r="E123" s="70">
        <v>17040</v>
      </c>
      <c r="F123" s="70">
        <v>17040</v>
      </c>
      <c r="G123" s="70">
        <v>4728</v>
      </c>
      <c r="H123" s="422">
        <f t="shared" si="3"/>
        <v>0.2774647887323944</v>
      </c>
    </row>
    <row r="124" spans="1:8" ht="12.75">
      <c r="A124" s="71" t="s">
        <v>146</v>
      </c>
      <c r="B124" s="43" t="s">
        <v>147</v>
      </c>
      <c r="C124" s="70">
        <v>7200</v>
      </c>
      <c r="D124" s="70">
        <v>7200</v>
      </c>
      <c r="E124" s="70">
        <v>7200</v>
      </c>
      <c r="F124" s="70">
        <v>7200</v>
      </c>
      <c r="G124" s="70">
        <v>4363</v>
      </c>
      <c r="H124" s="422">
        <f t="shared" si="3"/>
        <v>0.6059722222222222</v>
      </c>
    </row>
    <row r="125" spans="1:8" ht="12.75">
      <c r="A125" s="71" t="s">
        <v>148</v>
      </c>
      <c r="B125" s="43" t="s">
        <v>149</v>
      </c>
      <c r="C125" s="70">
        <v>400</v>
      </c>
      <c r="D125" s="70">
        <v>400</v>
      </c>
      <c r="E125" s="70">
        <v>400</v>
      </c>
      <c r="F125" s="70">
        <v>400</v>
      </c>
      <c r="G125" s="70">
        <v>0</v>
      </c>
      <c r="H125" s="422">
        <f t="shared" si="3"/>
        <v>0</v>
      </c>
    </row>
    <row r="126" spans="1:8" ht="13.5" thickBot="1">
      <c r="A126" s="90" t="s">
        <v>150</v>
      </c>
      <c r="B126" s="91" t="s">
        <v>151</v>
      </c>
      <c r="C126" s="92">
        <v>300</v>
      </c>
      <c r="D126" s="92">
        <v>300</v>
      </c>
      <c r="E126" s="92">
        <v>300</v>
      </c>
      <c r="F126" s="92">
        <v>300</v>
      </c>
      <c r="G126" s="92">
        <v>0</v>
      </c>
      <c r="H126" s="422">
        <f t="shared" si="3"/>
        <v>0</v>
      </c>
    </row>
    <row r="127" spans="1:8" ht="16.5" thickBot="1">
      <c r="A127" s="105" t="s">
        <v>152</v>
      </c>
      <c r="B127" s="106"/>
      <c r="C127" s="107">
        <f>SUM(C73+C78+C80+C82+C90+C94+C96+C113+C118)</f>
        <v>858041</v>
      </c>
      <c r="D127" s="107">
        <f>SUM(D73+D78+D80+D82+D90+D94+D96+D113+D118)</f>
        <v>922040</v>
      </c>
      <c r="E127" s="107">
        <f>SUM(E73+E78+E80+E82+E90+E94+E96+E113+E118)</f>
        <v>939740</v>
      </c>
      <c r="F127" s="107">
        <f>SUM(F73+F78+F80+F82+F90+F94+F96+F113+F118)</f>
        <v>954790</v>
      </c>
      <c r="G127" s="107">
        <f>SUM(G73+G78+G80+G82+G90+G94+G96+G113+G118)</f>
        <v>585875</v>
      </c>
      <c r="H127" s="422">
        <f t="shared" si="3"/>
        <v>0.6136166067931168</v>
      </c>
    </row>
    <row r="128" spans="1:8" ht="12.75">
      <c r="A128" s="108" t="s">
        <v>128</v>
      </c>
      <c r="B128" s="109" t="s">
        <v>153</v>
      </c>
      <c r="C128" s="110">
        <f>C49+C63+C66+C41</f>
        <v>334000</v>
      </c>
      <c r="D128" s="172">
        <f>D49+D63+D66+D41</f>
        <v>358865</v>
      </c>
      <c r="E128" s="110">
        <f>E49+E63+E66+E41</f>
        <v>358865</v>
      </c>
      <c r="F128" s="172">
        <f>F49+F63+F66+F41</f>
        <v>359365</v>
      </c>
      <c r="G128" s="110">
        <f>G49+G63+G66+G41</f>
        <v>266123</v>
      </c>
      <c r="H128" s="422">
        <f t="shared" si="3"/>
        <v>0.7405367801538826</v>
      </c>
    </row>
    <row r="129" spans="1:8" ht="15" customHeight="1">
      <c r="A129" s="111" t="s">
        <v>154</v>
      </c>
      <c r="B129" s="48" t="s">
        <v>155</v>
      </c>
      <c r="C129" s="112">
        <v>17000</v>
      </c>
      <c r="D129" s="393">
        <v>17200</v>
      </c>
      <c r="E129" s="393">
        <f>17200+200</f>
        <v>17400</v>
      </c>
      <c r="F129" s="393">
        <f>17200+200+200</f>
        <v>17600</v>
      </c>
      <c r="G129" s="112">
        <f>12800+1441</f>
        <v>14241</v>
      </c>
      <c r="H129" s="422">
        <f t="shared" si="3"/>
        <v>0.8091477272727273</v>
      </c>
    </row>
    <row r="130" spans="1:8" ht="13.5" thickBot="1">
      <c r="A130" s="527" t="s">
        <v>156</v>
      </c>
      <c r="B130" s="528"/>
      <c r="C130" s="113">
        <f>SUM(C128:C129)</f>
        <v>351000</v>
      </c>
      <c r="D130" s="113">
        <f>SUM(D128:D129)</f>
        <v>376065</v>
      </c>
      <c r="E130" s="113">
        <f>SUM(E128:E129)</f>
        <v>376265</v>
      </c>
      <c r="F130" s="113">
        <f>SUM(F128:F129)</f>
        <v>376965</v>
      </c>
      <c r="G130" s="113">
        <f>SUM(G128:G129)</f>
        <v>280364</v>
      </c>
      <c r="H130" s="422">
        <f t="shared" si="3"/>
        <v>0.7437401350257982</v>
      </c>
    </row>
    <row r="131" spans="1:8" ht="16.5" thickBot="1">
      <c r="A131" s="114" t="s">
        <v>157</v>
      </c>
      <c r="B131" s="80"/>
      <c r="C131" s="115">
        <f>C127+C130</f>
        <v>1209041</v>
      </c>
      <c r="D131" s="115">
        <f>D127+D130</f>
        <v>1298105</v>
      </c>
      <c r="E131" s="115">
        <f>E127+E130</f>
        <v>1316005</v>
      </c>
      <c r="F131" s="115">
        <f>F127+F130</f>
        <v>1331755</v>
      </c>
      <c r="G131" s="115">
        <f>G127+G130</f>
        <v>866239</v>
      </c>
      <c r="H131" s="422">
        <f t="shared" si="3"/>
        <v>0.6504492192633029</v>
      </c>
    </row>
    <row r="132" ht="12.75">
      <c r="I132" s="422"/>
    </row>
    <row r="133" ht="12.75">
      <c r="I133" s="422"/>
    </row>
    <row r="134" ht="12.75">
      <c r="I134" s="422"/>
    </row>
    <row r="136" spans="1:8" ht="13.5" thickBot="1">
      <c r="A136" s="116"/>
      <c r="B136" s="117"/>
      <c r="C136" s="117"/>
      <c r="D136" s="117"/>
      <c r="E136" s="117"/>
      <c r="F136" s="117"/>
      <c r="G136" s="117"/>
      <c r="H136" s="117"/>
    </row>
    <row r="137" spans="1:8" ht="27.75" customHeight="1" thickBot="1">
      <c r="A137" s="545" t="s">
        <v>158</v>
      </c>
      <c r="B137" s="546"/>
      <c r="C137" s="546"/>
      <c r="D137" s="546"/>
      <c r="E137" s="546"/>
      <c r="F137" s="546"/>
      <c r="G137" s="546"/>
      <c r="H137" s="547"/>
    </row>
    <row r="138" spans="1:7" ht="16.5" customHeight="1">
      <c r="A138" s="515" t="s">
        <v>3</v>
      </c>
      <c r="B138" s="516"/>
      <c r="C138" s="512" t="s">
        <v>4</v>
      </c>
      <c r="D138" s="512" t="s">
        <v>199</v>
      </c>
      <c r="E138" s="512" t="s">
        <v>361</v>
      </c>
      <c r="F138" s="512" t="s">
        <v>397</v>
      </c>
      <c r="G138" s="537" t="s">
        <v>433</v>
      </c>
    </row>
    <row r="139" spans="1:7" ht="12.75" customHeight="1" thickBot="1">
      <c r="A139" s="523"/>
      <c r="B139" s="524"/>
      <c r="C139" s="513"/>
      <c r="D139" s="513"/>
      <c r="E139" s="513"/>
      <c r="F139" s="513"/>
      <c r="G139" s="538"/>
    </row>
    <row r="140" spans="1:8" ht="16.5" thickBot="1">
      <c r="A140" s="529" t="s">
        <v>159</v>
      </c>
      <c r="B140" s="530"/>
      <c r="C140" s="121">
        <f>SUM(C141:C144)</f>
        <v>210370</v>
      </c>
      <c r="D140" s="121">
        <f>SUM(D141:D144)</f>
        <v>589925</v>
      </c>
      <c r="E140" s="121">
        <f>SUM(E141:E144)</f>
        <v>592186</v>
      </c>
      <c r="F140" s="121">
        <f>SUM(F141:F144)</f>
        <v>593259</v>
      </c>
      <c r="G140" s="121">
        <f>SUM(G141:G144)</f>
        <v>52687</v>
      </c>
      <c r="H140" s="422">
        <f aca="true" t="shared" si="4" ref="H140:H152">G140/F140</f>
        <v>0.08880944073330535</v>
      </c>
    </row>
    <row r="141" spans="1:8" ht="14.25" customHeight="1" thickBot="1">
      <c r="A141" s="122">
        <v>230</v>
      </c>
      <c r="B141" s="123" t="s">
        <v>160</v>
      </c>
      <c r="C141" s="124">
        <v>30000</v>
      </c>
      <c r="D141" s="124">
        <v>30000</v>
      </c>
      <c r="E141" s="426">
        <f>30000+2261</f>
        <v>32261</v>
      </c>
      <c r="F141" s="426">
        <f>30000+2261+1073</f>
        <v>33334</v>
      </c>
      <c r="G141" s="124">
        <v>2261</v>
      </c>
      <c r="H141" s="422">
        <f t="shared" si="4"/>
        <v>0.06782864342713146</v>
      </c>
    </row>
    <row r="142" spans="1:9" ht="12.75">
      <c r="A142" s="42">
        <v>322</v>
      </c>
      <c r="B142" s="67" t="s">
        <v>161</v>
      </c>
      <c r="C142" s="68">
        <v>0</v>
      </c>
      <c r="D142" s="171">
        <v>326446</v>
      </c>
      <c r="E142" s="68">
        <v>326446</v>
      </c>
      <c r="F142" s="68">
        <v>326446</v>
      </c>
      <c r="G142" s="68">
        <v>50426</v>
      </c>
      <c r="H142" s="422">
        <f t="shared" si="4"/>
        <v>0.15446965194856116</v>
      </c>
      <c r="I142" s="161">
        <f>D145-D140</f>
        <v>67023</v>
      </c>
    </row>
    <row r="143" spans="1:9" ht="12.75">
      <c r="A143" s="42">
        <v>322</v>
      </c>
      <c r="B143" s="67" t="s">
        <v>162</v>
      </c>
      <c r="C143" s="68">
        <v>0</v>
      </c>
      <c r="D143" s="171">
        <v>53105</v>
      </c>
      <c r="E143" s="68">
        <v>53105</v>
      </c>
      <c r="F143" s="68">
        <v>53105</v>
      </c>
      <c r="G143" s="68">
        <v>0</v>
      </c>
      <c r="H143" s="422">
        <f t="shared" si="4"/>
        <v>0</v>
      </c>
      <c r="I143" s="161"/>
    </row>
    <row r="144" spans="1:8" ht="13.5" thickBot="1">
      <c r="A144" s="44">
        <v>322</v>
      </c>
      <c r="B144" s="43" t="s">
        <v>163</v>
      </c>
      <c r="C144" s="70">
        <v>180370</v>
      </c>
      <c r="D144" s="170">
        <v>180374</v>
      </c>
      <c r="E144" s="70">
        <v>180374</v>
      </c>
      <c r="F144" s="70">
        <v>180374</v>
      </c>
      <c r="G144" s="70">
        <v>0</v>
      </c>
      <c r="H144" s="422">
        <f t="shared" si="4"/>
        <v>0</v>
      </c>
    </row>
    <row r="145" spans="1:8" ht="16.5" thickBot="1">
      <c r="A145" s="529" t="s">
        <v>164</v>
      </c>
      <c r="B145" s="530"/>
      <c r="C145" s="121">
        <f>SUM(C146:C152)</f>
        <v>257420</v>
      </c>
      <c r="D145" s="121">
        <f>SUM(D146:D152)</f>
        <v>656948</v>
      </c>
      <c r="E145" s="121">
        <f>SUM(E146:E152)</f>
        <v>659209</v>
      </c>
      <c r="F145" s="121">
        <f>SUM(F146:F152)</f>
        <v>659209</v>
      </c>
      <c r="G145" s="121">
        <f>SUM(G146:G152)</f>
        <v>72845</v>
      </c>
      <c r="H145" s="422">
        <f t="shared" si="4"/>
        <v>0.1105036490703252</v>
      </c>
    </row>
    <row r="146" spans="1:8" ht="12.75">
      <c r="A146" s="71" t="s">
        <v>84</v>
      </c>
      <c r="B146" s="12" t="s">
        <v>165</v>
      </c>
      <c r="C146" s="13">
        <v>0</v>
      </c>
      <c r="D146" s="13">
        <v>0</v>
      </c>
      <c r="E146" s="162">
        <v>2261</v>
      </c>
      <c r="F146" s="384">
        <v>2261</v>
      </c>
      <c r="G146" s="384">
        <v>2261</v>
      </c>
      <c r="H146" s="422">
        <f t="shared" si="4"/>
        <v>1</v>
      </c>
    </row>
    <row r="147" spans="1:8" ht="12.75">
      <c r="A147" s="125" t="s">
        <v>84</v>
      </c>
      <c r="B147" s="12" t="s">
        <v>166</v>
      </c>
      <c r="C147" s="13">
        <v>30000</v>
      </c>
      <c r="D147" s="13">
        <v>30000</v>
      </c>
      <c r="E147" s="13">
        <v>30000</v>
      </c>
      <c r="F147" s="13">
        <v>30000</v>
      </c>
      <c r="G147" s="384">
        <v>0</v>
      </c>
      <c r="H147" s="422">
        <f t="shared" si="4"/>
        <v>0</v>
      </c>
    </row>
    <row r="148" spans="1:8" ht="12.75">
      <c r="A148" s="66" t="s">
        <v>89</v>
      </c>
      <c r="B148" s="127" t="s">
        <v>168</v>
      </c>
      <c r="C148" s="10">
        <v>7550</v>
      </c>
      <c r="D148" s="10">
        <v>7550</v>
      </c>
      <c r="E148" s="390">
        <v>7550</v>
      </c>
      <c r="F148" s="390">
        <v>7550</v>
      </c>
      <c r="G148" s="390">
        <v>7550</v>
      </c>
      <c r="H148" s="422">
        <f t="shared" si="4"/>
        <v>1</v>
      </c>
    </row>
    <row r="149" spans="1:8" ht="12.75">
      <c r="A149" s="66" t="s">
        <v>92</v>
      </c>
      <c r="B149" s="9" t="s">
        <v>169</v>
      </c>
      <c r="C149" s="13">
        <v>0</v>
      </c>
      <c r="D149" s="162">
        <v>343628</v>
      </c>
      <c r="E149" s="384">
        <v>343628</v>
      </c>
      <c r="F149" s="384">
        <v>343628</v>
      </c>
      <c r="G149" s="384">
        <v>53080</v>
      </c>
      <c r="H149" s="422">
        <f t="shared" si="4"/>
        <v>0.15446936803752895</v>
      </c>
    </row>
    <row r="150" spans="1:8" ht="12.75">
      <c r="A150" s="103" t="s">
        <v>94</v>
      </c>
      <c r="B150" s="126" t="s">
        <v>170</v>
      </c>
      <c r="C150" s="13">
        <v>30000</v>
      </c>
      <c r="D150" s="13">
        <v>30000</v>
      </c>
      <c r="E150" s="384">
        <v>30000</v>
      </c>
      <c r="F150" s="384">
        <v>30000</v>
      </c>
      <c r="G150" s="384">
        <v>9954</v>
      </c>
      <c r="H150" s="422">
        <f t="shared" si="4"/>
        <v>0.3318</v>
      </c>
    </row>
    <row r="151" spans="1:8" ht="12.75">
      <c r="A151" s="71" t="s">
        <v>94</v>
      </c>
      <c r="B151" s="12" t="s">
        <v>171</v>
      </c>
      <c r="C151" s="13">
        <v>0</v>
      </c>
      <c r="D151" s="162">
        <v>55900</v>
      </c>
      <c r="E151" s="384">
        <v>55900</v>
      </c>
      <c r="F151" s="384">
        <v>55900</v>
      </c>
      <c r="G151" s="384">
        <v>0</v>
      </c>
      <c r="H151" s="422">
        <f t="shared" si="4"/>
        <v>0</v>
      </c>
    </row>
    <row r="152" spans="1:8" ht="13.5" thickBot="1">
      <c r="A152" s="129" t="s">
        <v>99</v>
      </c>
      <c r="B152" s="15" t="s">
        <v>175</v>
      </c>
      <c r="C152" s="16">
        <v>189870</v>
      </c>
      <c r="D152" s="16">
        <v>189870</v>
      </c>
      <c r="E152" s="16">
        <v>189870</v>
      </c>
      <c r="F152" s="16">
        <v>189870</v>
      </c>
      <c r="G152" s="16">
        <v>0</v>
      </c>
      <c r="H152" s="422">
        <f t="shared" si="4"/>
        <v>0</v>
      </c>
    </row>
    <row r="153" ht="12.75" customHeight="1">
      <c r="I153" s="422"/>
    </row>
    <row r="155" spans="1:8" ht="12.75">
      <c r="A155" s="130"/>
      <c r="B155" s="131"/>
      <c r="C155" s="131"/>
      <c r="D155" s="131"/>
      <c r="E155" s="131"/>
      <c r="F155" s="131"/>
      <c r="G155" s="131"/>
      <c r="H155" s="131"/>
    </row>
    <row r="156" spans="1:8" ht="13.5" thickBot="1">
      <c r="A156" s="131"/>
      <c r="B156" s="117"/>
      <c r="C156" s="117"/>
      <c r="D156" s="117"/>
      <c r="E156" s="117"/>
      <c r="F156" s="117"/>
      <c r="G156" s="117"/>
      <c r="H156" s="117"/>
    </row>
    <row r="157" spans="1:8" ht="19.5" customHeight="1" thickBot="1">
      <c r="A157" s="534" t="s">
        <v>176</v>
      </c>
      <c r="B157" s="535"/>
      <c r="C157" s="535"/>
      <c r="D157" s="535"/>
      <c r="E157" s="535"/>
      <c r="F157" s="535"/>
      <c r="G157" s="535"/>
      <c r="H157" s="536"/>
    </row>
    <row r="158" spans="1:7" ht="26.25" customHeight="1">
      <c r="A158" s="515" t="s">
        <v>3</v>
      </c>
      <c r="B158" s="516"/>
      <c r="C158" s="512" t="s">
        <v>4</v>
      </c>
      <c r="D158" s="512" t="s">
        <v>199</v>
      </c>
      <c r="E158" s="512" t="s">
        <v>361</v>
      </c>
      <c r="F158" s="512" t="s">
        <v>397</v>
      </c>
      <c r="G158" s="537" t="s">
        <v>433</v>
      </c>
    </row>
    <row r="159" spans="1:7" ht="12.75" customHeight="1" thickBot="1">
      <c r="A159" s="523"/>
      <c r="B159" s="524"/>
      <c r="C159" s="513"/>
      <c r="D159" s="513"/>
      <c r="E159" s="513"/>
      <c r="F159" s="513"/>
      <c r="G159" s="538"/>
    </row>
    <row r="160" spans="1:8" ht="16.5" thickBot="1">
      <c r="A160" s="525" t="s">
        <v>177</v>
      </c>
      <c r="B160" s="526"/>
      <c r="C160" s="135">
        <f>SUM(C161:C163)</f>
        <v>30427</v>
      </c>
      <c r="D160" s="135">
        <f>SUM(D161:D163)</f>
        <v>48171</v>
      </c>
      <c r="E160" s="135">
        <f>SUM(E161:E163)</f>
        <v>48171</v>
      </c>
      <c r="F160" s="135">
        <f>SUM(F161:F163)</f>
        <v>22748</v>
      </c>
      <c r="G160" s="135">
        <f>SUM(G161:G163)</f>
        <v>3342</v>
      </c>
      <c r="H160" s="422">
        <f>G160/F160</f>
        <v>0.14691401441885002</v>
      </c>
    </row>
    <row r="161" spans="1:8" ht="17.25" customHeight="1">
      <c r="A161" s="136">
        <v>411</v>
      </c>
      <c r="B161" s="137" t="s">
        <v>178</v>
      </c>
      <c r="C161" s="138">
        <v>427</v>
      </c>
      <c r="D161" s="138">
        <v>427</v>
      </c>
      <c r="E161" s="138">
        <v>427</v>
      </c>
      <c r="F161" s="138">
        <v>427</v>
      </c>
      <c r="G161" s="138">
        <v>0</v>
      </c>
      <c r="H161" s="422">
        <f>G161/F161</f>
        <v>0</v>
      </c>
    </row>
    <row r="162" spans="1:8" ht="12.75">
      <c r="A162" s="139">
        <v>454</v>
      </c>
      <c r="B162" s="45" t="s">
        <v>179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22">
        <v>0</v>
      </c>
    </row>
    <row r="163" spans="1:8" ht="13.5" thickBot="1">
      <c r="A163" s="140">
        <v>513</v>
      </c>
      <c r="B163" s="141" t="s">
        <v>180</v>
      </c>
      <c r="C163" s="142">
        <v>30000</v>
      </c>
      <c r="D163" s="174">
        <f>30000+17744</f>
        <v>47744</v>
      </c>
      <c r="E163" s="387">
        <f>30000+17744</f>
        <v>47744</v>
      </c>
      <c r="F163" s="174">
        <f>30000+17744-25423</f>
        <v>22321</v>
      </c>
      <c r="G163" s="387">
        <v>3342</v>
      </c>
      <c r="H163" s="422">
        <f>G163/F163</f>
        <v>0.14972447470991443</v>
      </c>
    </row>
    <row r="164" spans="1:8" ht="16.5" thickBot="1">
      <c r="A164" s="525" t="s">
        <v>181</v>
      </c>
      <c r="B164" s="526"/>
      <c r="C164" s="135">
        <f>SUM(C165:C166)</f>
        <v>40700</v>
      </c>
      <c r="D164" s="135">
        <f>SUM(D165:D166)</f>
        <v>40700</v>
      </c>
      <c r="E164" s="135">
        <f>SUM(E165:E166)</f>
        <v>40700</v>
      </c>
      <c r="F164" s="135">
        <f>SUM(F165:F166)</f>
        <v>40700</v>
      </c>
      <c r="G164" s="135">
        <f>SUM(G165:G166)</f>
        <v>22642</v>
      </c>
      <c r="H164" s="422">
        <f>G164/F164</f>
        <v>0.5563144963144964</v>
      </c>
    </row>
    <row r="165" spans="1:8" ht="12.75">
      <c r="A165" s="143">
        <v>821</v>
      </c>
      <c r="B165" s="137" t="s">
        <v>182</v>
      </c>
      <c r="C165" s="144">
        <v>40000</v>
      </c>
      <c r="D165" s="144">
        <v>40000</v>
      </c>
      <c r="E165" s="144">
        <v>40000</v>
      </c>
      <c r="F165" s="144">
        <v>40000</v>
      </c>
      <c r="G165" s="144">
        <v>22137</v>
      </c>
      <c r="H165" s="422">
        <f>G165/F165</f>
        <v>0.553425</v>
      </c>
    </row>
    <row r="166" spans="1:8" ht="15" customHeight="1" thickBot="1">
      <c r="A166" s="29">
        <v>821</v>
      </c>
      <c r="B166" s="145" t="s">
        <v>183</v>
      </c>
      <c r="C166" s="146">
        <v>700</v>
      </c>
      <c r="D166" s="146">
        <v>700</v>
      </c>
      <c r="E166" s="146">
        <v>700</v>
      </c>
      <c r="F166" s="146">
        <v>700</v>
      </c>
      <c r="G166" s="146">
        <v>505</v>
      </c>
      <c r="H166" s="422">
        <f>G166/F166</f>
        <v>0.7214285714285714</v>
      </c>
    </row>
    <row r="167" spans="1:9" ht="15.75">
      <c r="A167" s="57"/>
      <c r="B167" s="116"/>
      <c r="C167" s="116"/>
      <c r="D167" s="116"/>
      <c r="E167" s="116"/>
      <c r="F167" s="116"/>
      <c r="G167" s="116"/>
      <c r="H167" s="116"/>
      <c r="I167" s="422"/>
    </row>
    <row r="168" spans="1:8" ht="15.75">
      <c r="A168" s="57"/>
      <c r="B168" s="116"/>
      <c r="C168" s="116"/>
      <c r="D168" s="116"/>
      <c r="E168" s="116"/>
      <c r="F168" s="116"/>
      <c r="G168" s="116"/>
      <c r="H168" s="116"/>
    </row>
    <row r="169" spans="1:8" ht="15.75">
      <c r="A169" s="57"/>
      <c r="B169" s="116"/>
      <c r="C169" s="116"/>
      <c r="D169" s="116"/>
      <c r="E169" s="116"/>
      <c r="F169" s="116"/>
      <c r="G169" s="116"/>
      <c r="H169" s="116"/>
    </row>
    <row r="170" spans="1:8" ht="15.75">
      <c r="A170" s="57"/>
      <c r="B170" s="116"/>
      <c r="C170" s="116"/>
      <c r="D170" s="116"/>
      <c r="E170" s="116"/>
      <c r="F170" s="116"/>
      <c r="G170" s="116"/>
      <c r="H170" s="116"/>
    </row>
    <row r="171" spans="2:8" ht="7.5" customHeight="1" thickBot="1">
      <c r="B171" s="117"/>
      <c r="C171" s="117"/>
      <c r="D171" s="117"/>
      <c r="E171" s="117"/>
      <c r="F171" s="117"/>
      <c r="G171" s="117"/>
      <c r="H171" s="117"/>
    </row>
    <row r="172" spans="1:8" ht="21" customHeight="1" thickBot="1">
      <c r="A172" s="539" t="s">
        <v>184</v>
      </c>
      <c r="B172" s="540"/>
      <c r="C172" s="540"/>
      <c r="D172" s="540"/>
      <c r="E172" s="540"/>
      <c r="F172" s="540"/>
      <c r="G172" s="540"/>
      <c r="H172" s="541"/>
    </row>
    <row r="173" spans="1:7" ht="30" customHeight="1">
      <c r="A173" s="515" t="s">
        <v>3</v>
      </c>
      <c r="B173" s="516"/>
      <c r="C173" s="512" t="s">
        <v>4</v>
      </c>
      <c r="D173" s="512" t="s">
        <v>199</v>
      </c>
      <c r="E173" s="512" t="s">
        <v>361</v>
      </c>
      <c r="F173" s="512" t="s">
        <v>397</v>
      </c>
      <c r="G173" s="537" t="s">
        <v>433</v>
      </c>
    </row>
    <row r="174" spans="1:7" ht="12.75" customHeight="1" thickBot="1">
      <c r="A174" s="501"/>
      <c r="B174" s="502"/>
      <c r="C174" s="513"/>
      <c r="D174" s="513"/>
      <c r="E174" s="513"/>
      <c r="F174" s="513"/>
      <c r="G174" s="538"/>
    </row>
    <row r="175" spans="1:7" ht="15">
      <c r="A175" s="150" t="s">
        <v>185</v>
      </c>
      <c r="B175" s="19"/>
      <c r="C175" s="88">
        <f>C67</f>
        <v>1266364</v>
      </c>
      <c r="D175" s="88">
        <f>D67</f>
        <v>1357657</v>
      </c>
      <c r="E175" s="88">
        <f>E67</f>
        <v>1375557</v>
      </c>
      <c r="F175" s="88">
        <f>F67</f>
        <v>1415657</v>
      </c>
      <c r="G175" s="88">
        <f>G67</f>
        <v>966730.16</v>
      </c>
    </row>
    <row r="176" spans="1:7" ht="12.75" customHeight="1">
      <c r="A176" s="151" t="s">
        <v>186</v>
      </c>
      <c r="B176" s="12"/>
      <c r="C176" s="70">
        <f>C131</f>
        <v>1209041</v>
      </c>
      <c r="D176" s="70">
        <f>D131</f>
        <v>1298105</v>
      </c>
      <c r="E176" s="70">
        <f>E131</f>
        <v>1316005</v>
      </c>
      <c r="F176" s="70">
        <f>F131</f>
        <v>1331755</v>
      </c>
      <c r="G176" s="70">
        <f>G131</f>
        <v>866239</v>
      </c>
    </row>
    <row r="177" spans="1:7" ht="15.75">
      <c r="A177" s="152"/>
      <c r="B177" s="153" t="s">
        <v>187</v>
      </c>
      <c r="C177" s="154">
        <f>C175-C176</f>
        <v>57323</v>
      </c>
      <c r="D177" s="154">
        <f>D175-D176</f>
        <v>59552</v>
      </c>
      <c r="E177" s="154">
        <f>E175-E176</f>
        <v>59552</v>
      </c>
      <c r="F177" s="154">
        <f>F175-F176</f>
        <v>83902</v>
      </c>
      <c r="G177" s="154">
        <f>G175-G176</f>
        <v>100491.16000000003</v>
      </c>
    </row>
    <row r="178" spans="1:7" ht="15">
      <c r="A178" s="151" t="s">
        <v>188</v>
      </c>
      <c r="B178" s="12"/>
      <c r="C178" s="70">
        <f>C140</f>
        <v>210370</v>
      </c>
      <c r="D178" s="70">
        <f>D140</f>
        <v>589925</v>
      </c>
      <c r="E178" s="70">
        <f>E140</f>
        <v>592186</v>
      </c>
      <c r="F178" s="70">
        <f>F140</f>
        <v>593259</v>
      </c>
      <c r="G178" s="70">
        <f>G140</f>
        <v>52687</v>
      </c>
    </row>
    <row r="179" spans="1:7" ht="15">
      <c r="A179" s="151" t="s">
        <v>189</v>
      </c>
      <c r="B179" s="12"/>
      <c r="C179" s="13">
        <f>C145</f>
        <v>257420</v>
      </c>
      <c r="D179" s="13">
        <f>D145</f>
        <v>656948</v>
      </c>
      <c r="E179" s="13">
        <f>E145</f>
        <v>659209</v>
      </c>
      <c r="F179" s="13">
        <f>F145</f>
        <v>659209</v>
      </c>
      <c r="G179" s="13">
        <f>G145</f>
        <v>72845</v>
      </c>
    </row>
    <row r="180" spans="1:7" ht="15.75">
      <c r="A180" s="152"/>
      <c r="B180" s="155" t="s">
        <v>190</v>
      </c>
      <c r="C180" s="154">
        <f>C178-C179</f>
        <v>-47050</v>
      </c>
      <c r="D180" s="154">
        <f>D178-D179</f>
        <v>-67023</v>
      </c>
      <c r="E180" s="154">
        <f>E178-E179</f>
        <v>-67023</v>
      </c>
      <c r="F180" s="154">
        <f>F178-F179</f>
        <v>-65950</v>
      </c>
      <c r="G180" s="154">
        <f>G178-G179</f>
        <v>-20158</v>
      </c>
    </row>
    <row r="181" spans="1:7" ht="15">
      <c r="A181" s="500" t="s">
        <v>191</v>
      </c>
      <c r="B181" s="533"/>
      <c r="C181" s="82">
        <f>C160</f>
        <v>30427</v>
      </c>
      <c r="D181" s="82">
        <f>D160</f>
        <v>48171</v>
      </c>
      <c r="E181" s="82">
        <f>E160</f>
        <v>48171</v>
      </c>
      <c r="F181" s="82">
        <f>F160</f>
        <v>22748</v>
      </c>
      <c r="G181" s="82">
        <f>G160</f>
        <v>3342</v>
      </c>
    </row>
    <row r="182" spans="1:7" ht="15">
      <c r="A182" s="500" t="s">
        <v>192</v>
      </c>
      <c r="B182" s="533"/>
      <c r="C182" s="82">
        <f>C164</f>
        <v>40700</v>
      </c>
      <c r="D182" s="82">
        <f>D164</f>
        <v>40700</v>
      </c>
      <c r="E182" s="82">
        <f>E164</f>
        <v>40700</v>
      </c>
      <c r="F182" s="82">
        <f>F164</f>
        <v>40700</v>
      </c>
      <c r="G182" s="82">
        <f>G164</f>
        <v>22642</v>
      </c>
    </row>
    <row r="183" spans="1:7" ht="16.5" thickBot="1">
      <c r="A183" s="156"/>
      <c r="B183" s="157" t="s">
        <v>193</v>
      </c>
      <c r="C183" s="158">
        <f>C181-C182</f>
        <v>-10273</v>
      </c>
      <c r="D183" s="158">
        <f>D181-D182</f>
        <v>7471</v>
      </c>
      <c r="E183" s="158">
        <f>E181-E182</f>
        <v>7471</v>
      </c>
      <c r="F183" s="158">
        <f>F181-F182</f>
        <v>-17952</v>
      </c>
      <c r="G183" s="158">
        <f>G181-G182</f>
        <v>-19300</v>
      </c>
    </row>
    <row r="184" spans="1:7" ht="16.5" thickBot="1">
      <c r="A184" s="531" t="s">
        <v>194</v>
      </c>
      <c r="B184" s="532"/>
      <c r="C184" s="159">
        <f>C177+C180+C183</f>
        <v>0</v>
      </c>
      <c r="D184" s="159">
        <f>D177+D180+D183</f>
        <v>0</v>
      </c>
      <c r="E184" s="159">
        <f>E177+E180+E183</f>
        <v>0</v>
      </c>
      <c r="F184" s="159">
        <f>F177+F180+F183</f>
        <v>0</v>
      </c>
      <c r="G184" s="159">
        <f>G177+G180+G183</f>
        <v>61033.16000000003</v>
      </c>
    </row>
    <row r="186" spans="2:7" ht="12.75">
      <c r="B186" s="160" t="s">
        <v>195</v>
      </c>
      <c r="C186" s="161">
        <f aca="true" t="shared" si="5" ref="C186:E187">C175+C178+C181</f>
        <v>1507161</v>
      </c>
      <c r="D186" s="161">
        <f t="shared" si="5"/>
        <v>1995753</v>
      </c>
      <c r="E186" s="161">
        <f t="shared" si="5"/>
        <v>2015914</v>
      </c>
      <c r="F186" s="161">
        <f>F175+F178+F181</f>
        <v>2031664</v>
      </c>
      <c r="G186" s="161">
        <f>G175+G178+G181</f>
        <v>1022759.16</v>
      </c>
    </row>
    <row r="187" spans="2:7" ht="12.75">
      <c r="B187" s="160" t="s">
        <v>196</v>
      </c>
      <c r="C187" s="161">
        <f t="shared" si="5"/>
        <v>1507161</v>
      </c>
      <c r="D187" s="161">
        <f t="shared" si="5"/>
        <v>1995753</v>
      </c>
      <c r="E187" s="161">
        <f t="shared" si="5"/>
        <v>2015914</v>
      </c>
      <c r="F187" s="161">
        <f>F176+F179+F182</f>
        <v>2031664</v>
      </c>
      <c r="G187" s="161">
        <f>G176+G179+G182</f>
        <v>961726</v>
      </c>
    </row>
    <row r="188" spans="2:7" ht="12.75">
      <c r="B188" s="160"/>
      <c r="C188" s="161"/>
      <c r="D188" s="161"/>
      <c r="E188" s="161"/>
      <c r="F188" s="161"/>
      <c r="G188" s="161"/>
    </row>
    <row r="189" spans="2:7" ht="12.75">
      <c r="B189" s="160" t="s">
        <v>197</v>
      </c>
      <c r="C189" s="161">
        <f>C186-C66</f>
        <v>1506661</v>
      </c>
      <c r="D189" s="161">
        <f>D186-D66</f>
        <v>1994853</v>
      </c>
      <c r="E189" s="161">
        <f>E186-E66</f>
        <v>2015014</v>
      </c>
      <c r="F189" s="161">
        <f>F186-F66</f>
        <v>2030264</v>
      </c>
      <c r="G189" s="161">
        <f>G186-G66</f>
        <v>1022120.16</v>
      </c>
    </row>
    <row r="190" spans="2:7" ht="12.75">
      <c r="B190" s="160" t="s">
        <v>198</v>
      </c>
      <c r="C190" s="161">
        <f>C187-C130</f>
        <v>1156161</v>
      </c>
      <c r="D190" s="161">
        <f>D187-D130</f>
        <v>1619688</v>
      </c>
      <c r="E190" s="161">
        <f>E187-E130</f>
        <v>1639649</v>
      </c>
      <c r="F190" s="161">
        <f>F187-F130</f>
        <v>1654699</v>
      </c>
      <c r="G190" s="161">
        <f>G187-G130</f>
        <v>681362</v>
      </c>
    </row>
    <row r="192" ht="12.75">
      <c r="B192" t="s">
        <v>415</v>
      </c>
    </row>
    <row r="193" spans="2:5" ht="12.75">
      <c r="B193" s="511" t="s">
        <v>1</v>
      </c>
      <c r="C193" s="511"/>
      <c r="D193" s="511"/>
      <c r="E193" s="511"/>
    </row>
    <row r="194" spans="2:5" ht="12.75">
      <c r="B194" s="511" t="s">
        <v>357</v>
      </c>
      <c r="C194" s="511"/>
      <c r="D194" s="511"/>
      <c r="E194" s="511"/>
    </row>
    <row r="195" spans="2:5" ht="12.75">
      <c r="B195" s="511" t="s">
        <v>413</v>
      </c>
      <c r="C195" s="511"/>
      <c r="D195" s="511"/>
      <c r="E195" s="511"/>
    </row>
    <row r="196" spans="2:5" ht="12.75">
      <c r="B196" s="511" t="s">
        <v>414</v>
      </c>
      <c r="C196" s="511"/>
      <c r="D196" s="511"/>
      <c r="E196" s="511"/>
    </row>
  </sheetData>
  <sheetProtection/>
  <mergeCells count="55">
    <mergeCell ref="A78:B78"/>
    <mergeCell ref="C158:C159"/>
    <mergeCell ref="A80:B80"/>
    <mergeCell ref="G158:G159"/>
    <mergeCell ref="A113:B113"/>
    <mergeCell ref="A130:B130"/>
    <mergeCell ref="E4:E5"/>
    <mergeCell ref="E71:E72"/>
    <mergeCell ref="A4:B5"/>
    <mergeCell ref="C4:C5"/>
    <mergeCell ref="D4:D5"/>
    <mergeCell ref="A14:B14"/>
    <mergeCell ref="A32:B32"/>
    <mergeCell ref="A70:H70"/>
    <mergeCell ref="F71:F72"/>
    <mergeCell ref="A6:B6"/>
    <mergeCell ref="B196:E196"/>
    <mergeCell ref="B195:E195"/>
    <mergeCell ref="A172:H172"/>
    <mergeCell ref="A140:B140"/>
    <mergeCell ref="A145:B145"/>
    <mergeCell ref="A158:B159"/>
    <mergeCell ref="F158:F159"/>
    <mergeCell ref="F173:F174"/>
    <mergeCell ref="D158:D159"/>
    <mergeCell ref="G173:G174"/>
    <mergeCell ref="B194:E194"/>
    <mergeCell ref="B193:E193"/>
    <mergeCell ref="C173:C174"/>
    <mergeCell ref="D173:D174"/>
    <mergeCell ref="E173:E174"/>
    <mergeCell ref="A182:B182"/>
    <mergeCell ref="A181:B181"/>
    <mergeCell ref="A184:B184"/>
    <mergeCell ref="A173:B174"/>
    <mergeCell ref="A1:G1"/>
    <mergeCell ref="A3:H3"/>
    <mergeCell ref="A137:H137"/>
    <mergeCell ref="A157:H157"/>
    <mergeCell ref="A34:B34"/>
    <mergeCell ref="A138:B139"/>
    <mergeCell ref="C138:C139"/>
    <mergeCell ref="G4:G5"/>
    <mergeCell ref="A71:B72"/>
    <mergeCell ref="F4:F5"/>
    <mergeCell ref="G71:G72"/>
    <mergeCell ref="G138:G139"/>
    <mergeCell ref="A160:B160"/>
    <mergeCell ref="A164:B164"/>
    <mergeCell ref="E158:E159"/>
    <mergeCell ref="C71:C72"/>
    <mergeCell ref="D71:D72"/>
    <mergeCell ref="E138:E139"/>
    <mergeCell ref="D138:D139"/>
    <mergeCell ref="F138:F139"/>
  </mergeCells>
  <printOptions/>
  <pageMargins left="0.32" right="0.22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0" customWidth="1"/>
    <col min="2" max="2" width="42.00390625" style="0" customWidth="1"/>
    <col min="3" max="3" width="11.421875" style="0" customWidth="1"/>
    <col min="4" max="4" width="11.140625" style="0" customWidth="1"/>
    <col min="5" max="5" width="11.421875" style="0" customWidth="1"/>
    <col min="6" max="6" width="10.7109375" style="0" customWidth="1"/>
    <col min="7" max="7" width="6.8515625" style="0" customWidth="1"/>
  </cols>
  <sheetData>
    <row r="1" spans="1:6" ht="20.25">
      <c r="A1" s="514" t="s">
        <v>205</v>
      </c>
      <c r="B1" s="514"/>
      <c r="C1" s="514"/>
      <c r="D1" s="514"/>
      <c r="E1" s="514"/>
      <c r="F1" s="514"/>
    </row>
    <row r="2" spans="1:5" ht="12.75">
      <c r="A2" s="511" t="s">
        <v>1</v>
      </c>
      <c r="B2" s="511"/>
      <c r="C2" s="511"/>
      <c r="D2" s="511"/>
      <c r="E2" s="419"/>
    </row>
    <row r="3" spans="1:5" ht="12.75">
      <c r="A3" s="511" t="s">
        <v>357</v>
      </c>
      <c r="B3" s="511"/>
      <c r="C3" s="511"/>
      <c r="D3" s="511"/>
      <c r="E3" s="419"/>
    </row>
    <row r="4" spans="1:5" ht="12.75">
      <c r="A4" s="511" t="s">
        <v>382</v>
      </c>
      <c r="B4" s="511"/>
      <c r="C4" s="511"/>
      <c r="D4" s="511"/>
      <c r="E4" s="419"/>
    </row>
    <row r="5" spans="1:5" ht="13.5" thickBot="1">
      <c r="A5" s="551"/>
      <c r="B5" s="551"/>
      <c r="C5" s="551"/>
      <c r="D5" s="551"/>
      <c r="E5" s="420"/>
    </row>
    <row r="6" spans="1:6" ht="18.75" thickBot="1">
      <c r="A6" s="542" t="s">
        <v>2</v>
      </c>
      <c r="B6" s="543"/>
      <c r="C6" s="543"/>
      <c r="D6" s="543"/>
      <c r="E6" s="543"/>
      <c r="F6" s="544"/>
    </row>
    <row r="7" spans="1:6" ht="12.75" customHeight="1">
      <c r="A7" s="515" t="s">
        <v>3</v>
      </c>
      <c r="B7" s="516"/>
      <c r="C7" s="512" t="s">
        <v>4</v>
      </c>
      <c r="D7" s="512" t="s">
        <v>199</v>
      </c>
      <c r="E7" s="512" t="s">
        <v>361</v>
      </c>
      <c r="F7" s="537" t="s">
        <v>383</v>
      </c>
    </row>
    <row r="8" spans="1:6" ht="13.5" thickBot="1">
      <c r="A8" s="517"/>
      <c r="B8" s="518"/>
      <c r="C8" s="513"/>
      <c r="D8" s="513"/>
      <c r="E8" s="513"/>
      <c r="F8" s="538"/>
    </row>
    <row r="9" spans="1:7" ht="13.5" thickBot="1">
      <c r="A9" s="519" t="s">
        <v>7</v>
      </c>
      <c r="B9" s="520"/>
      <c r="C9" s="4">
        <f>SUM(C10:C18)</f>
        <v>696283</v>
      </c>
      <c r="D9" s="4">
        <f>SUM(D10:D18)</f>
        <v>696203</v>
      </c>
      <c r="E9" s="4">
        <f>SUM(E10:E18)</f>
        <v>696203</v>
      </c>
      <c r="F9" s="4">
        <f>SUM(F10:F18)</f>
        <v>374727</v>
      </c>
      <c r="G9" s="422">
        <f>F9/E9</f>
        <v>0.5382438742723028</v>
      </c>
    </row>
    <row r="10" spans="1:7" ht="13.5" thickBot="1">
      <c r="A10" s="5">
        <v>111</v>
      </c>
      <c r="B10" s="6" t="s">
        <v>8</v>
      </c>
      <c r="C10" s="7">
        <v>644000</v>
      </c>
      <c r="D10" s="7">
        <v>644000</v>
      </c>
      <c r="E10" s="7">
        <v>644000</v>
      </c>
      <c r="F10" s="7">
        <v>342525</v>
      </c>
      <c r="G10" s="422">
        <f aca="true" t="shared" si="0" ref="G10:G73">F10/E10</f>
        <v>0.5318711180124224</v>
      </c>
    </row>
    <row r="11" spans="1:7" ht="12.75">
      <c r="A11" s="8">
        <v>121</v>
      </c>
      <c r="B11" s="9" t="s">
        <v>9</v>
      </c>
      <c r="C11" s="10">
        <v>13200</v>
      </c>
      <c r="D11" s="10">
        <v>13200</v>
      </c>
      <c r="E11" s="10">
        <v>13200</v>
      </c>
      <c r="F11" s="10">
        <v>6160</v>
      </c>
      <c r="G11" s="422">
        <f t="shared" si="0"/>
        <v>0.4666666666666667</v>
      </c>
    </row>
    <row r="12" spans="1:7" ht="12.75">
      <c r="A12" s="11">
        <v>121</v>
      </c>
      <c r="B12" s="12" t="s">
        <v>10</v>
      </c>
      <c r="C12" s="13">
        <v>17000</v>
      </c>
      <c r="D12" s="13">
        <v>17000</v>
      </c>
      <c r="E12" s="13">
        <v>17000</v>
      </c>
      <c r="F12" s="13">
        <v>11418</v>
      </c>
      <c r="G12" s="422">
        <f t="shared" si="0"/>
        <v>0.6716470588235294</v>
      </c>
    </row>
    <row r="13" spans="1:7" ht="13.5" thickBot="1">
      <c r="A13" s="14">
        <v>121</v>
      </c>
      <c r="B13" s="15" t="s">
        <v>11</v>
      </c>
      <c r="C13" s="16">
        <v>73</v>
      </c>
      <c r="D13" s="16">
        <v>73</v>
      </c>
      <c r="E13" s="16">
        <v>73</v>
      </c>
      <c r="F13" s="16">
        <v>68</v>
      </c>
      <c r="G13" s="422">
        <f t="shared" si="0"/>
        <v>0.9315068493150684</v>
      </c>
    </row>
    <row r="14" spans="1:7" ht="12.75">
      <c r="A14" s="8">
        <v>133</v>
      </c>
      <c r="B14" s="9" t="s">
        <v>12</v>
      </c>
      <c r="C14" s="10">
        <v>950</v>
      </c>
      <c r="D14" s="10">
        <v>950</v>
      </c>
      <c r="E14" s="10">
        <v>950</v>
      </c>
      <c r="F14" s="10">
        <v>929</v>
      </c>
      <c r="G14" s="422">
        <f t="shared" si="0"/>
        <v>0.9778947368421053</v>
      </c>
    </row>
    <row r="15" spans="1:7" ht="12.75">
      <c r="A15" s="11">
        <v>133</v>
      </c>
      <c r="B15" s="12" t="s">
        <v>13</v>
      </c>
      <c r="C15" s="13">
        <v>360</v>
      </c>
      <c r="D15" s="162">
        <v>280</v>
      </c>
      <c r="E15" s="384">
        <v>280</v>
      </c>
      <c r="F15" s="384">
        <v>280</v>
      </c>
      <c r="G15" s="422">
        <f t="shared" si="0"/>
        <v>1</v>
      </c>
    </row>
    <row r="16" spans="1:7" ht="12.75">
      <c r="A16" s="11">
        <v>133</v>
      </c>
      <c r="B16" s="12" t="s">
        <v>14</v>
      </c>
      <c r="C16" s="13">
        <v>700</v>
      </c>
      <c r="D16" s="13">
        <v>700</v>
      </c>
      <c r="E16" s="13">
        <v>700</v>
      </c>
      <c r="F16" s="13">
        <v>278</v>
      </c>
      <c r="G16" s="422">
        <f t="shared" si="0"/>
        <v>0.39714285714285713</v>
      </c>
    </row>
    <row r="17" spans="1:7" ht="12.75">
      <c r="A17" s="11">
        <v>133</v>
      </c>
      <c r="B17" s="12" t="s">
        <v>15</v>
      </c>
      <c r="C17" s="13">
        <v>5000</v>
      </c>
      <c r="D17" s="13">
        <v>5000</v>
      </c>
      <c r="E17" s="13">
        <v>5000</v>
      </c>
      <c r="F17" s="13">
        <v>2330</v>
      </c>
      <c r="G17" s="422">
        <f t="shared" si="0"/>
        <v>0.466</v>
      </c>
    </row>
    <row r="18" spans="1:7" ht="13.5" thickBot="1">
      <c r="A18" s="14">
        <v>133</v>
      </c>
      <c r="B18" s="15" t="s">
        <v>16</v>
      </c>
      <c r="C18" s="17">
        <v>15000</v>
      </c>
      <c r="D18" s="16">
        <v>15000</v>
      </c>
      <c r="E18" s="16">
        <v>15000</v>
      </c>
      <c r="F18" s="16">
        <v>10739</v>
      </c>
      <c r="G18" s="422">
        <f t="shared" si="0"/>
        <v>0.7159333333333333</v>
      </c>
    </row>
    <row r="19" spans="1:7" ht="13.5" thickBot="1">
      <c r="A19" s="519" t="s">
        <v>17</v>
      </c>
      <c r="B19" s="520"/>
      <c r="C19" s="4">
        <f>SUM(C20:C36)</f>
        <v>142437</v>
      </c>
      <c r="D19" s="4">
        <f>SUM(D20:D36)</f>
        <v>143137</v>
      </c>
      <c r="E19" s="4">
        <f>SUM(E20:E36)</f>
        <v>152383</v>
      </c>
      <c r="F19" s="4">
        <f>SUM(F20:F36)</f>
        <v>50960</v>
      </c>
      <c r="G19" s="422">
        <f t="shared" si="0"/>
        <v>0.33442050622444763</v>
      </c>
    </row>
    <row r="20" spans="1:7" ht="12.75">
      <c r="A20" s="18">
        <v>212</v>
      </c>
      <c r="B20" s="19" t="s">
        <v>18</v>
      </c>
      <c r="C20" s="20">
        <v>490</v>
      </c>
      <c r="D20" s="20">
        <v>490</v>
      </c>
      <c r="E20" s="20">
        <v>490</v>
      </c>
      <c r="F20" s="20">
        <v>286</v>
      </c>
      <c r="G20" s="422">
        <f t="shared" si="0"/>
        <v>0.5836734693877551</v>
      </c>
    </row>
    <row r="21" spans="1:7" ht="12.75">
      <c r="A21" s="8">
        <v>212</v>
      </c>
      <c r="B21" s="9" t="s">
        <v>19</v>
      </c>
      <c r="C21" s="10">
        <v>200</v>
      </c>
      <c r="D21" s="10">
        <v>200</v>
      </c>
      <c r="E21" s="10">
        <v>200</v>
      </c>
      <c r="F21" s="10">
        <v>100</v>
      </c>
      <c r="G21" s="422">
        <f t="shared" si="0"/>
        <v>0.5</v>
      </c>
    </row>
    <row r="22" spans="1:7" ht="12.75">
      <c r="A22" s="11">
        <v>212</v>
      </c>
      <c r="B22" s="12" t="s">
        <v>20</v>
      </c>
      <c r="C22" s="13">
        <v>3809</v>
      </c>
      <c r="D22" s="13">
        <v>3809</v>
      </c>
      <c r="E22" s="13">
        <v>3809</v>
      </c>
      <c r="F22" s="13">
        <v>2201</v>
      </c>
      <c r="G22" s="422">
        <f t="shared" si="0"/>
        <v>0.5778419532685745</v>
      </c>
    </row>
    <row r="23" spans="1:7" ht="12.75">
      <c r="A23" s="11">
        <v>212</v>
      </c>
      <c r="B23" s="12" t="s">
        <v>21</v>
      </c>
      <c r="C23" s="13">
        <v>12590</v>
      </c>
      <c r="D23" s="13">
        <v>12590</v>
      </c>
      <c r="E23" s="13">
        <v>12590</v>
      </c>
      <c r="F23" s="13">
        <v>4890</v>
      </c>
      <c r="G23" s="422">
        <f t="shared" si="0"/>
        <v>0.38840349483717235</v>
      </c>
    </row>
    <row r="24" spans="1:9" ht="13.5" thickBot="1">
      <c r="A24" s="21">
        <v>212</v>
      </c>
      <c r="B24" s="22" t="s">
        <v>22</v>
      </c>
      <c r="C24" s="23">
        <v>20</v>
      </c>
      <c r="D24" s="23">
        <v>20</v>
      </c>
      <c r="E24" s="23">
        <v>20</v>
      </c>
      <c r="F24" s="23">
        <v>0</v>
      </c>
      <c r="G24" s="422">
        <f t="shared" si="0"/>
        <v>0</v>
      </c>
      <c r="H24" s="161">
        <f>SUM(F20:F24)</f>
        <v>7477</v>
      </c>
      <c r="I24" s="161">
        <f>SUM(D20:D24)</f>
        <v>17109</v>
      </c>
    </row>
    <row r="25" spans="1:7" ht="13.5" thickBot="1">
      <c r="A25" s="24">
        <v>221</v>
      </c>
      <c r="B25" s="25" t="s">
        <v>23</v>
      </c>
      <c r="C25" s="26">
        <v>9200</v>
      </c>
      <c r="D25" s="27">
        <v>9200</v>
      </c>
      <c r="E25" s="27">
        <v>9200</v>
      </c>
      <c r="F25" s="27">
        <v>1907</v>
      </c>
      <c r="G25" s="422">
        <f t="shared" si="0"/>
        <v>0.20728260869565218</v>
      </c>
    </row>
    <row r="26" spans="1:7" ht="13.5" thickBot="1">
      <c r="A26" s="24">
        <v>222</v>
      </c>
      <c r="B26" s="25" t="s">
        <v>24</v>
      </c>
      <c r="C26" s="27">
        <v>100</v>
      </c>
      <c r="D26" s="385">
        <v>700</v>
      </c>
      <c r="E26" s="423">
        <v>700</v>
      </c>
      <c r="F26" s="27">
        <v>500</v>
      </c>
      <c r="G26" s="422">
        <f t="shared" si="0"/>
        <v>0.7142857142857143</v>
      </c>
    </row>
    <row r="27" spans="1:7" ht="12.75">
      <c r="A27" s="8">
        <v>223</v>
      </c>
      <c r="B27" s="9" t="s">
        <v>25</v>
      </c>
      <c r="C27" s="10">
        <v>800</v>
      </c>
      <c r="D27" s="173">
        <v>900</v>
      </c>
      <c r="E27" s="390">
        <v>900</v>
      </c>
      <c r="F27" s="10">
        <v>411</v>
      </c>
      <c r="G27" s="422">
        <f t="shared" si="0"/>
        <v>0.45666666666666667</v>
      </c>
    </row>
    <row r="28" spans="1:7" ht="12.75">
      <c r="A28" s="11">
        <v>223</v>
      </c>
      <c r="B28" s="12" t="s">
        <v>26</v>
      </c>
      <c r="C28" s="13">
        <v>10000</v>
      </c>
      <c r="D28" s="13">
        <v>10000</v>
      </c>
      <c r="E28" s="384">
        <v>10000</v>
      </c>
      <c r="F28" s="13">
        <v>5935</v>
      </c>
      <c r="G28" s="422">
        <f t="shared" si="0"/>
        <v>0.5935</v>
      </c>
    </row>
    <row r="29" spans="1:7" ht="12.75">
      <c r="A29" s="11">
        <v>223</v>
      </c>
      <c r="B29" s="12" t="s">
        <v>27</v>
      </c>
      <c r="C29" s="13">
        <v>12000</v>
      </c>
      <c r="D29" s="13">
        <v>12000</v>
      </c>
      <c r="E29" s="162">
        <f>12000+400+8846</f>
        <v>21246</v>
      </c>
      <c r="F29" s="13">
        <v>20481</v>
      </c>
      <c r="G29" s="422">
        <f t="shared" si="0"/>
        <v>0.9639932222536006</v>
      </c>
    </row>
    <row r="30" spans="1:7" ht="12.75">
      <c r="A30" s="11">
        <v>223</v>
      </c>
      <c r="B30" s="12" t="s">
        <v>28</v>
      </c>
      <c r="C30" s="13">
        <v>1200</v>
      </c>
      <c r="D30" s="13">
        <v>1200</v>
      </c>
      <c r="E30" s="13">
        <v>1200</v>
      </c>
      <c r="F30" s="13">
        <v>0</v>
      </c>
      <c r="G30" s="422">
        <f t="shared" si="0"/>
        <v>0</v>
      </c>
    </row>
    <row r="31" spans="1:7" ht="12.75">
      <c r="A31" s="11">
        <v>223</v>
      </c>
      <c r="B31" s="12" t="s">
        <v>29</v>
      </c>
      <c r="C31" s="13">
        <v>650</v>
      </c>
      <c r="D31" s="13">
        <v>650</v>
      </c>
      <c r="E31" s="13">
        <v>650</v>
      </c>
      <c r="F31" s="13">
        <v>312</v>
      </c>
      <c r="G31" s="422">
        <f t="shared" si="0"/>
        <v>0.48</v>
      </c>
    </row>
    <row r="32" spans="1:7" ht="12.75">
      <c r="A32" s="11">
        <v>223</v>
      </c>
      <c r="B32" s="12" t="s">
        <v>30</v>
      </c>
      <c r="C32" s="13">
        <v>60000</v>
      </c>
      <c r="D32" s="13">
        <v>60000</v>
      </c>
      <c r="E32" s="13">
        <v>60000</v>
      </c>
      <c r="F32" s="13">
        <v>0</v>
      </c>
      <c r="G32" s="422">
        <f t="shared" si="0"/>
        <v>0</v>
      </c>
    </row>
    <row r="33" spans="1:7" ht="12.75">
      <c r="A33" s="11">
        <v>223</v>
      </c>
      <c r="B33" s="12" t="s">
        <v>31</v>
      </c>
      <c r="C33" s="13">
        <v>22778</v>
      </c>
      <c r="D33" s="13">
        <v>22778</v>
      </c>
      <c r="E33" s="13">
        <v>22778</v>
      </c>
      <c r="F33" s="13">
        <v>9050</v>
      </c>
      <c r="G33" s="422">
        <f t="shared" si="0"/>
        <v>0.3973131969444201</v>
      </c>
    </row>
    <row r="34" spans="1:7" ht="12.75">
      <c r="A34" s="11">
        <v>223</v>
      </c>
      <c r="B34" s="12" t="s">
        <v>32</v>
      </c>
      <c r="C34" s="28">
        <v>7500</v>
      </c>
      <c r="D34" s="13">
        <v>7500</v>
      </c>
      <c r="E34" s="13">
        <v>7500</v>
      </c>
      <c r="F34" s="13">
        <v>4403</v>
      </c>
      <c r="G34" s="422">
        <f t="shared" si="0"/>
        <v>0.5870666666666666</v>
      </c>
    </row>
    <row r="35" spans="1:7" ht="12.75">
      <c r="A35" s="11">
        <v>223</v>
      </c>
      <c r="B35" s="12" t="s">
        <v>33</v>
      </c>
      <c r="C35" s="13">
        <v>1000</v>
      </c>
      <c r="D35" s="13">
        <v>1000</v>
      </c>
      <c r="E35" s="13">
        <v>1000</v>
      </c>
      <c r="F35" s="13">
        <v>484</v>
      </c>
      <c r="G35" s="422">
        <f t="shared" si="0"/>
        <v>0.484</v>
      </c>
    </row>
    <row r="36" spans="1:9" ht="13.5" thickBot="1">
      <c r="A36" s="14">
        <v>223</v>
      </c>
      <c r="B36" s="15" t="s">
        <v>35</v>
      </c>
      <c r="C36" s="16">
        <v>100</v>
      </c>
      <c r="D36" s="16">
        <v>100</v>
      </c>
      <c r="E36" s="16">
        <v>100</v>
      </c>
      <c r="F36" s="16">
        <v>0</v>
      </c>
      <c r="G36" s="422">
        <f t="shared" si="0"/>
        <v>0</v>
      </c>
      <c r="H36" s="161">
        <f>SUM(F27:F36)</f>
        <v>41076</v>
      </c>
      <c r="I36" s="161">
        <f>SUM(D27:D36)</f>
        <v>116128</v>
      </c>
    </row>
    <row r="37" spans="1:7" ht="13.5" thickBot="1">
      <c r="A37" s="519" t="s">
        <v>36</v>
      </c>
      <c r="B37" s="520"/>
      <c r="C37" s="4">
        <f>SUM(C38)</f>
        <v>344</v>
      </c>
      <c r="D37" s="4">
        <f>SUM(D38)</f>
        <v>344</v>
      </c>
      <c r="E37" s="4">
        <f>SUM(E38)</f>
        <v>344</v>
      </c>
      <c r="F37" s="4">
        <f>SUM(F38)</f>
        <v>256</v>
      </c>
      <c r="G37" s="422">
        <f t="shared" si="0"/>
        <v>0.7441860465116279</v>
      </c>
    </row>
    <row r="38" spans="1:7" ht="13.5" thickBot="1">
      <c r="A38" s="29">
        <v>240</v>
      </c>
      <c r="B38" s="22" t="s">
        <v>37</v>
      </c>
      <c r="C38" s="23">
        <v>344</v>
      </c>
      <c r="D38" s="23">
        <v>344</v>
      </c>
      <c r="E38" s="23">
        <v>344</v>
      </c>
      <c r="F38" s="23">
        <v>256</v>
      </c>
      <c r="G38" s="422">
        <f t="shared" si="0"/>
        <v>0.7441860465116279</v>
      </c>
    </row>
    <row r="39" spans="1:7" ht="13.5" thickBot="1">
      <c r="A39" s="519" t="s">
        <v>38</v>
      </c>
      <c r="B39" s="520"/>
      <c r="C39" s="4">
        <f>SUM(C40:C52)</f>
        <v>26100</v>
      </c>
      <c r="D39" s="4">
        <f>SUM(D40:D52)</f>
        <v>32598</v>
      </c>
      <c r="E39" s="4">
        <f>SUM(E40:E52)</f>
        <v>34301</v>
      </c>
      <c r="F39" s="4">
        <f>SUM(F40:F52)</f>
        <v>17447.7</v>
      </c>
      <c r="G39" s="422">
        <f t="shared" si="0"/>
        <v>0.5086644704236029</v>
      </c>
    </row>
    <row r="40" spans="1:7" ht="12.75">
      <c r="A40" s="30">
        <v>292</v>
      </c>
      <c r="B40" s="31" t="s">
        <v>389</v>
      </c>
      <c r="C40" s="32">
        <v>0</v>
      </c>
      <c r="D40" s="32">
        <v>0</v>
      </c>
      <c r="E40" s="430">
        <v>200</v>
      </c>
      <c r="F40" s="32">
        <v>159</v>
      </c>
      <c r="G40" s="422"/>
    </row>
    <row r="41" spans="1:7" ht="12.75">
      <c r="A41" s="30">
        <v>292</v>
      </c>
      <c r="B41" s="31" t="s">
        <v>39</v>
      </c>
      <c r="C41" s="32">
        <v>100</v>
      </c>
      <c r="D41" s="32">
        <v>100</v>
      </c>
      <c r="E41" s="32">
        <v>100</v>
      </c>
      <c r="F41" s="32">
        <v>60</v>
      </c>
      <c r="G41" s="422">
        <f t="shared" si="0"/>
        <v>0.6</v>
      </c>
    </row>
    <row r="42" spans="1:7" ht="12.75">
      <c r="A42" s="33">
        <v>292</v>
      </c>
      <c r="B42" s="34" t="s">
        <v>40</v>
      </c>
      <c r="C42" s="35">
        <v>0</v>
      </c>
      <c r="D42" s="163">
        <f>3595+385+512+565</f>
        <v>5057</v>
      </c>
      <c r="E42" s="163">
        <v>5060</v>
      </c>
      <c r="F42" s="35">
        <f>3595+385+512+565+1.61</f>
        <v>5058.61</v>
      </c>
      <c r="G42" s="422">
        <f t="shared" si="0"/>
        <v>0.9997252964426877</v>
      </c>
    </row>
    <row r="43" spans="1:7" ht="12.75">
      <c r="A43" s="33">
        <v>292</v>
      </c>
      <c r="B43" s="12" t="s">
        <v>362</v>
      </c>
      <c r="C43" s="36">
        <v>160</v>
      </c>
      <c r="D43" s="36">
        <v>160</v>
      </c>
      <c r="E43" s="424">
        <v>160</v>
      </c>
      <c r="F43" s="36">
        <v>0</v>
      </c>
      <c r="G43" s="422">
        <f t="shared" si="0"/>
        <v>0</v>
      </c>
    </row>
    <row r="44" spans="1:7" ht="12.75">
      <c r="A44" s="33">
        <v>292</v>
      </c>
      <c r="B44" s="34" t="s">
        <v>322</v>
      </c>
      <c r="C44" s="35">
        <v>3500</v>
      </c>
      <c r="D44" s="35">
        <v>3500</v>
      </c>
      <c r="E44" s="35">
        <v>3500</v>
      </c>
      <c r="F44" s="35">
        <v>893</v>
      </c>
      <c r="G44" s="422">
        <f t="shared" si="0"/>
        <v>0.2551428571428571</v>
      </c>
    </row>
    <row r="45" spans="1:7" ht="12.75">
      <c r="A45" s="33">
        <v>292</v>
      </c>
      <c r="B45" s="34" t="s">
        <v>43</v>
      </c>
      <c r="C45" s="35">
        <v>200</v>
      </c>
      <c r="D45" s="35">
        <v>200</v>
      </c>
      <c r="E45" s="163">
        <v>400</v>
      </c>
      <c r="F45" s="35">
        <v>199</v>
      </c>
      <c r="G45" s="422">
        <f t="shared" si="0"/>
        <v>0.4975</v>
      </c>
    </row>
    <row r="46" spans="1:7" ht="12.75">
      <c r="A46" s="400">
        <v>292</v>
      </c>
      <c r="B46" s="401" t="s">
        <v>347</v>
      </c>
      <c r="C46" s="402">
        <v>0</v>
      </c>
      <c r="D46" s="403">
        <v>1441</v>
      </c>
      <c r="E46" s="402">
        <v>1441</v>
      </c>
      <c r="F46" s="402">
        <v>1441</v>
      </c>
      <c r="G46" s="422">
        <f t="shared" si="0"/>
        <v>1</v>
      </c>
    </row>
    <row r="47" spans="1:7" ht="12.75">
      <c r="A47" s="33">
        <v>292</v>
      </c>
      <c r="B47" s="12" t="s">
        <v>45</v>
      </c>
      <c r="C47" s="36">
        <v>5540</v>
      </c>
      <c r="D47" s="36">
        <v>5540</v>
      </c>
      <c r="E47" s="431">
        <f>5540+1300</f>
        <v>6840</v>
      </c>
      <c r="F47" s="36">
        <v>2856</v>
      </c>
      <c r="G47" s="422">
        <f t="shared" si="0"/>
        <v>0.41754385964912283</v>
      </c>
    </row>
    <row r="48" spans="1:7" ht="12.75">
      <c r="A48" s="33">
        <v>292</v>
      </c>
      <c r="B48" s="12" t="s">
        <v>46</v>
      </c>
      <c r="C48" s="36">
        <v>2000</v>
      </c>
      <c r="D48" s="36">
        <v>2000</v>
      </c>
      <c r="E48" s="36">
        <v>2000</v>
      </c>
      <c r="F48" s="36">
        <f>203.54+116.55</f>
        <v>320.09</v>
      </c>
      <c r="G48" s="422">
        <f t="shared" si="0"/>
        <v>0.160045</v>
      </c>
    </row>
    <row r="49" spans="1:7" ht="12.75">
      <c r="A49" s="33">
        <v>292</v>
      </c>
      <c r="B49" s="12" t="s">
        <v>47</v>
      </c>
      <c r="C49" s="36">
        <v>100</v>
      </c>
      <c r="D49" s="36">
        <v>100</v>
      </c>
      <c r="E49" s="36">
        <v>100</v>
      </c>
      <c r="F49" s="36">
        <v>0</v>
      </c>
      <c r="G49" s="422">
        <f t="shared" si="0"/>
        <v>0</v>
      </c>
    </row>
    <row r="50" spans="1:7" ht="12.75">
      <c r="A50" s="11">
        <v>292</v>
      </c>
      <c r="B50" s="12" t="s">
        <v>321</v>
      </c>
      <c r="C50" s="13">
        <v>12000</v>
      </c>
      <c r="D50" s="13">
        <v>12000</v>
      </c>
      <c r="E50" s="13">
        <v>12000</v>
      </c>
      <c r="F50" s="13">
        <v>6063</v>
      </c>
      <c r="G50" s="422">
        <f t="shared" si="0"/>
        <v>0.50525</v>
      </c>
    </row>
    <row r="51" spans="1:7" ht="12.75">
      <c r="A51" s="33">
        <v>292</v>
      </c>
      <c r="B51" s="34" t="s">
        <v>323</v>
      </c>
      <c r="C51" s="35">
        <v>2500</v>
      </c>
      <c r="D51" s="35">
        <v>2500</v>
      </c>
      <c r="E51" s="35">
        <v>2500</v>
      </c>
      <c r="F51" s="35">
        <v>398</v>
      </c>
      <c r="G51" s="422">
        <f t="shared" si="0"/>
        <v>0.1592</v>
      </c>
    </row>
    <row r="52" spans="1:7" ht="13.5" thickBot="1">
      <c r="A52" s="37">
        <v>292</v>
      </c>
      <c r="B52" s="22" t="s">
        <v>48</v>
      </c>
      <c r="C52" s="38">
        <v>0</v>
      </c>
      <c r="D52" s="38">
        <v>0</v>
      </c>
      <c r="E52" s="38">
        <v>0</v>
      </c>
      <c r="F52" s="38">
        <v>0</v>
      </c>
      <c r="G52" s="422">
        <v>0</v>
      </c>
    </row>
    <row r="53" spans="1:7" ht="13.5" thickBot="1">
      <c r="A53" s="39" t="s">
        <v>49</v>
      </c>
      <c r="B53" s="40"/>
      <c r="C53" s="41">
        <f>SUM(C54:C70)</f>
        <v>400700</v>
      </c>
      <c r="D53" s="41">
        <f>SUM(D54:D70)</f>
        <v>484475</v>
      </c>
      <c r="E53" s="41">
        <f>SUM(E54:E70)</f>
        <v>491426</v>
      </c>
      <c r="F53" s="41">
        <f>SUM(F54:F70)</f>
        <v>226221</v>
      </c>
      <c r="G53" s="422">
        <f t="shared" si="0"/>
        <v>0.46033583896659924</v>
      </c>
    </row>
    <row r="54" spans="1:7" ht="12.75">
      <c r="A54" s="42">
        <v>311</v>
      </c>
      <c r="B54" s="9" t="s">
        <v>50</v>
      </c>
      <c r="C54" s="10">
        <v>0</v>
      </c>
      <c r="D54" s="10">
        <v>0</v>
      </c>
      <c r="E54" s="173">
        <v>150</v>
      </c>
      <c r="F54" s="10">
        <v>150</v>
      </c>
      <c r="G54" s="422">
        <v>0</v>
      </c>
    </row>
    <row r="55" spans="1:7" ht="12.75">
      <c r="A55" s="404">
        <v>312</v>
      </c>
      <c r="B55" s="405" t="s">
        <v>51</v>
      </c>
      <c r="C55" s="406">
        <v>15600</v>
      </c>
      <c r="D55" s="406">
        <v>15600</v>
      </c>
      <c r="E55" s="406">
        <v>15600</v>
      </c>
      <c r="F55" s="406">
        <v>7567</v>
      </c>
      <c r="G55" s="422">
        <f t="shared" si="0"/>
        <v>0.48506410256410254</v>
      </c>
    </row>
    <row r="56" spans="1:7" ht="12.75">
      <c r="A56" s="165">
        <v>312</v>
      </c>
      <c r="B56" s="166" t="s">
        <v>364</v>
      </c>
      <c r="C56" s="167">
        <v>0</v>
      </c>
      <c r="D56" s="168">
        <v>2431</v>
      </c>
      <c r="E56" s="168">
        <f>2431+2431</f>
        <v>4862</v>
      </c>
      <c r="F56" s="167">
        <v>4862</v>
      </c>
      <c r="G56" s="422">
        <f t="shared" si="0"/>
        <v>1</v>
      </c>
    </row>
    <row r="57" spans="1:7" ht="12.75">
      <c r="A57" s="165">
        <v>312</v>
      </c>
      <c r="B57" s="166" t="s">
        <v>363</v>
      </c>
      <c r="C57" s="167">
        <v>0</v>
      </c>
      <c r="D57" s="167">
        <v>0</v>
      </c>
      <c r="E57" s="168">
        <v>3670</v>
      </c>
      <c r="F57" s="167">
        <v>3670</v>
      </c>
      <c r="G57" s="422">
        <f t="shared" si="0"/>
        <v>1</v>
      </c>
    </row>
    <row r="58" spans="1:7" ht="12.75">
      <c r="A58" s="42">
        <v>312</v>
      </c>
      <c r="B58" s="12" t="s">
        <v>52</v>
      </c>
      <c r="C58" s="10">
        <v>7200</v>
      </c>
      <c r="D58" s="10">
        <v>7200</v>
      </c>
      <c r="E58" s="10">
        <v>7200</v>
      </c>
      <c r="F58" s="10">
        <v>4917</v>
      </c>
      <c r="G58" s="422">
        <f t="shared" si="0"/>
        <v>0.6829166666666666</v>
      </c>
    </row>
    <row r="59" spans="1:7" ht="12.75">
      <c r="A59" s="42">
        <v>312</v>
      </c>
      <c r="B59" s="43" t="s">
        <v>53</v>
      </c>
      <c r="C59" s="10">
        <v>13500</v>
      </c>
      <c r="D59" s="10">
        <v>13500</v>
      </c>
      <c r="E59" s="10">
        <v>13500</v>
      </c>
      <c r="F59" s="10">
        <v>214</v>
      </c>
      <c r="G59" s="422">
        <f t="shared" si="0"/>
        <v>0.015851851851851853</v>
      </c>
    </row>
    <row r="60" spans="1:7" ht="12.75">
      <c r="A60" s="42">
        <v>312</v>
      </c>
      <c r="B60" s="43" t="s">
        <v>201</v>
      </c>
      <c r="C60" s="10">
        <v>0</v>
      </c>
      <c r="D60" s="173">
        <v>14402</v>
      </c>
      <c r="E60" s="390">
        <v>14402</v>
      </c>
      <c r="F60" s="390">
        <v>0</v>
      </c>
      <c r="G60" s="422">
        <f t="shared" si="0"/>
        <v>0</v>
      </c>
    </row>
    <row r="61" spans="1:7" ht="12.75">
      <c r="A61" s="42">
        <v>312</v>
      </c>
      <c r="B61" s="43" t="s">
        <v>202</v>
      </c>
      <c r="C61" s="10">
        <v>0</v>
      </c>
      <c r="D61" s="173">
        <v>44465</v>
      </c>
      <c r="E61" s="390">
        <v>44465</v>
      </c>
      <c r="F61" s="390">
        <v>13063</v>
      </c>
      <c r="G61" s="422">
        <f t="shared" si="0"/>
        <v>0.2937816259979759</v>
      </c>
    </row>
    <row r="62" spans="1:7" ht="12.75">
      <c r="A62" s="42">
        <v>312</v>
      </c>
      <c r="B62" s="43" t="s">
        <v>54</v>
      </c>
      <c r="C62" s="10">
        <v>9400</v>
      </c>
      <c r="D62" s="10">
        <v>9400</v>
      </c>
      <c r="E62" s="10">
        <v>9400</v>
      </c>
      <c r="F62" s="10">
        <v>4614</v>
      </c>
      <c r="G62" s="422">
        <f>F62/E62</f>
        <v>0.4908510638297872</v>
      </c>
    </row>
    <row r="63" spans="1:7" ht="12.75">
      <c r="A63" s="42">
        <v>312</v>
      </c>
      <c r="B63" s="43" t="s">
        <v>55</v>
      </c>
      <c r="C63" s="10">
        <v>18000</v>
      </c>
      <c r="D63" s="10">
        <v>18000</v>
      </c>
      <c r="E63" s="10">
        <v>18000</v>
      </c>
      <c r="F63" s="10">
        <v>8400</v>
      </c>
      <c r="G63" s="422">
        <f>F63/E63</f>
        <v>0.4666666666666667</v>
      </c>
    </row>
    <row r="64" spans="1:7" ht="12.75">
      <c r="A64" s="42">
        <v>312</v>
      </c>
      <c r="B64" s="43" t="s">
        <v>56</v>
      </c>
      <c r="C64" s="10">
        <v>6400</v>
      </c>
      <c r="D64" s="10">
        <v>6400</v>
      </c>
      <c r="E64" s="390">
        <v>6400</v>
      </c>
      <c r="F64" s="390">
        <v>1256</v>
      </c>
      <c r="G64" s="422">
        <f t="shared" si="0"/>
        <v>0.19625</v>
      </c>
    </row>
    <row r="65" spans="1:7" ht="12.75">
      <c r="A65" s="42">
        <v>312</v>
      </c>
      <c r="B65" s="43" t="s">
        <v>367</v>
      </c>
      <c r="C65" s="10">
        <v>0</v>
      </c>
      <c r="D65" s="10">
        <v>0</v>
      </c>
      <c r="E65" s="173">
        <v>700</v>
      </c>
      <c r="F65" s="390">
        <v>490</v>
      </c>
      <c r="G65" s="422">
        <f t="shared" si="0"/>
        <v>0.7</v>
      </c>
    </row>
    <row r="66" spans="1:7" ht="12.75">
      <c r="A66" s="44">
        <v>312</v>
      </c>
      <c r="B66" s="12" t="s">
        <v>366</v>
      </c>
      <c r="C66" s="13">
        <v>3700</v>
      </c>
      <c r="D66" s="162">
        <f>916+2818</f>
        <v>3734</v>
      </c>
      <c r="E66" s="384">
        <f>916+2818</f>
        <v>3734</v>
      </c>
      <c r="F66" s="384">
        <v>1163</v>
      </c>
      <c r="G66" s="422">
        <f t="shared" si="0"/>
        <v>0.31146223888591323</v>
      </c>
    </row>
    <row r="67" spans="1:7" ht="12.75">
      <c r="A67" s="44">
        <v>312</v>
      </c>
      <c r="B67" s="45" t="s">
        <v>365</v>
      </c>
      <c r="C67" s="46">
        <v>3000</v>
      </c>
      <c r="D67" s="169">
        <v>3021</v>
      </c>
      <c r="E67" s="391">
        <v>3021</v>
      </c>
      <c r="F67" s="391">
        <v>2871</v>
      </c>
      <c r="G67" s="422">
        <f t="shared" si="0"/>
        <v>0.9503475670307845</v>
      </c>
    </row>
    <row r="68" spans="1:7" ht="12.75">
      <c r="A68" s="44">
        <v>312</v>
      </c>
      <c r="B68" s="47" t="s">
        <v>59</v>
      </c>
      <c r="C68" s="46">
        <v>3000</v>
      </c>
      <c r="D68" s="169">
        <v>2398</v>
      </c>
      <c r="E68" s="391">
        <v>2398</v>
      </c>
      <c r="F68" s="391">
        <v>1199</v>
      </c>
      <c r="G68" s="422">
        <f t="shared" si="0"/>
        <v>0.5</v>
      </c>
    </row>
    <row r="69" spans="1:7" ht="12.75">
      <c r="A69" s="44">
        <v>312</v>
      </c>
      <c r="B69" s="48" t="s">
        <v>60</v>
      </c>
      <c r="C69" s="49">
        <v>317900</v>
      </c>
      <c r="D69" s="164">
        <v>340924</v>
      </c>
      <c r="E69" s="49">
        <v>340924</v>
      </c>
      <c r="F69" s="49">
        <v>171785</v>
      </c>
      <c r="G69" s="422">
        <f t="shared" si="0"/>
        <v>0.5038806302871021</v>
      </c>
    </row>
    <row r="70" spans="1:7" ht="12.75" customHeight="1" thickBot="1">
      <c r="A70" s="44">
        <v>312</v>
      </c>
      <c r="B70" s="12" t="s">
        <v>61</v>
      </c>
      <c r="C70" s="50">
        <v>3000</v>
      </c>
      <c r="D70" s="50">
        <v>3000</v>
      </c>
      <c r="E70" s="50">
        <v>3000</v>
      </c>
      <c r="F70" s="50">
        <v>0</v>
      </c>
      <c r="G70" s="422">
        <f t="shared" si="0"/>
        <v>0</v>
      </c>
    </row>
    <row r="71" spans="1:7" ht="16.5" thickBot="1">
      <c r="A71" s="51" t="s">
        <v>62</v>
      </c>
      <c r="B71" s="52"/>
      <c r="C71" s="53">
        <f>SUM(C9+C19+C37+C39+C53)</f>
        <v>1265864</v>
      </c>
      <c r="D71" s="53">
        <f>SUM(D9+D19+D37+D39+D53)</f>
        <v>1356757</v>
      </c>
      <c r="E71" s="53">
        <f>SUM(E9+E19+E37+E39+E53)</f>
        <v>1374657</v>
      </c>
      <c r="F71" s="53">
        <f>SUM(F9+F19+F37+F39+F53)</f>
        <v>669611.7</v>
      </c>
      <c r="G71" s="422">
        <f t="shared" si="0"/>
        <v>0.487111839535244</v>
      </c>
    </row>
    <row r="72" spans="1:7" ht="16.5" thickBot="1">
      <c r="A72" s="54"/>
      <c r="B72" s="55" t="s">
        <v>63</v>
      </c>
      <c r="C72" s="56">
        <v>500</v>
      </c>
      <c r="D72" s="386">
        <f>500+400</f>
        <v>900</v>
      </c>
      <c r="E72" s="56">
        <f>500+400</f>
        <v>900</v>
      </c>
      <c r="F72" s="56">
        <v>339</v>
      </c>
      <c r="G72" s="422">
        <f t="shared" si="0"/>
        <v>0.37666666666666665</v>
      </c>
    </row>
    <row r="73" spans="1:7" ht="16.5" thickBot="1">
      <c r="A73" s="51" t="s">
        <v>64</v>
      </c>
      <c r="B73" s="40"/>
      <c r="C73" s="53">
        <f>SUM(C71:C72)</f>
        <v>1266364</v>
      </c>
      <c r="D73" s="53">
        <f>SUM(D71:D72)</f>
        <v>1357657</v>
      </c>
      <c r="E73" s="53">
        <f>SUM(E71:E72)</f>
        <v>1375557</v>
      </c>
      <c r="F73" s="53">
        <f>SUM(F71:F72)</f>
        <v>669950.7</v>
      </c>
      <c r="G73" s="422">
        <f t="shared" si="0"/>
        <v>0.48703957742209153</v>
      </c>
    </row>
    <row r="74" spans="1:7" ht="15.75">
      <c r="A74" s="57"/>
      <c r="B74" s="58"/>
      <c r="C74" s="58"/>
      <c r="D74" s="59"/>
      <c r="E74" s="59"/>
      <c r="F74" s="59"/>
      <c r="G74" s="422"/>
    </row>
    <row r="75" spans="1:6" ht="12.75" customHeight="1" thickBot="1">
      <c r="A75" s="57"/>
      <c r="B75" s="58"/>
      <c r="C75" s="58"/>
      <c r="D75" s="58"/>
      <c r="E75" s="58"/>
      <c r="F75" s="58"/>
    </row>
    <row r="76" spans="1:6" ht="18.75" thickBot="1">
      <c r="A76" s="548" t="s">
        <v>65</v>
      </c>
      <c r="B76" s="549"/>
      <c r="C76" s="549"/>
      <c r="D76" s="549"/>
      <c r="E76" s="549"/>
      <c r="F76" s="550"/>
    </row>
    <row r="77" spans="1:6" ht="12.75">
      <c r="A77" s="515" t="s">
        <v>3</v>
      </c>
      <c r="B77" s="516"/>
      <c r="C77" s="512" t="s">
        <v>4</v>
      </c>
      <c r="D77" s="512" t="s">
        <v>199</v>
      </c>
      <c r="E77" s="512" t="s">
        <v>361</v>
      </c>
      <c r="F77" s="537" t="s">
        <v>383</v>
      </c>
    </row>
    <row r="78" spans="1:6" ht="13.5" thickBot="1">
      <c r="A78" s="517"/>
      <c r="B78" s="518"/>
      <c r="C78" s="513"/>
      <c r="D78" s="513"/>
      <c r="E78" s="513"/>
      <c r="F78" s="538"/>
    </row>
    <row r="79" spans="1:7" ht="13.5" thickBot="1">
      <c r="A79" s="63" t="s">
        <v>66</v>
      </c>
      <c r="B79" s="64"/>
      <c r="C79" s="65">
        <f>SUM(C80:C83)</f>
        <v>168951</v>
      </c>
      <c r="D79" s="65">
        <f>SUM(D80:D83)</f>
        <v>170185</v>
      </c>
      <c r="E79" s="65">
        <f>SUM(E80:E83)</f>
        <v>170719</v>
      </c>
      <c r="F79" s="65">
        <f>SUM(F80:F83)</f>
        <v>72241</v>
      </c>
      <c r="G79" s="422">
        <f>F79/E79</f>
        <v>0.42315735214006645</v>
      </c>
    </row>
    <row r="80" spans="1:7" ht="12.75">
      <c r="A80" s="66" t="s">
        <v>67</v>
      </c>
      <c r="B80" s="67" t="s">
        <v>68</v>
      </c>
      <c r="C80" s="68">
        <v>136801</v>
      </c>
      <c r="D80" s="68">
        <f>136801</f>
        <v>136801</v>
      </c>
      <c r="E80" s="171">
        <f>136801+534</f>
        <v>137335</v>
      </c>
      <c r="F80" s="68">
        <v>60230</v>
      </c>
      <c r="G80" s="422">
        <f aca="true" t="shared" si="1" ref="G80:G138">F80/E80</f>
        <v>0.4385626388029272</v>
      </c>
    </row>
    <row r="81" spans="1:7" ht="12.75">
      <c r="A81" s="69" t="s">
        <v>69</v>
      </c>
      <c r="B81" s="43" t="s">
        <v>70</v>
      </c>
      <c r="C81" s="70">
        <v>25450</v>
      </c>
      <c r="D81" s="170">
        <f>25450+930+270</f>
        <v>26650</v>
      </c>
      <c r="E81" s="70">
        <f>25450+930+270</f>
        <v>26650</v>
      </c>
      <c r="F81" s="70">
        <v>9935</v>
      </c>
      <c r="G81" s="422">
        <f t="shared" si="1"/>
        <v>0.37279549718574106</v>
      </c>
    </row>
    <row r="82" spans="1:7" ht="12.75">
      <c r="A82" s="71" t="s">
        <v>71</v>
      </c>
      <c r="B82" s="43" t="s">
        <v>72</v>
      </c>
      <c r="C82" s="70">
        <v>3700</v>
      </c>
      <c r="D82" s="170">
        <v>3734</v>
      </c>
      <c r="E82" s="70">
        <v>3734</v>
      </c>
      <c r="F82" s="70">
        <v>2076</v>
      </c>
      <c r="G82" s="422">
        <f t="shared" si="1"/>
        <v>0.5559721478307446</v>
      </c>
    </row>
    <row r="83" spans="1:7" ht="13.5" thickBot="1">
      <c r="A83" s="72" t="s">
        <v>73</v>
      </c>
      <c r="B83" s="73" t="s">
        <v>74</v>
      </c>
      <c r="C83" s="74">
        <v>3000</v>
      </c>
      <c r="D83" s="74">
        <v>3000</v>
      </c>
      <c r="E83" s="74">
        <v>3000</v>
      </c>
      <c r="F83" s="74">
        <v>0</v>
      </c>
      <c r="G83" s="422">
        <f t="shared" si="1"/>
        <v>0</v>
      </c>
    </row>
    <row r="84" spans="1:7" ht="13.5" thickBot="1">
      <c r="A84" s="521" t="s">
        <v>75</v>
      </c>
      <c r="B84" s="522"/>
      <c r="C84" s="65">
        <f>SUM(C85)</f>
        <v>160</v>
      </c>
      <c r="D84" s="65">
        <f>SUM(D85)</f>
        <v>160</v>
      </c>
      <c r="E84" s="65">
        <f>SUM(E85)</f>
        <v>160</v>
      </c>
      <c r="F84" s="65">
        <f>SUM(F85)</f>
        <v>0</v>
      </c>
      <c r="G84" s="422">
        <f t="shared" si="1"/>
        <v>0</v>
      </c>
    </row>
    <row r="85" spans="1:7" ht="13.5" thickBot="1">
      <c r="A85" s="75" t="s">
        <v>76</v>
      </c>
      <c r="B85" s="58" t="s">
        <v>77</v>
      </c>
      <c r="C85" s="76">
        <v>160</v>
      </c>
      <c r="D85" s="76">
        <v>160</v>
      </c>
      <c r="E85" s="76">
        <v>160</v>
      </c>
      <c r="F85" s="76">
        <v>0</v>
      </c>
      <c r="G85" s="422">
        <f t="shared" si="1"/>
        <v>0</v>
      </c>
    </row>
    <row r="86" spans="1:7" ht="13.5" thickBot="1">
      <c r="A86" s="521" t="s">
        <v>78</v>
      </c>
      <c r="B86" s="522"/>
      <c r="C86" s="65">
        <f>SUM(C87)</f>
        <v>4000</v>
      </c>
      <c r="D86" s="65">
        <f>SUM(D87)</f>
        <v>4000</v>
      </c>
      <c r="E86" s="65">
        <f>SUM(E87)</f>
        <v>5500</v>
      </c>
      <c r="F86" s="65">
        <f>SUM(F87)</f>
        <v>2766.99</v>
      </c>
      <c r="G86" s="422">
        <f t="shared" si="1"/>
        <v>0.5030890909090908</v>
      </c>
    </row>
    <row r="87" spans="1:7" ht="13.5" thickBot="1">
      <c r="A87" s="77" t="s">
        <v>79</v>
      </c>
      <c r="B87" s="78" t="s">
        <v>80</v>
      </c>
      <c r="C87" s="79">
        <v>4000</v>
      </c>
      <c r="D87" s="79">
        <v>4000</v>
      </c>
      <c r="E87" s="432">
        <v>5500</v>
      </c>
      <c r="F87" s="79">
        <v>2766.99</v>
      </c>
      <c r="G87" s="422">
        <f t="shared" si="1"/>
        <v>0.5030890909090908</v>
      </c>
    </row>
    <row r="88" spans="1:7" ht="13.5" thickBot="1">
      <c r="A88" s="63" t="s">
        <v>81</v>
      </c>
      <c r="B88" s="80"/>
      <c r="C88" s="65">
        <f>SUM(C89:C95)</f>
        <v>132710</v>
      </c>
      <c r="D88" s="65">
        <f>SUM(D89:D95)</f>
        <v>194675</v>
      </c>
      <c r="E88" s="65">
        <f>SUM(E89:E95)</f>
        <v>198645</v>
      </c>
      <c r="F88" s="65">
        <f>SUM(F89:F95)</f>
        <v>78212</v>
      </c>
      <c r="G88" s="422">
        <f t="shared" si="1"/>
        <v>0.39372750383850585</v>
      </c>
    </row>
    <row r="89" spans="1:7" ht="12.75">
      <c r="A89" s="81" t="s">
        <v>82</v>
      </c>
      <c r="B89" s="31" t="s">
        <v>83</v>
      </c>
      <c r="C89" s="32">
        <v>1500</v>
      </c>
      <c r="D89" s="32">
        <v>1500</v>
      </c>
      <c r="E89" s="32">
        <v>1500</v>
      </c>
      <c r="F89" s="32">
        <v>1179</v>
      </c>
      <c r="G89" s="422">
        <f t="shared" si="1"/>
        <v>0.786</v>
      </c>
    </row>
    <row r="90" spans="1:7" ht="12.75">
      <c r="A90" s="71" t="s">
        <v>84</v>
      </c>
      <c r="B90" s="43" t="s">
        <v>85</v>
      </c>
      <c r="C90" s="70">
        <v>14000</v>
      </c>
      <c r="D90" s="70">
        <v>14000</v>
      </c>
      <c r="E90" s="70">
        <v>14000</v>
      </c>
      <c r="F90" s="70">
        <f>27869-23835</f>
        <v>4034</v>
      </c>
      <c r="G90" s="422">
        <f t="shared" si="1"/>
        <v>0.28814285714285715</v>
      </c>
    </row>
    <row r="91" spans="1:7" ht="12.75">
      <c r="A91" s="71" t="s">
        <v>84</v>
      </c>
      <c r="B91" s="43" t="s">
        <v>204</v>
      </c>
      <c r="C91" s="70">
        <v>0</v>
      </c>
      <c r="D91" s="170">
        <v>15160</v>
      </c>
      <c r="E91" s="70">
        <v>15160</v>
      </c>
      <c r="F91" s="70">
        <v>10084</v>
      </c>
      <c r="G91" s="422">
        <f t="shared" si="1"/>
        <v>0.6651715039577837</v>
      </c>
    </row>
    <row r="92" spans="1:7" ht="12.75">
      <c r="A92" s="71" t="s">
        <v>84</v>
      </c>
      <c r="B92" s="43" t="s">
        <v>203</v>
      </c>
      <c r="C92" s="70">
        <v>0</v>
      </c>
      <c r="D92" s="170">
        <v>46805</v>
      </c>
      <c r="E92" s="70">
        <v>46805</v>
      </c>
      <c r="F92" s="70">
        <v>13751</v>
      </c>
      <c r="G92" s="422">
        <f t="shared" si="1"/>
        <v>0.29379339814122424</v>
      </c>
    </row>
    <row r="93" spans="1:7" ht="12.75">
      <c r="A93" s="71" t="s">
        <v>84</v>
      </c>
      <c r="B93" s="43" t="s">
        <v>396</v>
      </c>
      <c r="C93" s="70">
        <v>0</v>
      </c>
      <c r="D93" s="70">
        <v>0</v>
      </c>
      <c r="E93" s="170">
        <v>300</v>
      </c>
      <c r="F93" s="70">
        <v>0</v>
      </c>
      <c r="G93" s="422">
        <f t="shared" si="1"/>
        <v>0</v>
      </c>
    </row>
    <row r="94" spans="1:7" ht="12.75">
      <c r="A94" s="71" t="s">
        <v>87</v>
      </c>
      <c r="B94" s="43" t="s">
        <v>88</v>
      </c>
      <c r="C94" s="82">
        <v>15000</v>
      </c>
      <c r="D94" s="82">
        <v>15000</v>
      </c>
      <c r="E94" s="425">
        <f>15000+3670</f>
        <v>18670</v>
      </c>
      <c r="F94" s="82">
        <v>8085</v>
      </c>
      <c r="G94" s="422">
        <f t="shared" si="1"/>
        <v>0.43304767005891803</v>
      </c>
    </row>
    <row r="95" spans="1:7" ht="13.5" thickBot="1">
      <c r="A95" s="83" t="s">
        <v>89</v>
      </c>
      <c r="B95" s="84" t="s">
        <v>90</v>
      </c>
      <c r="C95" s="85">
        <v>102210</v>
      </c>
      <c r="D95" s="85">
        <v>102210</v>
      </c>
      <c r="E95" s="85">
        <f>102210</f>
        <v>102210</v>
      </c>
      <c r="F95" s="85">
        <v>41079</v>
      </c>
      <c r="G95" s="422">
        <f t="shared" si="1"/>
        <v>0.4019078368065747</v>
      </c>
    </row>
    <row r="96" spans="1:7" ht="13.5" thickBot="1">
      <c r="A96" s="63" t="s">
        <v>91</v>
      </c>
      <c r="B96" s="64"/>
      <c r="C96" s="65">
        <f>SUM(C97:C99)</f>
        <v>94940</v>
      </c>
      <c r="D96" s="65">
        <f>SUM(D97:D99)</f>
        <v>94940</v>
      </c>
      <c r="E96" s="65">
        <f>SUM(E97:E99)</f>
        <v>96440</v>
      </c>
      <c r="F96" s="65">
        <f>SUM(F97:F99)</f>
        <v>38034</v>
      </c>
      <c r="G96" s="422">
        <f t="shared" si="1"/>
        <v>0.3943799253421817</v>
      </c>
    </row>
    <row r="97" spans="1:7" ht="12.75">
      <c r="A97" s="86" t="s">
        <v>92</v>
      </c>
      <c r="B97" s="87" t="s">
        <v>93</v>
      </c>
      <c r="C97" s="88">
        <v>23800</v>
      </c>
      <c r="D97" s="88">
        <v>23800</v>
      </c>
      <c r="E97" s="88">
        <f>23800</f>
        <v>23800</v>
      </c>
      <c r="F97" s="88">
        <v>8741</v>
      </c>
      <c r="G97" s="422">
        <f t="shared" si="1"/>
        <v>0.3672689075630252</v>
      </c>
    </row>
    <row r="98" spans="1:7" ht="12.75">
      <c r="A98" s="75" t="s">
        <v>94</v>
      </c>
      <c r="B98" s="89" t="s">
        <v>95</v>
      </c>
      <c r="C98" s="74">
        <v>64900</v>
      </c>
      <c r="D98" s="74">
        <v>64900</v>
      </c>
      <c r="E98" s="427">
        <f>64900+1500</f>
        <v>66400</v>
      </c>
      <c r="F98" s="74">
        <v>28280</v>
      </c>
      <c r="G98" s="422">
        <f t="shared" si="1"/>
        <v>0.4259036144578313</v>
      </c>
    </row>
    <row r="99" spans="1:7" ht="13.5" thickBot="1">
      <c r="A99" s="90" t="s">
        <v>96</v>
      </c>
      <c r="B99" s="91" t="s">
        <v>97</v>
      </c>
      <c r="C99" s="92">
        <v>6240</v>
      </c>
      <c r="D99" s="92">
        <v>6240</v>
      </c>
      <c r="E99" s="92">
        <v>6240</v>
      </c>
      <c r="F99" s="92">
        <v>1013</v>
      </c>
      <c r="G99" s="422">
        <f t="shared" si="1"/>
        <v>0.1623397435897436</v>
      </c>
    </row>
    <row r="100" spans="1:7" ht="13.5" thickBot="1">
      <c r="A100" s="63" t="s">
        <v>98</v>
      </c>
      <c r="B100" s="80"/>
      <c r="C100" s="65">
        <f>SUM(C101)</f>
        <v>15100</v>
      </c>
      <c r="D100" s="65">
        <f>SUM(D101)</f>
        <v>15100</v>
      </c>
      <c r="E100" s="65">
        <f>SUM(E101)</f>
        <v>15100</v>
      </c>
      <c r="F100" s="65">
        <f>SUM(F101)</f>
        <v>6711</v>
      </c>
      <c r="G100" s="422">
        <f t="shared" si="1"/>
        <v>0.4444370860927152</v>
      </c>
    </row>
    <row r="101" spans="1:7" ht="13.5" thickBot="1">
      <c r="A101" s="93" t="s">
        <v>99</v>
      </c>
      <c r="B101" s="84" t="s">
        <v>100</v>
      </c>
      <c r="C101" s="94">
        <v>15100</v>
      </c>
      <c r="D101" s="94">
        <v>15100</v>
      </c>
      <c r="E101" s="94">
        <v>15100</v>
      </c>
      <c r="F101" s="94">
        <v>6711</v>
      </c>
      <c r="G101" s="422">
        <f t="shared" si="1"/>
        <v>0.4444370860927152</v>
      </c>
    </row>
    <row r="102" spans="1:7" ht="13.5" thickBot="1">
      <c r="A102" s="95" t="s">
        <v>101</v>
      </c>
      <c r="B102" s="64"/>
      <c r="C102" s="65">
        <f>SUM(C103:C118)</f>
        <v>66520</v>
      </c>
      <c r="D102" s="65">
        <f>SUM(D103:D118)</f>
        <v>67320</v>
      </c>
      <c r="E102" s="65">
        <f>SUM(E103:E118)</f>
        <v>77516</v>
      </c>
      <c r="F102" s="65">
        <f>SUM(F103:F118)</f>
        <v>47468</v>
      </c>
      <c r="G102" s="422">
        <f t="shared" si="1"/>
        <v>0.6123638990659993</v>
      </c>
    </row>
    <row r="103" spans="1:7" ht="13.5" thickBot="1">
      <c r="A103" s="90" t="s">
        <v>102</v>
      </c>
      <c r="B103" s="91" t="s">
        <v>103</v>
      </c>
      <c r="C103" s="92">
        <v>3800</v>
      </c>
      <c r="D103" s="92">
        <v>3800</v>
      </c>
      <c r="E103" s="92">
        <v>3800</v>
      </c>
      <c r="F103" s="92">
        <v>2924</v>
      </c>
      <c r="G103" s="422">
        <f t="shared" si="1"/>
        <v>0.7694736842105263</v>
      </c>
    </row>
    <row r="104" spans="1:7" ht="12.75">
      <c r="A104" s="96" t="s">
        <v>102</v>
      </c>
      <c r="B104" s="67" t="s">
        <v>104</v>
      </c>
      <c r="C104" s="68">
        <v>7500</v>
      </c>
      <c r="D104" s="68">
        <v>7500</v>
      </c>
      <c r="E104" s="68">
        <v>7500</v>
      </c>
      <c r="F104" s="68">
        <v>4000</v>
      </c>
      <c r="G104" s="422">
        <f t="shared" si="1"/>
        <v>0.5333333333333333</v>
      </c>
    </row>
    <row r="105" spans="1:7" ht="12.75">
      <c r="A105" s="96" t="s">
        <v>105</v>
      </c>
      <c r="B105" s="97" t="s">
        <v>106</v>
      </c>
      <c r="C105" s="98">
        <v>16400</v>
      </c>
      <c r="D105" s="392">
        <f>16400+800</f>
        <v>17200</v>
      </c>
      <c r="E105" s="98">
        <f>16400+800</f>
        <v>17200</v>
      </c>
      <c r="F105" s="98">
        <v>8219</v>
      </c>
      <c r="G105" s="422">
        <f t="shared" si="1"/>
        <v>0.4778488372093023</v>
      </c>
    </row>
    <row r="106" spans="1:7" ht="12.75">
      <c r="A106" s="71" t="s">
        <v>107</v>
      </c>
      <c r="B106" s="99" t="s">
        <v>108</v>
      </c>
      <c r="C106" s="70">
        <v>1000</v>
      </c>
      <c r="D106" s="70">
        <v>1000</v>
      </c>
      <c r="E106" s="70">
        <v>1000</v>
      </c>
      <c r="F106" s="70">
        <v>310</v>
      </c>
      <c r="G106" s="422">
        <f t="shared" si="1"/>
        <v>0.31</v>
      </c>
    </row>
    <row r="107" spans="1:7" ht="13.5" thickBot="1">
      <c r="A107" s="90" t="s">
        <v>109</v>
      </c>
      <c r="B107" s="91" t="s">
        <v>110</v>
      </c>
      <c r="C107" s="92">
        <v>1000</v>
      </c>
      <c r="D107" s="92">
        <v>1000</v>
      </c>
      <c r="E107" s="92">
        <v>1000</v>
      </c>
      <c r="F107" s="92">
        <v>262</v>
      </c>
      <c r="G107" s="422">
        <f t="shared" si="1"/>
        <v>0.262</v>
      </c>
    </row>
    <row r="108" spans="1:7" ht="12.75">
      <c r="A108" s="71" t="s">
        <v>111</v>
      </c>
      <c r="B108" s="43" t="s">
        <v>112</v>
      </c>
      <c r="C108" s="70">
        <v>100</v>
      </c>
      <c r="D108" s="70">
        <v>100</v>
      </c>
      <c r="E108" s="70">
        <v>100</v>
      </c>
      <c r="F108" s="70">
        <v>0</v>
      </c>
      <c r="G108" s="422">
        <f t="shared" si="1"/>
        <v>0</v>
      </c>
    </row>
    <row r="109" spans="1:7" ht="12.75">
      <c r="A109" s="71" t="s">
        <v>111</v>
      </c>
      <c r="B109" s="43" t="s">
        <v>113</v>
      </c>
      <c r="C109" s="70">
        <v>1000</v>
      </c>
      <c r="D109" s="70">
        <v>1000</v>
      </c>
      <c r="E109" s="70">
        <v>1000</v>
      </c>
      <c r="F109" s="70">
        <v>954</v>
      </c>
      <c r="G109" s="422">
        <f t="shared" si="1"/>
        <v>0.954</v>
      </c>
    </row>
    <row r="110" spans="1:7" ht="12.75">
      <c r="A110" s="71" t="s">
        <v>111</v>
      </c>
      <c r="B110" s="43" t="s">
        <v>114</v>
      </c>
      <c r="C110" s="70">
        <v>2500</v>
      </c>
      <c r="D110" s="70">
        <v>2500</v>
      </c>
      <c r="E110" s="170">
        <v>2000</v>
      </c>
      <c r="F110" s="70">
        <v>1772</v>
      </c>
      <c r="G110" s="422">
        <f t="shared" si="1"/>
        <v>0.886</v>
      </c>
    </row>
    <row r="111" spans="1:7" ht="12.75">
      <c r="A111" s="71" t="s">
        <v>111</v>
      </c>
      <c r="B111" s="43" t="s">
        <v>115</v>
      </c>
      <c r="C111" s="70">
        <v>10000</v>
      </c>
      <c r="D111" s="70">
        <v>10000</v>
      </c>
      <c r="E111" s="70">
        <v>10000</v>
      </c>
      <c r="F111" s="70">
        <v>5149</v>
      </c>
      <c r="G111" s="422">
        <f t="shared" si="1"/>
        <v>0.5149</v>
      </c>
    </row>
    <row r="112" spans="1:7" ht="12.75">
      <c r="A112" s="71" t="s">
        <v>111</v>
      </c>
      <c r="B112" s="43" t="s">
        <v>116</v>
      </c>
      <c r="C112" s="70">
        <v>100</v>
      </c>
      <c r="D112" s="70">
        <v>100</v>
      </c>
      <c r="E112" s="70">
        <v>100</v>
      </c>
      <c r="F112" s="70">
        <v>94</v>
      </c>
      <c r="G112" s="422">
        <f t="shared" si="1"/>
        <v>0.94</v>
      </c>
    </row>
    <row r="113" spans="1:7" ht="12.75">
      <c r="A113" s="71" t="s">
        <v>111</v>
      </c>
      <c r="B113" s="43" t="s">
        <v>368</v>
      </c>
      <c r="C113" s="70">
        <v>0</v>
      </c>
      <c r="D113" s="70">
        <v>0</v>
      </c>
      <c r="E113" s="170">
        <v>650</v>
      </c>
      <c r="F113" s="70">
        <v>522</v>
      </c>
      <c r="G113" s="422">
        <f t="shared" si="1"/>
        <v>0.803076923076923</v>
      </c>
    </row>
    <row r="114" spans="1:7" ht="12.75">
      <c r="A114" s="71" t="s">
        <v>111</v>
      </c>
      <c r="B114" s="43" t="s">
        <v>117</v>
      </c>
      <c r="C114" s="70">
        <v>700</v>
      </c>
      <c r="D114" s="70">
        <v>700</v>
      </c>
      <c r="E114" s="70">
        <v>700</v>
      </c>
      <c r="F114" s="70">
        <v>0</v>
      </c>
      <c r="G114" s="422">
        <f t="shared" si="1"/>
        <v>0</v>
      </c>
    </row>
    <row r="115" spans="1:7" ht="13.5" thickBot="1">
      <c r="A115" s="90" t="s">
        <v>111</v>
      </c>
      <c r="B115" s="91" t="s">
        <v>118</v>
      </c>
      <c r="C115" s="92">
        <v>10000</v>
      </c>
      <c r="D115" s="92">
        <v>10000</v>
      </c>
      <c r="E115" s="433">
        <v>18846</v>
      </c>
      <c r="F115" s="92">
        <v>18846</v>
      </c>
      <c r="G115" s="422">
        <f t="shared" si="1"/>
        <v>1</v>
      </c>
    </row>
    <row r="116" spans="1:7" ht="12.75">
      <c r="A116" s="86" t="s">
        <v>119</v>
      </c>
      <c r="B116" s="87" t="s">
        <v>120</v>
      </c>
      <c r="C116" s="88">
        <v>2420</v>
      </c>
      <c r="D116" s="88">
        <v>2420</v>
      </c>
      <c r="E116" s="434">
        <v>3120</v>
      </c>
      <c r="F116" s="88">
        <v>1299</v>
      </c>
      <c r="G116" s="422">
        <f t="shared" si="1"/>
        <v>0.41634615384615387</v>
      </c>
    </row>
    <row r="117" spans="1:7" ht="12.75">
      <c r="A117" s="96" t="s">
        <v>121</v>
      </c>
      <c r="B117" s="67" t="s">
        <v>122</v>
      </c>
      <c r="C117" s="68">
        <v>8500</v>
      </c>
      <c r="D117" s="68">
        <v>8500</v>
      </c>
      <c r="E117" s="171">
        <v>9000</v>
      </c>
      <c r="F117" s="68">
        <v>3065</v>
      </c>
      <c r="G117" s="422">
        <f t="shared" si="1"/>
        <v>0.34055555555555556</v>
      </c>
    </row>
    <row r="118" spans="1:7" ht="13.5" thickBot="1">
      <c r="A118" s="90" t="s">
        <v>123</v>
      </c>
      <c r="B118" s="91" t="s">
        <v>124</v>
      </c>
      <c r="C118" s="92">
        <v>1500</v>
      </c>
      <c r="D118" s="92">
        <v>1500</v>
      </c>
      <c r="E118" s="92">
        <v>1500</v>
      </c>
      <c r="F118" s="92">
        <v>52</v>
      </c>
      <c r="G118" s="422">
        <f t="shared" si="1"/>
        <v>0.034666666666666665</v>
      </c>
    </row>
    <row r="119" spans="1:7" ht="13.5" thickBot="1">
      <c r="A119" s="521" t="s">
        <v>125</v>
      </c>
      <c r="B119" s="522"/>
      <c r="C119" s="65">
        <f>SUM(C120:C124)</f>
        <v>276520</v>
      </c>
      <c r="D119" s="65">
        <f>SUM(D120:D124)</f>
        <v>276520</v>
      </c>
      <c r="E119" s="65">
        <f>SUM(E120:E124)</f>
        <v>276520</v>
      </c>
      <c r="F119" s="65">
        <f>SUM(F120:F124)</f>
        <v>128396</v>
      </c>
      <c r="G119" s="422">
        <f t="shared" si="1"/>
        <v>0.4643280775350788</v>
      </c>
    </row>
    <row r="120" spans="1:7" ht="12.75">
      <c r="A120" s="100" t="s">
        <v>126</v>
      </c>
      <c r="B120" s="101" t="s">
        <v>127</v>
      </c>
      <c r="C120" s="102">
        <v>90000</v>
      </c>
      <c r="D120" s="102">
        <v>90000</v>
      </c>
      <c r="E120" s="102">
        <v>90000</v>
      </c>
      <c r="F120" s="102">
        <v>44210</v>
      </c>
      <c r="G120" s="422">
        <f t="shared" si="1"/>
        <v>0.4912222222222222</v>
      </c>
    </row>
    <row r="121" spans="1:7" ht="12.75">
      <c r="A121" s="103" t="s">
        <v>128</v>
      </c>
      <c r="B121" s="34" t="s">
        <v>129</v>
      </c>
      <c r="C121" s="35">
        <v>0</v>
      </c>
      <c r="D121" s="35">
        <v>0</v>
      </c>
      <c r="E121" s="35">
        <v>0</v>
      </c>
      <c r="F121" s="35">
        <v>0</v>
      </c>
      <c r="G121" s="422">
        <v>0</v>
      </c>
    </row>
    <row r="122" spans="1:7" ht="12.75">
      <c r="A122" s="103" t="s">
        <v>130</v>
      </c>
      <c r="B122" s="34" t="s">
        <v>131</v>
      </c>
      <c r="C122" s="35">
        <v>121340</v>
      </c>
      <c r="D122" s="35">
        <v>121340</v>
      </c>
      <c r="E122" s="35">
        <v>121340</v>
      </c>
      <c r="F122" s="35">
        <v>57102</v>
      </c>
      <c r="G122" s="422">
        <f t="shared" si="1"/>
        <v>0.47059502225152466</v>
      </c>
    </row>
    <row r="123" spans="1:7" ht="12.75">
      <c r="A123" s="103" t="s">
        <v>132</v>
      </c>
      <c r="B123" s="34" t="s">
        <v>133</v>
      </c>
      <c r="C123" s="35">
        <v>47180</v>
      </c>
      <c r="D123" s="35">
        <v>47180</v>
      </c>
      <c r="E123" s="35">
        <v>47180</v>
      </c>
      <c r="F123" s="35">
        <v>19318</v>
      </c>
      <c r="G123" s="422">
        <f t="shared" si="1"/>
        <v>0.40945315811784655</v>
      </c>
    </row>
    <row r="124" spans="1:7" ht="13.5" thickBot="1">
      <c r="A124" s="83" t="s">
        <v>134</v>
      </c>
      <c r="B124" s="84" t="s">
        <v>135</v>
      </c>
      <c r="C124" s="104">
        <v>18000</v>
      </c>
      <c r="D124" s="104">
        <v>18000</v>
      </c>
      <c r="E124" s="104">
        <v>18000</v>
      </c>
      <c r="F124" s="104">
        <v>7766</v>
      </c>
      <c r="G124" s="422">
        <f t="shared" si="1"/>
        <v>0.43144444444444446</v>
      </c>
    </row>
    <row r="125" spans="1:7" ht="13.5" thickBot="1">
      <c r="A125" s="63" t="s">
        <v>136</v>
      </c>
      <c r="B125" s="64"/>
      <c r="C125" s="65">
        <f>SUM(C126:C133)</f>
        <v>99140</v>
      </c>
      <c r="D125" s="65">
        <f>SUM(D126:D133)</f>
        <v>99140</v>
      </c>
      <c r="E125" s="65">
        <f>SUM(E126:E133)</f>
        <v>99140</v>
      </c>
      <c r="F125" s="65">
        <f>SUM(F126:F133)</f>
        <v>39431</v>
      </c>
      <c r="G125" s="422">
        <f t="shared" si="1"/>
        <v>0.39773048214645956</v>
      </c>
    </row>
    <row r="126" spans="1:7" ht="12.75">
      <c r="A126" s="96" t="s">
        <v>137</v>
      </c>
      <c r="B126" s="67" t="s">
        <v>138</v>
      </c>
      <c r="C126" s="68">
        <v>61100</v>
      </c>
      <c r="D126" s="68">
        <v>61100</v>
      </c>
      <c r="E126" s="68">
        <v>61100</v>
      </c>
      <c r="F126" s="68">
        <v>29615</v>
      </c>
      <c r="G126" s="422">
        <f t="shared" si="1"/>
        <v>0.4846972176759411</v>
      </c>
    </row>
    <row r="127" spans="1:7" ht="12.75">
      <c r="A127" s="71" t="s">
        <v>137</v>
      </c>
      <c r="B127" s="43" t="s">
        <v>139</v>
      </c>
      <c r="C127" s="70">
        <v>1800</v>
      </c>
      <c r="D127" s="70">
        <v>1800</v>
      </c>
      <c r="E127" s="70">
        <v>1800</v>
      </c>
      <c r="F127" s="70">
        <v>0</v>
      </c>
      <c r="G127" s="422">
        <f t="shared" si="1"/>
        <v>0</v>
      </c>
    </row>
    <row r="128" spans="1:7" ht="13.5" thickBot="1">
      <c r="A128" s="90" t="s">
        <v>140</v>
      </c>
      <c r="B128" s="91" t="s">
        <v>141</v>
      </c>
      <c r="C128" s="92">
        <v>11000</v>
      </c>
      <c r="D128" s="92">
        <v>11000</v>
      </c>
      <c r="E128" s="92">
        <v>11000</v>
      </c>
      <c r="F128" s="92">
        <v>5573</v>
      </c>
      <c r="G128" s="422">
        <f t="shared" si="1"/>
        <v>0.5066363636363637</v>
      </c>
    </row>
    <row r="129" spans="1:7" ht="12.75">
      <c r="A129" s="96" t="s">
        <v>142</v>
      </c>
      <c r="B129" s="67" t="s">
        <v>143</v>
      </c>
      <c r="C129" s="68">
        <v>300</v>
      </c>
      <c r="D129" s="68">
        <v>300</v>
      </c>
      <c r="E129" s="68">
        <v>300</v>
      </c>
      <c r="F129" s="68">
        <v>0</v>
      </c>
      <c r="G129" s="422">
        <f t="shared" si="1"/>
        <v>0</v>
      </c>
    </row>
    <row r="130" spans="1:7" ht="12.75">
      <c r="A130" s="71" t="s">
        <v>144</v>
      </c>
      <c r="B130" s="43" t="s">
        <v>145</v>
      </c>
      <c r="C130" s="70">
        <v>17040</v>
      </c>
      <c r="D130" s="70">
        <v>17040</v>
      </c>
      <c r="E130" s="70">
        <v>17040</v>
      </c>
      <c r="F130" s="70">
        <v>557</v>
      </c>
      <c r="G130" s="422">
        <f t="shared" si="1"/>
        <v>0.03268779342723005</v>
      </c>
    </row>
    <row r="131" spans="1:7" ht="12.75">
      <c r="A131" s="71" t="s">
        <v>146</v>
      </c>
      <c r="B131" s="43" t="s">
        <v>147</v>
      </c>
      <c r="C131" s="70">
        <v>7200</v>
      </c>
      <c r="D131" s="70">
        <v>7200</v>
      </c>
      <c r="E131" s="70">
        <v>7200</v>
      </c>
      <c r="F131" s="70">
        <v>3686</v>
      </c>
      <c r="G131" s="422">
        <f t="shared" si="1"/>
        <v>0.5119444444444444</v>
      </c>
    </row>
    <row r="132" spans="1:7" ht="12.75">
      <c r="A132" s="71" t="s">
        <v>148</v>
      </c>
      <c r="B132" s="43" t="s">
        <v>149</v>
      </c>
      <c r="C132" s="70">
        <v>400</v>
      </c>
      <c r="D132" s="70">
        <v>400</v>
      </c>
      <c r="E132" s="70">
        <v>400</v>
      </c>
      <c r="F132" s="70">
        <v>0</v>
      </c>
      <c r="G132" s="422">
        <f t="shared" si="1"/>
        <v>0</v>
      </c>
    </row>
    <row r="133" spans="1:7" ht="21.75" customHeight="1" thickBot="1">
      <c r="A133" s="90" t="s">
        <v>150</v>
      </c>
      <c r="B133" s="91" t="s">
        <v>151</v>
      </c>
      <c r="C133" s="92">
        <v>300</v>
      </c>
      <c r="D133" s="92">
        <v>300</v>
      </c>
      <c r="E133" s="92">
        <v>300</v>
      </c>
      <c r="F133" s="92">
        <v>0</v>
      </c>
      <c r="G133" s="422">
        <f t="shared" si="1"/>
        <v>0</v>
      </c>
    </row>
    <row r="134" spans="1:7" ht="16.5" thickBot="1">
      <c r="A134" s="105" t="s">
        <v>152</v>
      </c>
      <c r="B134" s="106"/>
      <c r="C134" s="107">
        <f>SUM(C79+C84+C86+C88+C96+C100+C102+C119+C125)</f>
        <v>858041</v>
      </c>
      <c r="D134" s="107">
        <f>SUM(D79+D84+D86+D88+D96+D100+D102+D119+D125)</f>
        <v>922040</v>
      </c>
      <c r="E134" s="107">
        <f>SUM(E79+E84+E86+E88+E96+E100+E102+E119+E125)</f>
        <v>939740</v>
      </c>
      <c r="F134" s="107">
        <f>SUM(F79+F84+F86+F88+F96+F100+F102+F119+F125)</f>
        <v>413259.99</v>
      </c>
      <c r="G134" s="422">
        <f t="shared" si="1"/>
        <v>0.43975992295741373</v>
      </c>
    </row>
    <row r="135" spans="1:7" ht="12.75">
      <c r="A135" s="108" t="s">
        <v>128</v>
      </c>
      <c r="B135" s="109" t="s">
        <v>153</v>
      </c>
      <c r="C135" s="110">
        <f>C55+C69+C72+C46</f>
        <v>334000</v>
      </c>
      <c r="D135" s="172">
        <f>D55+D69+D72+D46</f>
        <v>358865</v>
      </c>
      <c r="E135" s="110">
        <f>E55+E69+E72+E46</f>
        <v>358865</v>
      </c>
      <c r="F135" s="110">
        <f>F55+F69+F72+F46</f>
        <v>181132</v>
      </c>
      <c r="G135" s="422">
        <f t="shared" si="1"/>
        <v>0.5047357641452914</v>
      </c>
    </row>
    <row r="136" spans="1:7" ht="12.75">
      <c r="A136" s="111" t="s">
        <v>154</v>
      </c>
      <c r="B136" s="48" t="s">
        <v>155</v>
      </c>
      <c r="C136" s="112">
        <v>17000</v>
      </c>
      <c r="D136" s="393">
        <v>17200</v>
      </c>
      <c r="E136" s="393">
        <f>17200+200</f>
        <v>17400</v>
      </c>
      <c r="F136" s="112">
        <f>8400+1441</f>
        <v>9841</v>
      </c>
      <c r="G136" s="422">
        <f t="shared" si="1"/>
        <v>0.5655747126436782</v>
      </c>
    </row>
    <row r="137" spans="1:7" ht="13.5" thickBot="1">
      <c r="A137" s="527" t="s">
        <v>156</v>
      </c>
      <c r="B137" s="528"/>
      <c r="C137" s="113">
        <f>SUM(C135:C136)</f>
        <v>351000</v>
      </c>
      <c r="D137" s="113">
        <f>SUM(D135:D136)</f>
        <v>376065</v>
      </c>
      <c r="E137" s="113">
        <f>SUM(E135:E136)</f>
        <v>376265</v>
      </c>
      <c r="F137" s="113">
        <f>SUM(F135:F136)</f>
        <v>190973</v>
      </c>
      <c r="G137" s="422">
        <f t="shared" si="1"/>
        <v>0.5075492006963177</v>
      </c>
    </row>
    <row r="138" spans="1:7" ht="16.5" thickBot="1">
      <c r="A138" s="114" t="s">
        <v>157</v>
      </c>
      <c r="B138" s="80"/>
      <c r="C138" s="115">
        <f>C134+C137</f>
        <v>1209041</v>
      </c>
      <c r="D138" s="115">
        <f>D134+D137</f>
        <v>1298105</v>
      </c>
      <c r="E138" s="115">
        <f>E134+E137</f>
        <v>1316005</v>
      </c>
      <c r="F138" s="115">
        <f>F134+F137</f>
        <v>604232.99</v>
      </c>
      <c r="G138" s="422">
        <f t="shared" si="1"/>
        <v>0.45914186496251913</v>
      </c>
    </row>
    <row r="139" ht="25.5" customHeight="1">
      <c r="G139" s="422"/>
    </row>
    <row r="140" ht="12.75" customHeight="1"/>
    <row r="141" spans="1:6" ht="13.5" thickBot="1">
      <c r="A141" s="116"/>
      <c r="B141" s="117"/>
      <c r="C141" s="117"/>
      <c r="D141" s="117"/>
      <c r="E141" s="117"/>
      <c r="F141" s="117"/>
    </row>
    <row r="142" spans="1:6" ht="18.75" thickBot="1">
      <c r="A142" s="545" t="s">
        <v>158</v>
      </c>
      <c r="B142" s="546"/>
      <c r="C142" s="546"/>
      <c r="D142" s="546"/>
      <c r="E142" s="546"/>
      <c r="F142" s="547"/>
    </row>
    <row r="143" spans="1:6" ht="12.75">
      <c r="A143" s="515" t="s">
        <v>3</v>
      </c>
      <c r="B143" s="516"/>
      <c r="C143" s="512" t="s">
        <v>4</v>
      </c>
      <c r="D143" s="512" t="s">
        <v>199</v>
      </c>
      <c r="E143" s="512" t="s">
        <v>361</v>
      </c>
      <c r="F143" s="537" t="s">
        <v>383</v>
      </c>
    </row>
    <row r="144" spans="1:6" ht="13.5" thickBot="1">
      <c r="A144" s="523"/>
      <c r="B144" s="524"/>
      <c r="C144" s="513"/>
      <c r="D144" s="513"/>
      <c r="E144" s="513"/>
      <c r="F144" s="538"/>
    </row>
    <row r="145" spans="1:7" ht="16.5" thickBot="1">
      <c r="A145" s="529" t="s">
        <v>159</v>
      </c>
      <c r="B145" s="530"/>
      <c r="C145" s="121">
        <f>SUM(C146:C149)</f>
        <v>210370</v>
      </c>
      <c r="D145" s="121">
        <f>SUM(D146:D149)</f>
        <v>589925</v>
      </c>
      <c r="E145" s="121">
        <f>SUM(E146:E149)</f>
        <v>592186</v>
      </c>
      <c r="F145" s="121">
        <f>SUM(F146:F149)</f>
        <v>52687</v>
      </c>
      <c r="G145" s="422">
        <f>F145/E145</f>
        <v>0.08897035728639313</v>
      </c>
    </row>
    <row r="146" spans="1:7" ht="13.5" thickBot="1">
      <c r="A146" s="122">
        <v>230</v>
      </c>
      <c r="B146" s="123" t="s">
        <v>160</v>
      </c>
      <c r="C146" s="124">
        <v>30000</v>
      </c>
      <c r="D146" s="124">
        <v>30000</v>
      </c>
      <c r="E146" s="426">
        <f>30000+2261</f>
        <v>32261</v>
      </c>
      <c r="F146" s="124">
        <v>2261</v>
      </c>
      <c r="G146" s="422">
        <f aca="true" t="shared" si="2" ref="G146:G159">F146/E146</f>
        <v>0.07008462229937076</v>
      </c>
    </row>
    <row r="147" spans="1:7" ht="12.75">
      <c r="A147" s="42">
        <v>322</v>
      </c>
      <c r="B147" s="67" t="s">
        <v>161</v>
      </c>
      <c r="C147" s="68">
        <v>0</v>
      </c>
      <c r="D147" s="171">
        <v>326446</v>
      </c>
      <c r="E147" s="68">
        <v>326446</v>
      </c>
      <c r="F147" s="68">
        <v>50426</v>
      </c>
      <c r="G147" s="422">
        <f t="shared" si="2"/>
        <v>0.15446965194856116</v>
      </c>
    </row>
    <row r="148" spans="1:7" ht="12.75">
      <c r="A148" s="42">
        <v>322</v>
      </c>
      <c r="B148" s="67" t="s">
        <v>162</v>
      </c>
      <c r="C148" s="68"/>
      <c r="D148" s="171">
        <v>53105</v>
      </c>
      <c r="E148" s="68">
        <v>53105</v>
      </c>
      <c r="F148" s="68">
        <v>0</v>
      </c>
      <c r="G148" s="422">
        <f t="shared" si="2"/>
        <v>0</v>
      </c>
    </row>
    <row r="149" spans="1:8" ht="13.5" thickBot="1">
      <c r="A149" s="44">
        <v>322</v>
      </c>
      <c r="B149" s="43" t="s">
        <v>163</v>
      </c>
      <c r="C149" s="70">
        <v>180370</v>
      </c>
      <c r="D149" s="170">
        <v>180374</v>
      </c>
      <c r="E149" s="70">
        <v>180374</v>
      </c>
      <c r="F149" s="70">
        <v>0</v>
      </c>
      <c r="G149" s="422">
        <f t="shared" si="2"/>
        <v>0</v>
      </c>
      <c r="H149" s="161">
        <f>D150-D145</f>
        <v>67023</v>
      </c>
    </row>
    <row r="150" spans="1:7" ht="16.5" thickBot="1">
      <c r="A150" s="529" t="s">
        <v>164</v>
      </c>
      <c r="B150" s="530"/>
      <c r="C150" s="121">
        <f>SUM(C151:C159)</f>
        <v>257420</v>
      </c>
      <c r="D150" s="121">
        <f>SUM(D151:D159)</f>
        <v>656948</v>
      </c>
      <c r="E150" s="121">
        <f>SUM(E151:E159)</f>
        <v>659209</v>
      </c>
      <c r="F150" s="121">
        <f>SUM(F151:F159)</f>
        <v>62891</v>
      </c>
      <c r="G150" s="422">
        <f t="shared" si="2"/>
        <v>0.09540373386892473</v>
      </c>
    </row>
    <row r="151" spans="1:7" ht="12.75">
      <c r="A151" s="71" t="s">
        <v>84</v>
      </c>
      <c r="B151" s="12" t="s">
        <v>165</v>
      </c>
      <c r="C151" s="13">
        <v>0</v>
      </c>
      <c r="D151" s="13">
        <v>0</v>
      </c>
      <c r="E151" s="162">
        <v>2261</v>
      </c>
      <c r="F151" s="384">
        <v>2261</v>
      </c>
      <c r="G151" s="422">
        <f t="shared" si="2"/>
        <v>1</v>
      </c>
    </row>
    <row r="152" spans="1:7" ht="12.75">
      <c r="A152" s="125" t="s">
        <v>84</v>
      </c>
      <c r="B152" s="12" t="s">
        <v>166</v>
      </c>
      <c r="C152" s="13">
        <v>30000</v>
      </c>
      <c r="D152" s="13">
        <v>30000</v>
      </c>
      <c r="E152" s="13">
        <v>30000</v>
      </c>
      <c r="F152" s="384">
        <v>0</v>
      </c>
      <c r="G152" s="422">
        <f t="shared" si="2"/>
        <v>0</v>
      </c>
    </row>
    <row r="153" spans="1:7" ht="12.75">
      <c r="A153" s="103" t="s">
        <v>84</v>
      </c>
      <c r="B153" s="126" t="s">
        <v>167</v>
      </c>
      <c r="C153" s="13">
        <v>0</v>
      </c>
      <c r="D153" s="13">
        <v>0</v>
      </c>
      <c r="E153" s="13">
        <v>0</v>
      </c>
      <c r="F153" s="384">
        <v>0</v>
      </c>
      <c r="G153" s="422">
        <v>0</v>
      </c>
    </row>
    <row r="154" spans="1:7" ht="12.75">
      <c r="A154" s="66" t="s">
        <v>89</v>
      </c>
      <c r="B154" s="127" t="s">
        <v>168</v>
      </c>
      <c r="C154" s="10">
        <v>7550</v>
      </c>
      <c r="D154" s="10">
        <v>7550</v>
      </c>
      <c r="E154" s="390">
        <v>7550</v>
      </c>
      <c r="F154" s="390">
        <v>7550</v>
      </c>
      <c r="G154" s="422">
        <f t="shared" si="2"/>
        <v>1</v>
      </c>
    </row>
    <row r="155" spans="1:7" ht="12.75">
      <c r="A155" s="66" t="s">
        <v>92</v>
      </c>
      <c r="B155" s="9" t="s">
        <v>169</v>
      </c>
      <c r="C155" s="13">
        <v>0</v>
      </c>
      <c r="D155" s="162">
        <v>343628</v>
      </c>
      <c r="E155" s="384">
        <v>343628</v>
      </c>
      <c r="F155" s="384">
        <v>53080</v>
      </c>
      <c r="G155" s="422">
        <f t="shared" si="2"/>
        <v>0.15446936803752895</v>
      </c>
    </row>
    <row r="156" spans="1:7" ht="12.75">
      <c r="A156" s="103" t="s">
        <v>94</v>
      </c>
      <c r="B156" s="126" t="s">
        <v>170</v>
      </c>
      <c r="C156" s="13">
        <v>30000</v>
      </c>
      <c r="D156" s="13">
        <v>30000</v>
      </c>
      <c r="E156" s="384">
        <v>30000</v>
      </c>
      <c r="F156" s="384">
        <v>0</v>
      </c>
      <c r="G156" s="422">
        <f t="shared" si="2"/>
        <v>0</v>
      </c>
    </row>
    <row r="157" spans="1:7" ht="12.75" customHeight="1">
      <c r="A157" s="71" t="s">
        <v>94</v>
      </c>
      <c r="B157" s="12" t="s">
        <v>171</v>
      </c>
      <c r="C157" s="13">
        <v>0</v>
      </c>
      <c r="D157" s="162">
        <v>55900</v>
      </c>
      <c r="E157" s="384">
        <v>55900</v>
      </c>
      <c r="F157" s="384">
        <v>0</v>
      </c>
      <c r="G157" s="422">
        <f t="shared" si="2"/>
        <v>0</v>
      </c>
    </row>
    <row r="158" spans="1:7" ht="12.75">
      <c r="A158" s="69" t="s">
        <v>172</v>
      </c>
      <c r="B158" s="12" t="s">
        <v>174</v>
      </c>
      <c r="C158" s="13">
        <v>0</v>
      </c>
      <c r="D158" s="13">
        <v>0</v>
      </c>
      <c r="E158" s="13">
        <v>0</v>
      </c>
      <c r="F158" s="384">
        <v>0</v>
      </c>
      <c r="G158" s="422">
        <v>0</v>
      </c>
    </row>
    <row r="159" spans="1:7" ht="13.5" thickBot="1">
      <c r="A159" s="129" t="s">
        <v>99</v>
      </c>
      <c r="B159" s="15" t="s">
        <v>175</v>
      </c>
      <c r="C159" s="16">
        <v>189870</v>
      </c>
      <c r="D159" s="16">
        <v>189870</v>
      </c>
      <c r="E159" s="16">
        <v>189870</v>
      </c>
      <c r="F159" s="16">
        <v>0</v>
      </c>
      <c r="G159" s="422">
        <f t="shared" si="2"/>
        <v>0</v>
      </c>
    </row>
    <row r="160" ht="12.75">
      <c r="G160" s="422"/>
    </row>
    <row r="163" ht="19.5" customHeight="1"/>
    <row r="164" spans="1:6" ht="12.75" customHeight="1">
      <c r="A164" s="130"/>
      <c r="B164" s="131"/>
      <c r="C164" s="131"/>
      <c r="D164" s="131"/>
      <c r="E164" s="131"/>
      <c r="F164" s="131"/>
    </row>
    <row r="165" spans="1:6" ht="13.5" thickBot="1">
      <c r="A165" s="131"/>
      <c r="B165" s="117"/>
      <c r="C165" s="117"/>
      <c r="D165" s="117"/>
      <c r="E165" s="117"/>
      <c r="F165" s="117"/>
    </row>
    <row r="166" spans="1:6" ht="18.75" thickBot="1">
      <c r="A166" s="534" t="s">
        <v>176</v>
      </c>
      <c r="B166" s="535"/>
      <c r="C166" s="535"/>
      <c r="D166" s="535"/>
      <c r="E166" s="535"/>
      <c r="F166" s="536"/>
    </row>
    <row r="167" spans="1:6" ht="12.75">
      <c r="A167" s="515" t="s">
        <v>3</v>
      </c>
      <c r="B167" s="516"/>
      <c r="C167" s="512" t="s">
        <v>4</v>
      </c>
      <c r="D167" s="512" t="s">
        <v>199</v>
      </c>
      <c r="E167" s="512" t="s">
        <v>361</v>
      </c>
      <c r="F167" s="537" t="s">
        <v>383</v>
      </c>
    </row>
    <row r="168" spans="1:6" ht="13.5" thickBot="1">
      <c r="A168" s="523"/>
      <c r="B168" s="524"/>
      <c r="C168" s="513"/>
      <c r="D168" s="513"/>
      <c r="E168" s="513"/>
      <c r="F168" s="538"/>
    </row>
    <row r="169" spans="1:7" ht="16.5" thickBot="1">
      <c r="A169" s="525" t="s">
        <v>177</v>
      </c>
      <c r="B169" s="526"/>
      <c r="C169" s="135">
        <f>SUM(C170:C172)</f>
        <v>30427</v>
      </c>
      <c r="D169" s="135">
        <f>SUM(D170:D172)</f>
        <v>48171</v>
      </c>
      <c r="E169" s="135">
        <f>SUM(E170:E172)</f>
        <v>48171</v>
      </c>
      <c r="F169" s="135">
        <f>SUM(F170:F172)</f>
        <v>3342</v>
      </c>
      <c r="G169" s="422">
        <f>F169/E169</f>
        <v>0.06937784143987046</v>
      </c>
    </row>
    <row r="170" spans="1:7" ht="12.75">
      <c r="A170" s="136">
        <v>411</v>
      </c>
      <c r="B170" s="137" t="s">
        <v>178</v>
      </c>
      <c r="C170" s="138">
        <v>427</v>
      </c>
      <c r="D170" s="138">
        <v>427</v>
      </c>
      <c r="E170" s="138">
        <v>427</v>
      </c>
      <c r="F170" s="138">
        <v>0</v>
      </c>
      <c r="G170" s="422">
        <f aca="true" t="shared" si="3" ref="G170:G175">F170/E170</f>
        <v>0</v>
      </c>
    </row>
    <row r="171" spans="1:7" ht="12.75">
      <c r="A171" s="139">
        <v>454</v>
      </c>
      <c r="B171" s="45" t="s">
        <v>179</v>
      </c>
      <c r="C171" s="46">
        <v>0</v>
      </c>
      <c r="D171" s="46">
        <v>0</v>
      </c>
      <c r="E171" s="46">
        <v>0</v>
      </c>
      <c r="F171" s="46">
        <v>0</v>
      </c>
      <c r="G171" s="422">
        <v>0</v>
      </c>
    </row>
    <row r="172" spans="1:7" ht="15" customHeight="1" thickBot="1">
      <c r="A172" s="140">
        <v>513</v>
      </c>
      <c r="B172" s="141" t="s">
        <v>180</v>
      </c>
      <c r="C172" s="142">
        <v>30000</v>
      </c>
      <c r="D172" s="174">
        <f>30000+17744</f>
        <v>47744</v>
      </c>
      <c r="E172" s="387">
        <f>30000+17744</f>
        <v>47744</v>
      </c>
      <c r="F172" s="387">
        <v>3342</v>
      </c>
      <c r="G172" s="422">
        <f t="shared" si="3"/>
        <v>0.06999832439678284</v>
      </c>
    </row>
    <row r="173" spans="1:7" ht="16.5" thickBot="1">
      <c r="A173" s="525" t="s">
        <v>181</v>
      </c>
      <c r="B173" s="526"/>
      <c r="C173" s="135">
        <f>SUM(C174:C175)</f>
        <v>40700</v>
      </c>
      <c r="D173" s="135">
        <f>SUM(D174:D175)</f>
        <v>40700</v>
      </c>
      <c r="E173" s="135">
        <f>SUM(E174:E175)</f>
        <v>40700</v>
      </c>
      <c r="F173" s="135">
        <f>SUM(F174:F175)</f>
        <v>15038</v>
      </c>
      <c r="G173" s="422">
        <f t="shared" si="3"/>
        <v>0.3694840294840295</v>
      </c>
    </row>
    <row r="174" spans="1:7" ht="12.75">
      <c r="A174" s="143">
        <v>821</v>
      </c>
      <c r="B174" s="137" t="s">
        <v>182</v>
      </c>
      <c r="C174" s="144">
        <v>40000</v>
      </c>
      <c r="D174" s="144">
        <v>40000</v>
      </c>
      <c r="E174" s="144">
        <v>40000</v>
      </c>
      <c r="F174" s="144">
        <v>14720</v>
      </c>
      <c r="G174" s="422">
        <f t="shared" si="3"/>
        <v>0.368</v>
      </c>
    </row>
    <row r="175" spans="1:7" ht="13.5" thickBot="1">
      <c r="A175" s="29">
        <v>821</v>
      </c>
      <c r="B175" s="145" t="s">
        <v>183</v>
      </c>
      <c r="C175" s="146">
        <v>700</v>
      </c>
      <c r="D175" s="146">
        <v>700</v>
      </c>
      <c r="E175" s="146">
        <v>700</v>
      </c>
      <c r="F175" s="146">
        <v>318</v>
      </c>
      <c r="G175" s="422">
        <f t="shared" si="3"/>
        <v>0.4542857142857143</v>
      </c>
    </row>
    <row r="176" spans="1:7" ht="15.75">
      <c r="A176" s="57"/>
      <c r="B176" s="116"/>
      <c r="C176" s="116"/>
      <c r="D176" s="116"/>
      <c r="E176" s="116"/>
      <c r="F176" s="116"/>
      <c r="G176" s="422"/>
    </row>
    <row r="177" spans="1:6" ht="7.5" customHeight="1">
      <c r="A177" s="57"/>
      <c r="B177" s="116"/>
      <c r="C177" s="116"/>
      <c r="D177" s="116"/>
      <c r="E177" s="116"/>
      <c r="F177" s="116"/>
    </row>
    <row r="178" spans="1:6" ht="21" customHeight="1">
      <c r="A178" s="57"/>
      <c r="B178" s="116"/>
      <c r="C178" s="116"/>
      <c r="D178" s="116"/>
      <c r="E178" s="116"/>
      <c r="F178" s="116"/>
    </row>
    <row r="179" spans="1:6" ht="30" customHeight="1">
      <c r="A179" s="57"/>
      <c r="B179" s="116"/>
      <c r="C179" s="116"/>
      <c r="D179" s="116"/>
      <c r="E179" s="116"/>
      <c r="F179" s="116"/>
    </row>
    <row r="180" spans="2:6" ht="13.5" thickBot="1">
      <c r="B180" s="117"/>
      <c r="C180" s="117"/>
      <c r="D180" s="117"/>
      <c r="E180" s="117"/>
      <c r="F180" s="117"/>
    </row>
    <row r="181" spans="1:6" ht="18.75" thickBot="1">
      <c r="A181" s="539" t="s">
        <v>184</v>
      </c>
      <c r="B181" s="540"/>
      <c r="C181" s="540"/>
      <c r="D181" s="540"/>
      <c r="E181" s="540"/>
      <c r="F181" s="541"/>
    </row>
    <row r="182" spans="1:6" ht="12.75">
      <c r="A182" s="515" t="s">
        <v>3</v>
      </c>
      <c r="B182" s="516"/>
      <c r="C182" s="512" t="s">
        <v>4</v>
      </c>
      <c r="D182" s="512" t="s">
        <v>199</v>
      </c>
      <c r="E182" s="512" t="s">
        <v>361</v>
      </c>
      <c r="F182" s="537" t="s">
        <v>383</v>
      </c>
    </row>
    <row r="183" spans="1:6" ht="13.5" thickBot="1">
      <c r="A183" s="501"/>
      <c r="B183" s="502"/>
      <c r="C183" s="513"/>
      <c r="D183" s="513"/>
      <c r="E183" s="513"/>
      <c r="F183" s="538"/>
    </row>
    <row r="184" spans="1:6" ht="15">
      <c r="A184" s="150" t="s">
        <v>185</v>
      </c>
      <c r="B184" s="19"/>
      <c r="C184" s="88">
        <f>C73</f>
        <v>1266364</v>
      </c>
      <c r="D184" s="88">
        <f>D73</f>
        <v>1357657</v>
      </c>
      <c r="E184" s="88">
        <f>E73</f>
        <v>1375557</v>
      </c>
      <c r="F184" s="88">
        <f>F73</f>
        <v>669950.7</v>
      </c>
    </row>
    <row r="185" spans="1:6" ht="15">
      <c r="A185" s="151" t="s">
        <v>186</v>
      </c>
      <c r="B185" s="12"/>
      <c r="C185" s="70">
        <f>C138</f>
        <v>1209041</v>
      </c>
      <c r="D185" s="70">
        <f>D138</f>
        <v>1298105</v>
      </c>
      <c r="E185" s="70">
        <f>E138</f>
        <v>1316005</v>
      </c>
      <c r="F185" s="70">
        <f>F138</f>
        <v>604232.99</v>
      </c>
    </row>
    <row r="186" spans="1:6" ht="15.75">
      <c r="A186" s="152"/>
      <c r="B186" s="153" t="s">
        <v>187</v>
      </c>
      <c r="C186" s="154">
        <f>C184-C185</f>
        <v>57323</v>
      </c>
      <c r="D186" s="154">
        <f>D184-D185</f>
        <v>59552</v>
      </c>
      <c r="E186" s="154">
        <f>E184-E185</f>
        <v>59552</v>
      </c>
      <c r="F186" s="154">
        <f>F184-F185</f>
        <v>65717.70999999996</v>
      </c>
    </row>
    <row r="187" spans="1:6" ht="15">
      <c r="A187" s="151" t="s">
        <v>188</v>
      </c>
      <c r="B187" s="12"/>
      <c r="C187" s="70">
        <f>C145</f>
        <v>210370</v>
      </c>
      <c r="D187" s="70">
        <f>D145</f>
        <v>589925</v>
      </c>
      <c r="E187" s="70">
        <f>E145</f>
        <v>592186</v>
      </c>
      <c r="F187" s="70">
        <f>F145</f>
        <v>52687</v>
      </c>
    </row>
    <row r="188" spans="1:6" ht="15">
      <c r="A188" s="151" t="s">
        <v>189</v>
      </c>
      <c r="B188" s="12"/>
      <c r="C188" s="13">
        <f>C150</f>
        <v>257420</v>
      </c>
      <c r="D188" s="13">
        <f>D150</f>
        <v>656948</v>
      </c>
      <c r="E188" s="13">
        <f>E150</f>
        <v>659209</v>
      </c>
      <c r="F188" s="13">
        <f>F150</f>
        <v>62891</v>
      </c>
    </row>
    <row r="189" spans="1:6" ht="15.75">
      <c r="A189" s="152"/>
      <c r="B189" s="155" t="s">
        <v>190</v>
      </c>
      <c r="C189" s="154">
        <f>C187-C188</f>
        <v>-47050</v>
      </c>
      <c r="D189" s="154">
        <f>D187-D188</f>
        <v>-67023</v>
      </c>
      <c r="E189" s="154">
        <f>E187-E188</f>
        <v>-67023</v>
      </c>
      <c r="F189" s="154">
        <f>F187-F188</f>
        <v>-10204</v>
      </c>
    </row>
    <row r="190" spans="1:6" ht="15">
      <c r="A190" s="500" t="s">
        <v>191</v>
      </c>
      <c r="B190" s="533"/>
      <c r="C190" s="82">
        <f>C169</f>
        <v>30427</v>
      </c>
      <c r="D190" s="82">
        <f>D169</f>
        <v>48171</v>
      </c>
      <c r="E190" s="82">
        <f>E169</f>
        <v>48171</v>
      </c>
      <c r="F190" s="82">
        <f>F169</f>
        <v>3342</v>
      </c>
    </row>
    <row r="191" spans="1:6" ht="15">
      <c r="A191" s="500" t="s">
        <v>192</v>
      </c>
      <c r="B191" s="533"/>
      <c r="C191" s="82">
        <f>C173</f>
        <v>40700</v>
      </c>
      <c r="D191" s="82">
        <f>D173</f>
        <v>40700</v>
      </c>
      <c r="E191" s="82">
        <f>E173</f>
        <v>40700</v>
      </c>
      <c r="F191" s="82">
        <f>F173</f>
        <v>15038</v>
      </c>
    </row>
    <row r="192" spans="1:6" ht="16.5" thickBot="1">
      <c r="A192" s="156"/>
      <c r="B192" s="157" t="s">
        <v>193</v>
      </c>
      <c r="C192" s="158">
        <f>C190-C191</f>
        <v>-10273</v>
      </c>
      <c r="D192" s="158">
        <f>D190-D191</f>
        <v>7471</v>
      </c>
      <c r="E192" s="158">
        <f>E190-E191</f>
        <v>7471</v>
      </c>
      <c r="F192" s="158">
        <f>F190-F191</f>
        <v>-11696</v>
      </c>
    </row>
    <row r="193" spans="1:6" ht="16.5" thickBot="1">
      <c r="A193" s="531" t="s">
        <v>194</v>
      </c>
      <c r="B193" s="532"/>
      <c r="C193" s="159">
        <f>C186+C189+C192</f>
        <v>0</v>
      </c>
      <c r="D193" s="159">
        <f>D186+D189+D192</f>
        <v>0</v>
      </c>
      <c r="E193" s="159">
        <f>E186+E189+E192</f>
        <v>0</v>
      </c>
      <c r="F193" s="159">
        <f>F186+F189+F192</f>
        <v>43817.70999999996</v>
      </c>
    </row>
    <row r="195" spans="2:6" ht="12.75">
      <c r="B195" s="160" t="s">
        <v>195</v>
      </c>
      <c r="C195" s="161">
        <f aca="true" t="shared" si="4" ref="C195:F196">C184+C187+C190</f>
        <v>1507161</v>
      </c>
      <c r="D195" s="161">
        <f t="shared" si="4"/>
        <v>1995753</v>
      </c>
      <c r="E195" s="161">
        <f>E184+E187+E190</f>
        <v>2015914</v>
      </c>
      <c r="F195" s="161">
        <f t="shared" si="4"/>
        <v>725979.7</v>
      </c>
    </row>
    <row r="196" spans="2:6" ht="12.75">
      <c r="B196" s="160" t="s">
        <v>196</v>
      </c>
      <c r="C196" s="161">
        <f t="shared" si="4"/>
        <v>1507161</v>
      </c>
      <c r="D196" s="161">
        <f t="shared" si="4"/>
        <v>1995753</v>
      </c>
      <c r="E196" s="161">
        <f>E185+E188+E191</f>
        <v>2015914</v>
      </c>
      <c r="F196" s="161">
        <f t="shared" si="4"/>
        <v>682161.99</v>
      </c>
    </row>
    <row r="197" spans="2:6" ht="12.75">
      <c r="B197" s="160"/>
      <c r="C197" s="161"/>
      <c r="D197" s="161"/>
      <c r="E197" s="161"/>
      <c r="F197" s="161"/>
    </row>
    <row r="198" spans="2:6" ht="12.75">
      <c r="B198" s="160" t="s">
        <v>197</v>
      </c>
      <c r="C198" s="161">
        <f>C195-C72</f>
        <v>1506661</v>
      </c>
      <c r="D198" s="161">
        <f>D195-D72</f>
        <v>1994853</v>
      </c>
      <c r="E198" s="161">
        <f>E195-E72</f>
        <v>2015014</v>
      </c>
      <c r="F198" s="161">
        <f>F195-F72</f>
        <v>725640.7</v>
      </c>
    </row>
    <row r="199" spans="2:6" ht="12.75">
      <c r="B199" s="160" t="s">
        <v>198</v>
      </c>
      <c r="C199" s="161">
        <f>C196-C137</f>
        <v>1156161</v>
      </c>
      <c r="D199" s="161">
        <f>D196-D137</f>
        <v>1619688</v>
      </c>
      <c r="E199" s="161">
        <f>E196-E137</f>
        <v>1639649</v>
      </c>
      <c r="F199" s="161">
        <f>F196-F137</f>
        <v>491188.99</v>
      </c>
    </row>
  </sheetData>
  <sheetProtection/>
  <mergeCells count="50">
    <mergeCell ref="E77:E78"/>
    <mergeCell ref="E143:E144"/>
    <mergeCell ref="A142:F142"/>
    <mergeCell ref="F7:F8"/>
    <mergeCell ref="F77:F78"/>
    <mergeCell ref="F143:F144"/>
    <mergeCell ref="A76:F76"/>
    <mergeCell ref="C77:C78"/>
    <mergeCell ref="D77:D78"/>
    <mergeCell ref="A9:B9"/>
    <mergeCell ref="A190:B190"/>
    <mergeCell ref="A191:B191"/>
    <mergeCell ref="F167:F168"/>
    <mergeCell ref="C167:C168"/>
    <mergeCell ref="E167:E168"/>
    <mergeCell ref="D167:D168"/>
    <mergeCell ref="E182:E183"/>
    <mergeCell ref="A193:B193"/>
    <mergeCell ref="A182:B183"/>
    <mergeCell ref="A166:F166"/>
    <mergeCell ref="A181:F181"/>
    <mergeCell ref="F182:F183"/>
    <mergeCell ref="A173:B173"/>
    <mergeCell ref="A167:B168"/>
    <mergeCell ref="A169:B169"/>
    <mergeCell ref="C182:C183"/>
    <mergeCell ref="D182:D183"/>
    <mergeCell ref="C143:C144"/>
    <mergeCell ref="D143:D144"/>
    <mergeCell ref="A145:B145"/>
    <mergeCell ref="A84:B84"/>
    <mergeCell ref="A86:B86"/>
    <mergeCell ref="A119:B119"/>
    <mergeCell ref="A137:B137"/>
    <mergeCell ref="A150:B150"/>
    <mergeCell ref="A19:B19"/>
    <mergeCell ref="A37:B37"/>
    <mergeCell ref="A39:B39"/>
    <mergeCell ref="A77:B78"/>
    <mergeCell ref="A143:B144"/>
    <mergeCell ref="A1:F1"/>
    <mergeCell ref="A7:B8"/>
    <mergeCell ref="C7:C8"/>
    <mergeCell ref="D7:D8"/>
    <mergeCell ref="A2:D2"/>
    <mergeCell ref="A4:D4"/>
    <mergeCell ref="A5:D5"/>
    <mergeCell ref="E7:E8"/>
    <mergeCell ref="A3:D3"/>
    <mergeCell ref="A6:F6"/>
  </mergeCells>
  <printOptions/>
  <pageMargins left="0.32" right="0.22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3.140625" style="0" customWidth="1"/>
    <col min="4" max="5" width="11.57421875" style="0" customWidth="1"/>
    <col min="6" max="6" width="6.8515625" style="0" customWidth="1"/>
  </cols>
  <sheetData>
    <row r="1" spans="1:5" ht="20.25">
      <c r="A1" s="514" t="s">
        <v>205</v>
      </c>
      <c r="B1" s="514"/>
      <c r="C1" s="514"/>
      <c r="D1" s="514"/>
      <c r="E1" s="514"/>
    </row>
    <row r="2" spans="1:4" ht="12.75">
      <c r="A2" s="511" t="s">
        <v>1</v>
      </c>
      <c r="B2" s="511"/>
      <c r="C2" s="511"/>
      <c r="D2" s="511"/>
    </row>
    <row r="3" spans="1:4" ht="12.75">
      <c r="A3" s="511" t="s">
        <v>357</v>
      </c>
      <c r="B3" s="511"/>
      <c r="C3" s="511"/>
      <c r="D3" s="511"/>
    </row>
    <row r="4" spans="1:4" ht="13.5" thickBot="1">
      <c r="A4" s="551"/>
      <c r="B4" s="551"/>
      <c r="C4" s="551"/>
      <c r="D4" s="551"/>
    </row>
    <row r="5" spans="1:5" ht="18.75" thickBot="1">
      <c r="A5" s="542" t="s">
        <v>2</v>
      </c>
      <c r="B5" s="543"/>
      <c r="C5" s="543"/>
      <c r="D5" s="543"/>
      <c r="E5" s="544"/>
    </row>
    <row r="6" spans="1:5" ht="12.75" customHeight="1">
      <c r="A6" s="515" t="s">
        <v>3</v>
      </c>
      <c r="B6" s="516"/>
      <c r="C6" s="512" t="s">
        <v>4</v>
      </c>
      <c r="D6" s="512" t="s">
        <v>199</v>
      </c>
      <c r="E6" s="512" t="s">
        <v>320</v>
      </c>
    </row>
    <row r="7" spans="1:5" ht="13.5" thickBot="1">
      <c r="A7" s="517"/>
      <c r="B7" s="518"/>
      <c r="C7" s="513"/>
      <c r="D7" s="513"/>
      <c r="E7" s="513"/>
    </row>
    <row r="8" spans="1:6" ht="13.5" thickBot="1">
      <c r="A8" s="519" t="s">
        <v>7</v>
      </c>
      <c r="B8" s="520"/>
      <c r="C8" s="4">
        <f>SUM(C9:C17)</f>
        <v>696283</v>
      </c>
      <c r="D8" s="4">
        <f>SUM(D9:D17)</f>
        <v>696203</v>
      </c>
      <c r="E8" s="4">
        <f>SUM(E9:E17)</f>
        <v>227655</v>
      </c>
      <c r="F8" s="383">
        <f>E8/D8</f>
        <v>0.32699514365781246</v>
      </c>
    </row>
    <row r="9" spans="1:6" ht="13.5" thickBot="1">
      <c r="A9" s="5">
        <v>111</v>
      </c>
      <c r="B9" s="6" t="s">
        <v>8</v>
      </c>
      <c r="C9" s="7">
        <v>644000</v>
      </c>
      <c r="D9" s="7">
        <v>644000</v>
      </c>
      <c r="E9" s="7">
        <v>206025</v>
      </c>
      <c r="F9" s="383">
        <f aca="true" t="shared" si="0" ref="F9:F44">E9/D9</f>
        <v>0.31991459627329194</v>
      </c>
    </row>
    <row r="10" spans="1:6" ht="12.75">
      <c r="A10" s="8">
        <v>121</v>
      </c>
      <c r="B10" s="9" t="s">
        <v>9</v>
      </c>
      <c r="C10" s="10">
        <v>13200</v>
      </c>
      <c r="D10" s="10">
        <v>13200</v>
      </c>
      <c r="E10" s="10">
        <v>3333</v>
      </c>
      <c r="F10" s="383">
        <f t="shared" si="0"/>
        <v>0.2525</v>
      </c>
    </row>
    <row r="11" spans="1:6" ht="12.75">
      <c r="A11" s="11">
        <v>121</v>
      </c>
      <c r="B11" s="12" t="s">
        <v>10</v>
      </c>
      <c r="C11" s="13">
        <v>17000</v>
      </c>
      <c r="D11" s="13">
        <v>17000</v>
      </c>
      <c r="E11" s="13">
        <v>8157</v>
      </c>
      <c r="F11" s="383">
        <f t="shared" si="0"/>
        <v>0.4798235294117647</v>
      </c>
    </row>
    <row r="12" spans="1:6" ht="13.5" thickBot="1">
      <c r="A12" s="14">
        <v>121</v>
      </c>
      <c r="B12" s="15" t="s">
        <v>11</v>
      </c>
      <c r="C12" s="16">
        <v>73</v>
      </c>
      <c r="D12" s="16">
        <v>73</v>
      </c>
      <c r="E12" s="16">
        <v>66</v>
      </c>
      <c r="F12" s="383">
        <f t="shared" si="0"/>
        <v>0.9041095890410958</v>
      </c>
    </row>
    <row r="13" spans="1:6" ht="12.75">
      <c r="A13" s="8">
        <v>133</v>
      </c>
      <c r="B13" s="9" t="s">
        <v>12</v>
      </c>
      <c r="C13" s="10">
        <v>950</v>
      </c>
      <c r="D13" s="10">
        <v>950</v>
      </c>
      <c r="E13" s="10">
        <v>812</v>
      </c>
      <c r="F13" s="383">
        <f t="shared" si="0"/>
        <v>0.8547368421052631</v>
      </c>
    </row>
    <row r="14" spans="1:6" ht="12.75">
      <c r="A14" s="11">
        <v>133</v>
      </c>
      <c r="B14" s="12" t="s">
        <v>13</v>
      </c>
      <c r="C14" s="13">
        <v>360</v>
      </c>
      <c r="D14" s="162">
        <v>280</v>
      </c>
      <c r="E14" s="384">
        <v>0</v>
      </c>
      <c r="F14" s="383">
        <f t="shared" si="0"/>
        <v>0</v>
      </c>
    </row>
    <row r="15" spans="1:6" ht="12.75">
      <c r="A15" s="11">
        <v>133</v>
      </c>
      <c r="B15" s="12" t="s">
        <v>14</v>
      </c>
      <c r="C15" s="13">
        <v>700</v>
      </c>
      <c r="D15" s="13">
        <v>700</v>
      </c>
      <c r="E15" s="13">
        <v>16</v>
      </c>
      <c r="F15" s="383">
        <f t="shared" si="0"/>
        <v>0.022857142857142857</v>
      </c>
    </row>
    <row r="16" spans="1:6" ht="12.75">
      <c r="A16" s="11">
        <v>133</v>
      </c>
      <c r="B16" s="12" t="s">
        <v>15</v>
      </c>
      <c r="C16" s="13">
        <v>5000</v>
      </c>
      <c r="D16" s="13">
        <v>5000</v>
      </c>
      <c r="E16" s="13">
        <v>437</v>
      </c>
      <c r="F16" s="383">
        <f t="shared" si="0"/>
        <v>0.0874</v>
      </c>
    </row>
    <row r="17" spans="1:6" ht="13.5" thickBot="1">
      <c r="A17" s="14">
        <v>133</v>
      </c>
      <c r="B17" s="15" t="s">
        <v>16</v>
      </c>
      <c r="C17" s="17">
        <v>15000</v>
      </c>
      <c r="D17" s="16">
        <v>15000</v>
      </c>
      <c r="E17" s="16">
        <v>8809</v>
      </c>
      <c r="F17" s="383">
        <f t="shared" si="0"/>
        <v>0.5872666666666667</v>
      </c>
    </row>
    <row r="18" spans="1:6" ht="13.5" thickBot="1">
      <c r="A18" s="519" t="s">
        <v>17</v>
      </c>
      <c r="B18" s="520"/>
      <c r="C18" s="4">
        <f>SUM(C19:C35)</f>
        <v>142437</v>
      </c>
      <c r="D18" s="4">
        <f>SUM(D19:D35)</f>
        <v>143137</v>
      </c>
      <c r="E18" s="4">
        <f>SUM(E19:E35)</f>
        <v>16386</v>
      </c>
      <c r="F18" s="383">
        <f t="shared" si="0"/>
        <v>0.11447773811104048</v>
      </c>
    </row>
    <row r="19" spans="1:6" ht="12.75">
      <c r="A19" s="18">
        <v>212</v>
      </c>
      <c r="B19" s="19" t="s">
        <v>18</v>
      </c>
      <c r="C19" s="20">
        <v>490</v>
      </c>
      <c r="D19" s="20">
        <v>490</v>
      </c>
      <c r="E19" s="20">
        <v>60</v>
      </c>
      <c r="F19" s="383">
        <f t="shared" si="0"/>
        <v>0.12244897959183673</v>
      </c>
    </row>
    <row r="20" spans="1:6" ht="12.75">
      <c r="A20" s="8">
        <v>212</v>
      </c>
      <c r="B20" s="9" t="s">
        <v>19</v>
      </c>
      <c r="C20" s="10">
        <v>200</v>
      </c>
      <c r="D20" s="10">
        <v>200</v>
      </c>
      <c r="E20" s="10">
        <v>66</v>
      </c>
      <c r="F20" s="383">
        <f t="shared" si="0"/>
        <v>0.33</v>
      </c>
    </row>
    <row r="21" spans="1:6" ht="12.75">
      <c r="A21" s="11">
        <v>212</v>
      </c>
      <c r="B21" s="12" t="s">
        <v>20</v>
      </c>
      <c r="C21" s="13">
        <v>3809</v>
      </c>
      <c r="D21" s="13">
        <v>3809</v>
      </c>
      <c r="E21" s="13">
        <v>1036</v>
      </c>
      <c r="F21" s="383">
        <f t="shared" si="0"/>
        <v>0.27198739826726176</v>
      </c>
    </row>
    <row r="22" spans="1:6" ht="12.75">
      <c r="A22" s="11">
        <v>212</v>
      </c>
      <c r="B22" s="12" t="s">
        <v>21</v>
      </c>
      <c r="C22" s="13">
        <v>12590</v>
      </c>
      <c r="D22" s="13">
        <v>12590</v>
      </c>
      <c r="E22" s="13">
        <v>2433</v>
      </c>
      <c r="F22" s="383">
        <f t="shared" si="0"/>
        <v>0.1932486100079428</v>
      </c>
    </row>
    <row r="23" spans="1:8" ht="13.5" thickBot="1">
      <c r="A23" s="21">
        <v>212</v>
      </c>
      <c r="B23" s="22" t="s">
        <v>22</v>
      </c>
      <c r="C23" s="23">
        <v>20</v>
      </c>
      <c r="D23" s="23">
        <v>20</v>
      </c>
      <c r="E23" s="23">
        <v>0</v>
      </c>
      <c r="F23" s="383">
        <f t="shared" si="0"/>
        <v>0</v>
      </c>
      <c r="G23" s="161">
        <f>SUM(E19:E23)</f>
        <v>3595</v>
      </c>
      <c r="H23" s="161">
        <f>SUM(D19:D23)</f>
        <v>17109</v>
      </c>
    </row>
    <row r="24" spans="1:6" ht="13.5" thickBot="1">
      <c r="A24" s="24">
        <v>221</v>
      </c>
      <c r="B24" s="25" t="s">
        <v>23</v>
      </c>
      <c r="C24" s="26">
        <v>9200</v>
      </c>
      <c r="D24" s="27">
        <v>9200</v>
      </c>
      <c r="E24" s="27">
        <v>902</v>
      </c>
      <c r="F24" s="383">
        <f t="shared" si="0"/>
        <v>0.09804347826086957</v>
      </c>
    </row>
    <row r="25" spans="1:6" ht="13.5" thickBot="1">
      <c r="A25" s="24">
        <v>222</v>
      </c>
      <c r="B25" s="25" t="s">
        <v>24</v>
      </c>
      <c r="C25" s="27">
        <v>100</v>
      </c>
      <c r="D25" s="385">
        <v>700</v>
      </c>
      <c r="E25" s="27">
        <v>500</v>
      </c>
      <c r="F25" s="383">
        <f t="shared" si="0"/>
        <v>0.7142857142857143</v>
      </c>
    </row>
    <row r="26" spans="1:6" ht="12.75">
      <c r="A26" s="8">
        <v>223</v>
      </c>
      <c r="B26" s="9" t="s">
        <v>25</v>
      </c>
      <c r="C26" s="10">
        <v>800</v>
      </c>
      <c r="D26" s="173">
        <v>900</v>
      </c>
      <c r="E26" s="10">
        <v>200</v>
      </c>
      <c r="F26" s="383">
        <f t="shared" si="0"/>
        <v>0.2222222222222222</v>
      </c>
    </row>
    <row r="27" spans="1:6" ht="12.75">
      <c r="A27" s="11">
        <v>223</v>
      </c>
      <c r="B27" s="12" t="s">
        <v>26</v>
      </c>
      <c r="C27" s="13">
        <v>10000</v>
      </c>
      <c r="D27" s="13">
        <v>10000</v>
      </c>
      <c r="E27" s="13">
        <v>3109</v>
      </c>
      <c r="F27" s="383">
        <f t="shared" si="0"/>
        <v>0.3109</v>
      </c>
    </row>
    <row r="28" spans="1:6" ht="12.75">
      <c r="A28" s="11">
        <v>223</v>
      </c>
      <c r="B28" s="12" t="s">
        <v>27</v>
      </c>
      <c r="C28" s="13">
        <v>12000</v>
      </c>
      <c r="D28" s="13">
        <v>12000</v>
      </c>
      <c r="E28" s="13">
        <v>18</v>
      </c>
      <c r="F28" s="383">
        <f t="shared" si="0"/>
        <v>0.0015</v>
      </c>
    </row>
    <row r="29" spans="1:6" ht="12.75">
      <c r="A29" s="11">
        <v>223</v>
      </c>
      <c r="B29" s="12" t="s">
        <v>28</v>
      </c>
      <c r="C29" s="13">
        <v>1200</v>
      </c>
      <c r="D29" s="13">
        <v>1200</v>
      </c>
      <c r="E29" s="13">
        <v>0</v>
      </c>
      <c r="F29" s="383">
        <f t="shared" si="0"/>
        <v>0</v>
      </c>
    </row>
    <row r="30" spans="1:6" ht="12.75">
      <c r="A30" s="11">
        <v>223</v>
      </c>
      <c r="B30" s="12" t="s">
        <v>29</v>
      </c>
      <c r="C30" s="13">
        <v>650</v>
      </c>
      <c r="D30" s="13">
        <v>650</v>
      </c>
      <c r="E30" s="13">
        <v>152</v>
      </c>
      <c r="F30" s="383">
        <f t="shared" si="0"/>
        <v>0.23384615384615384</v>
      </c>
    </row>
    <row r="31" spans="1:6" ht="12.75">
      <c r="A31" s="11">
        <v>223</v>
      </c>
      <c r="B31" s="12" t="s">
        <v>30</v>
      </c>
      <c r="C31" s="13">
        <v>60000</v>
      </c>
      <c r="D31" s="13">
        <v>60000</v>
      </c>
      <c r="E31" s="13">
        <v>0</v>
      </c>
      <c r="F31" s="383">
        <f t="shared" si="0"/>
        <v>0</v>
      </c>
    </row>
    <row r="32" spans="1:6" ht="12.75">
      <c r="A32" s="11">
        <v>223</v>
      </c>
      <c r="B32" s="12" t="s">
        <v>31</v>
      </c>
      <c r="C32" s="13">
        <v>22778</v>
      </c>
      <c r="D32" s="13">
        <v>22778</v>
      </c>
      <c r="E32" s="13">
        <v>4772</v>
      </c>
      <c r="F32" s="383">
        <f t="shared" si="0"/>
        <v>0.2095003951180964</v>
      </c>
    </row>
    <row r="33" spans="1:6" ht="12.75">
      <c r="A33" s="11">
        <v>223</v>
      </c>
      <c r="B33" s="12" t="s">
        <v>32</v>
      </c>
      <c r="C33" s="28">
        <v>7500</v>
      </c>
      <c r="D33" s="13">
        <v>7500</v>
      </c>
      <c r="E33" s="13">
        <v>2902</v>
      </c>
      <c r="F33" s="383">
        <f t="shared" si="0"/>
        <v>0.38693333333333335</v>
      </c>
    </row>
    <row r="34" spans="1:6" ht="12.75">
      <c r="A34" s="11">
        <v>223</v>
      </c>
      <c r="B34" s="12" t="s">
        <v>33</v>
      </c>
      <c r="C34" s="13">
        <v>1000</v>
      </c>
      <c r="D34" s="13">
        <v>1000</v>
      </c>
      <c r="E34" s="13">
        <v>236</v>
      </c>
      <c r="F34" s="383">
        <f t="shared" si="0"/>
        <v>0.236</v>
      </c>
    </row>
    <row r="35" spans="1:8" ht="13.5" thickBot="1">
      <c r="A35" s="14">
        <v>223</v>
      </c>
      <c r="B35" s="15" t="s">
        <v>35</v>
      </c>
      <c r="C35" s="16">
        <v>100</v>
      </c>
      <c r="D35" s="16">
        <v>100</v>
      </c>
      <c r="E35" s="16">
        <v>0</v>
      </c>
      <c r="F35" s="383">
        <f t="shared" si="0"/>
        <v>0</v>
      </c>
      <c r="G35" s="161">
        <f>SUM(E26:E35)</f>
        <v>11389</v>
      </c>
      <c r="H35" s="161">
        <f>SUM(D26:D35)</f>
        <v>116128</v>
      </c>
    </row>
    <row r="36" spans="1:6" ht="13.5" thickBot="1">
      <c r="A36" s="519" t="s">
        <v>36</v>
      </c>
      <c r="B36" s="520"/>
      <c r="C36" s="4">
        <f>SUM(C37)</f>
        <v>344</v>
      </c>
      <c r="D36" s="4">
        <f>SUM(D37)</f>
        <v>344</v>
      </c>
      <c r="E36" s="4">
        <f>SUM(E37)</f>
        <v>122</v>
      </c>
      <c r="F36" s="383">
        <f t="shared" si="0"/>
        <v>0.3546511627906977</v>
      </c>
    </row>
    <row r="37" spans="1:6" ht="13.5" thickBot="1">
      <c r="A37" s="29">
        <v>240</v>
      </c>
      <c r="B37" s="22" t="s">
        <v>37</v>
      </c>
      <c r="C37" s="23">
        <v>344</v>
      </c>
      <c r="D37" s="23">
        <v>344</v>
      </c>
      <c r="E37" s="23">
        <v>122</v>
      </c>
      <c r="F37" s="383">
        <f t="shared" si="0"/>
        <v>0.3546511627906977</v>
      </c>
    </row>
    <row r="38" spans="1:6" ht="13.5" thickBot="1">
      <c r="A38" s="519" t="s">
        <v>38</v>
      </c>
      <c r="B38" s="520"/>
      <c r="C38" s="4">
        <f>SUM(C39:C50)</f>
        <v>26100</v>
      </c>
      <c r="D38" s="4">
        <f>SUM(D39:D50)</f>
        <v>32598</v>
      </c>
      <c r="E38" s="4">
        <f>SUM(E39:E50)</f>
        <v>10030</v>
      </c>
      <c r="F38" s="383">
        <f t="shared" si="0"/>
        <v>0.30768758819559483</v>
      </c>
    </row>
    <row r="39" spans="1:6" ht="12.75">
      <c r="A39" s="30">
        <v>292</v>
      </c>
      <c r="B39" s="31" t="s">
        <v>39</v>
      </c>
      <c r="C39" s="32">
        <v>100</v>
      </c>
      <c r="D39" s="32">
        <v>100</v>
      </c>
      <c r="E39" s="32">
        <v>26</v>
      </c>
      <c r="F39" s="383">
        <f t="shared" si="0"/>
        <v>0.26</v>
      </c>
    </row>
    <row r="40" spans="1:6" ht="12.75">
      <c r="A40" s="33">
        <v>292</v>
      </c>
      <c r="B40" s="34" t="s">
        <v>40</v>
      </c>
      <c r="C40" s="35">
        <v>0</v>
      </c>
      <c r="D40" s="163">
        <f>3595+385+512+565</f>
        <v>5057</v>
      </c>
      <c r="E40" s="35">
        <f>3595+385+512+565</f>
        <v>5057</v>
      </c>
      <c r="F40" s="383">
        <f t="shared" si="0"/>
        <v>1</v>
      </c>
    </row>
    <row r="41" spans="1:6" ht="12.75">
      <c r="A41" s="33">
        <v>292</v>
      </c>
      <c r="B41" s="12" t="s">
        <v>41</v>
      </c>
      <c r="C41" s="36">
        <v>160</v>
      </c>
      <c r="D41" s="36">
        <v>160</v>
      </c>
      <c r="E41" s="36">
        <v>0</v>
      </c>
      <c r="F41" s="383">
        <f t="shared" si="0"/>
        <v>0</v>
      </c>
    </row>
    <row r="42" spans="1:6" ht="12.75">
      <c r="A42" s="33">
        <v>292</v>
      </c>
      <c r="B42" s="34" t="s">
        <v>322</v>
      </c>
      <c r="C42" s="35">
        <v>3500</v>
      </c>
      <c r="D42" s="35">
        <v>3500</v>
      </c>
      <c r="E42" s="35">
        <v>665</v>
      </c>
      <c r="F42" s="383">
        <f t="shared" si="0"/>
        <v>0.19</v>
      </c>
    </row>
    <row r="43" spans="1:6" ht="12.75">
      <c r="A43" s="33">
        <v>292</v>
      </c>
      <c r="B43" s="34" t="s">
        <v>43</v>
      </c>
      <c r="C43" s="35">
        <v>200</v>
      </c>
      <c r="D43" s="35">
        <v>200</v>
      </c>
      <c r="E43" s="35">
        <v>199</v>
      </c>
      <c r="F43" s="383">
        <f t="shared" si="0"/>
        <v>0.995</v>
      </c>
    </row>
    <row r="44" spans="1:6" ht="12.75">
      <c r="A44" s="400">
        <v>292</v>
      </c>
      <c r="B44" s="401" t="s">
        <v>347</v>
      </c>
      <c r="C44" s="402">
        <v>0</v>
      </c>
      <c r="D44" s="403">
        <v>1441</v>
      </c>
      <c r="E44" s="402">
        <v>1441</v>
      </c>
      <c r="F44" s="383">
        <f t="shared" si="0"/>
        <v>1</v>
      </c>
    </row>
    <row r="45" spans="1:6" ht="12.75">
      <c r="A45" s="33">
        <v>292</v>
      </c>
      <c r="B45" s="12" t="s">
        <v>45</v>
      </c>
      <c r="C45" s="36">
        <v>5540</v>
      </c>
      <c r="D45" s="36">
        <v>5540</v>
      </c>
      <c r="E45" s="36">
        <f>549+25</f>
        <v>574</v>
      </c>
      <c r="F45" s="383">
        <f>E45/D45</f>
        <v>0.1036101083032491</v>
      </c>
    </row>
    <row r="46" spans="1:6" ht="12.75">
      <c r="A46" s="33">
        <v>292</v>
      </c>
      <c r="B46" s="12" t="s">
        <v>46</v>
      </c>
      <c r="C46" s="36">
        <v>2000</v>
      </c>
      <c r="D46" s="36">
        <v>2000</v>
      </c>
      <c r="E46" s="36">
        <f>106+117</f>
        <v>223</v>
      </c>
      <c r="F46" s="383">
        <f>E45/D45</f>
        <v>0.1036101083032491</v>
      </c>
    </row>
    <row r="47" spans="1:6" ht="12.75">
      <c r="A47" s="33">
        <v>292</v>
      </c>
      <c r="B47" s="12" t="s">
        <v>47</v>
      </c>
      <c r="C47" s="36">
        <v>100</v>
      </c>
      <c r="D47" s="36">
        <v>100</v>
      </c>
      <c r="E47" s="36">
        <v>0</v>
      </c>
      <c r="F47" s="383">
        <f>E46/D46</f>
        <v>0.1115</v>
      </c>
    </row>
    <row r="48" spans="1:6" ht="12.75">
      <c r="A48" s="11">
        <v>292</v>
      </c>
      <c r="B48" s="12" t="s">
        <v>321</v>
      </c>
      <c r="C48" s="13">
        <v>12000</v>
      </c>
      <c r="D48" s="13">
        <v>12000</v>
      </c>
      <c r="E48" s="13">
        <v>1576</v>
      </c>
      <c r="F48" s="383">
        <f>E48/D48</f>
        <v>0.13133333333333333</v>
      </c>
    </row>
    <row r="49" spans="1:6" ht="12.75">
      <c r="A49" s="33">
        <v>292</v>
      </c>
      <c r="B49" s="34" t="s">
        <v>323</v>
      </c>
      <c r="C49" s="35">
        <v>2500</v>
      </c>
      <c r="D49" s="35">
        <v>2500</v>
      </c>
      <c r="E49" s="35">
        <v>269</v>
      </c>
      <c r="F49" s="383">
        <f>E49/D49</f>
        <v>0.1076</v>
      </c>
    </row>
    <row r="50" spans="1:6" ht="13.5" thickBot="1">
      <c r="A50" s="37">
        <v>292</v>
      </c>
      <c r="B50" s="22" t="s">
        <v>48</v>
      </c>
      <c r="C50" s="38">
        <v>0</v>
      </c>
      <c r="D50" s="38">
        <v>0</v>
      </c>
      <c r="E50" s="38">
        <v>0</v>
      </c>
      <c r="F50" s="383">
        <f>E47/D47</f>
        <v>0</v>
      </c>
    </row>
    <row r="51" spans="1:6" ht="13.5" thickBot="1">
      <c r="A51" s="39" t="s">
        <v>49</v>
      </c>
      <c r="B51" s="40"/>
      <c r="C51" s="41">
        <f>SUM(C52:C66)</f>
        <v>400700</v>
      </c>
      <c r="D51" s="41">
        <f>SUM(D52:D66)</f>
        <v>484475</v>
      </c>
      <c r="E51" s="41">
        <f>SUM(E52:E66)</f>
        <v>104409</v>
      </c>
      <c r="F51" s="383">
        <f>E51/D51</f>
        <v>0.21550957221734868</v>
      </c>
    </row>
    <row r="52" spans="1:6" ht="12.75">
      <c r="A52" s="42">
        <v>311</v>
      </c>
      <c r="B52" s="9" t="s">
        <v>50</v>
      </c>
      <c r="C52" s="10">
        <v>0</v>
      </c>
      <c r="D52" s="10">
        <v>0</v>
      </c>
      <c r="E52" s="10">
        <v>0</v>
      </c>
      <c r="F52" s="383">
        <v>0</v>
      </c>
    </row>
    <row r="53" spans="1:6" ht="12.75">
      <c r="A53" s="404">
        <v>312</v>
      </c>
      <c r="B53" s="405" t="s">
        <v>51</v>
      </c>
      <c r="C53" s="406">
        <v>15600</v>
      </c>
      <c r="D53" s="406">
        <v>15600</v>
      </c>
      <c r="E53" s="406">
        <v>1528</v>
      </c>
      <c r="F53" s="383">
        <f aca="true" t="shared" si="1" ref="F53:F69">E53/D53</f>
        <v>0.09794871794871794</v>
      </c>
    </row>
    <row r="54" spans="1:6" ht="12.75">
      <c r="A54" s="165">
        <v>312</v>
      </c>
      <c r="B54" s="166" t="s">
        <v>200</v>
      </c>
      <c r="C54" s="167">
        <v>0</v>
      </c>
      <c r="D54" s="168">
        <v>2431</v>
      </c>
      <c r="E54" s="167">
        <v>2431</v>
      </c>
      <c r="F54" s="383">
        <f t="shared" si="1"/>
        <v>1</v>
      </c>
    </row>
    <row r="55" spans="1:6" ht="12.75">
      <c r="A55" s="42">
        <v>312</v>
      </c>
      <c r="B55" s="12" t="s">
        <v>52</v>
      </c>
      <c r="C55" s="10">
        <v>7200</v>
      </c>
      <c r="D55" s="10">
        <v>7200</v>
      </c>
      <c r="E55" s="10">
        <v>3337</v>
      </c>
      <c r="F55" s="383">
        <f t="shared" si="1"/>
        <v>0.46347222222222223</v>
      </c>
    </row>
    <row r="56" spans="1:6" ht="12.75">
      <c r="A56" s="42">
        <v>312</v>
      </c>
      <c r="B56" s="43" t="s">
        <v>53</v>
      </c>
      <c r="C56" s="10">
        <v>13500</v>
      </c>
      <c r="D56" s="10">
        <v>13500</v>
      </c>
      <c r="E56" s="10">
        <v>157</v>
      </c>
      <c r="F56" s="383">
        <f t="shared" si="1"/>
        <v>0.01162962962962963</v>
      </c>
    </row>
    <row r="57" spans="1:6" ht="12.75">
      <c r="A57" s="42">
        <v>312</v>
      </c>
      <c r="B57" s="43" t="s">
        <v>54</v>
      </c>
      <c r="C57" s="10">
        <v>9400</v>
      </c>
      <c r="D57" s="10">
        <v>9400</v>
      </c>
      <c r="E57" s="10">
        <v>2310</v>
      </c>
      <c r="F57" s="383">
        <f t="shared" si="1"/>
        <v>0.24574468085106382</v>
      </c>
    </row>
    <row r="58" spans="1:6" ht="12.75">
      <c r="A58" s="42">
        <v>312</v>
      </c>
      <c r="B58" s="43" t="s">
        <v>55</v>
      </c>
      <c r="C58" s="10">
        <v>18000</v>
      </c>
      <c r="D58" s="10">
        <v>18000</v>
      </c>
      <c r="E58" s="10">
        <v>4200</v>
      </c>
      <c r="F58" s="383">
        <f t="shared" si="1"/>
        <v>0.23333333333333334</v>
      </c>
    </row>
    <row r="59" spans="1:6" ht="12.75">
      <c r="A59" s="42">
        <v>312</v>
      </c>
      <c r="B59" s="43" t="s">
        <v>201</v>
      </c>
      <c r="C59" s="10">
        <v>0</v>
      </c>
      <c r="D59" s="173">
        <v>14402</v>
      </c>
      <c r="E59" s="390">
        <v>0</v>
      </c>
      <c r="F59" s="383">
        <f t="shared" si="1"/>
        <v>0</v>
      </c>
    </row>
    <row r="60" spans="1:6" ht="12.75">
      <c r="A60" s="42">
        <v>312</v>
      </c>
      <c r="B60" s="43" t="s">
        <v>202</v>
      </c>
      <c r="C60" s="10">
        <v>0</v>
      </c>
      <c r="D60" s="173">
        <v>44465</v>
      </c>
      <c r="E60" s="390">
        <v>0</v>
      </c>
      <c r="F60" s="383">
        <f t="shared" si="1"/>
        <v>0</v>
      </c>
    </row>
    <row r="61" spans="1:6" ht="12.75">
      <c r="A61" s="42">
        <v>312</v>
      </c>
      <c r="B61" s="43" t="s">
        <v>56</v>
      </c>
      <c r="C61" s="10">
        <v>6400</v>
      </c>
      <c r="D61" s="10">
        <v>6400</v>
      </c>
      <c r="E61" s="390">
        <v>0</v>
      </c>
      <c r="F61" s="383">
        <f t="shared" si="1"/>
        <v>0</v>
      </c>
    </row>
    <row r="62" spans="1:6" ht="12.75">
      <c r="A62" s="44">
        <v>312</v>
      </c>
      <c r="B62" s="12" t="s">
        <v>57</v>
      </c>
      <c r="C62" s="13">
        <v>3700</v>
      </c>
      <c r="D62" s="162">
        <f>916+2818</f>
        <v>3734</v>
      </c>
      <c r="E62" s="384">
        <v>0</v>
      </c>
      <c r="F62" s="383">
        <f t="shared" si="1"/>
        <v>0</v>
      </c>
    </row>
    <row r="63" spans="1:6" ht="12.75">
      <c r="A63" s="44">
        <v>312</v>
      </c>
      <c r="B63" s="45" t="s">
        <v>58</v>
      </c>
      <c r="C63" s="46">
        <v>3000</v>
      </c>
      <c r="D63" s="169">
        <v>3021</v>
      </c>
      <c r="E63" s="391">
        <v>2583</v>
      </c>
      <c r="F63" s="383">
        <f t="shared" si="1"/>
        <v>0.8550148957298908</v>
      </c>
    </row>
    <row r="64" spans="1:6" ht="12.75">
      <c r="A64" s="44">
        <v>312</v>
      </c>
      <c r="B64" s="47" t="s">
        <v>59</v>
      </c>
      <c r="C64" s="46">
        <v>3000</v>
      </c>
      <c r="D64" s="169">
        <v>2398</v>
      </c>
      <c r="E64" s="391">
        <v>1199</v>
      </c>
      <c r="F64" s="383">
        <f t="shared" si="1"/>
        <v>0.5</v>
      </c>
    </row>
    <row r="65" spans="1:6" ht="12.75">
      <c r="A65" s="44">
        <v>312</v>
      </c>
      <c r="B65" s="48" t="s">
        <v>60</v>
      </c>
      <c r="C65" s="49">
        <v>317900</v>
      </c>
      <c r="D65" s="164">
        <v>340924</v>
      </c>
      <c r="E65" s="49">
        <v>86664</v>
      </c>
      <c r="F65" s="383">
        <f t="shared" si="1"/>
        <v>0.254203282843097</v>
      </c>
    </row>
    <row r="66" spans="1:6" ht="13.5" thickBot="1">
      <c r="A66" s="44">
        <v>312</v>
      </c>
      <c r="B66" s="12" t="s">
        <v>61</v>
      </c>
      <c r="C66" s="50">
        <v>3000</v>
      </c>
      <c r="D66" s="50">
        <v>3000</v>
      </c>
      <c r="E66" s="50">
        <v>0</v>
      </c>
      <c r="F66" s="383">
        <f t="shared" si="1"/>
        <v>0</v>
      </c>
    </row>
    <row r="67" spans="1:6" ht="16.5" thickBot="1">
      <c r="A67" s="51" t="s">
        <v>62</v>
      </c>
      <c r="B67" s="52"/>
      <c r="C67" s="53">
        <f>SUM(C8+C18+C36+C38+C51)</f>
        <v>1265864</v>
      </c>
      <c r="D67" s="53">
        <f>SUM(D8+D18+D36+D38+D51)</f>
        <v>1356757</v>
      </c>
      <c r="E67" s="53">
        <f>SUM(E8+E18+E36+E38+E51)</f>
        <v>358602</v>
      </c>
      <c r="F67" s="383">
        <f t="shared" si="1"/>
        <v>0.26430819962602</v>
      </c>
    </row>
    <row r="68" spans="1:6" ht="16.5" thickBot="1">
      <c r="A68" s="54"/>
      <c r="B68" s="55" t="s">
        <v>63</v>
      </c>
      <c r="C68" s="56">
        <v>500</v>
      </c>
      <c r="D68" s="386">
        <f>500+400</f>
        <v>900</v>
      </c>
      <c r="E68" s="56">
        <v>0</v>
      </c>
      <c r="F68" s="383">
        <f t="shared" si="1"/>
        <v>0</v>
      </c>
    </row>
    <row r="69" spans="1:6" ht="24" customHeight="1" thickBot="1">
      <c r="A69" s="51" t="s">
        <v>64</v>
      </c>
      <c r="B69" s="40"/>
      <c r="C69" s="53">
        <f>SUM(C67:C68)</f>
        <v>1266364</v>
      </c>
      <c r="D69" s="53">
        <f>SUM(D67:D68)</f>
        <v>1357657</v>
      </c>
      <c r="E69" s="53">
        <f>SUM(E67:E68)</f>
        <v>358602</v>
      </c>
      <c r="F69" s="383">
        <f t="shared" si="1"/>
        <v>0.26413298793436046</v>
      </c>
    </row>
    <row r="70" spans="1:6" ht="15.75">
      <c r="A70" s="57"/>
      <c r="B70" s="58"/>
      <c r="C70" s="58"/>
      <c r="D70" s="59"/>
      <c r="E70" s="59"/>
      <c r="F70" s="383"/>
    </row>
    <row r="71" spans="1:5" ht="16.5" thickBot="1">
      <c r="A71" s="57"/>
      <c r="B71" s="58"/>
      <c r="C71" s="58"/>
      <c r="D71" s="58"/>
      <c r="E71" s="58"/>
    </row>
    <row r="72" spans="1:5" ht="18.75" thickBot="1">
      <c r="A72" s="548" t="s">
        <v>65</v>
      </c>
      <c r="B72" s="549"/>
      <c r="C72" s="549"/>
      <c r="D72" s="549"/>
      <c r="E72" s="550"/>
    </row>
    <row r="73" spans="1:5" ht="12.75">
      <c r="A73" s="515" t="s">
        <v>3</v>
      </c>
      <c r="B73" s="516"/>
      <c r="C73" s="512" t="s">
        <v>4</v>
      </c>
      <c r="D73" s="512" t="s">
        <v>199</v>
      </c>
      <c r="E73" s="512" t="s">
        <v>320</v>
      </c>
    </row>
    <row r="74" spans="1:5" ht="13.5" thickBot="1">
      <c r="A74" s="517"/>
      <c r="B74" s="518"/>
      <c r="C74" s="513"/>
      <c r="D74" s="513"/>
      <c r="E74" s="513"/>
    </row>
    <row r="75" spans="1:6" ht="13.5" thickBot="1">
      <c r="A75" s="63" t="s">
        <v>66</v>
      </c>
      <c r="B75" s="64"/>
      <c r="C75" s="65">
        <f>SUM(C76:C79)</f>
        <v>168951</v>
      </c>
      <c r="D75" s="65">
        <f>SUM(D76:D79)</f>
        <v>170185</v>
      </c>
      <c r="E75" s="65">
        <f>SUM(E76:E79)</f>
        <v>38970</v>
      </c>
      <c r="F75" s="383">
        <f>E75/D75</f>
        <v>0.2289861033581103</v>
      </c>
    </row>
    <row r="76" spans="1:6" ht="12.75">
      <c r="A76" s="66" t="s">
        <v>67</v>
      </c>
      <c r="B76" s="67" t="s">
        <v>68</v>
      </c>
      <c r="C76" s="68">
        <v>136801</v>
      </c>
      <c r="D76" s="68">
        <f>136801</f>
        <v>136801</v>
      </c>
      <c r="E76" s="68">
        <v>32910</v>
      </c>
      <c r="F76" s="383">
        <f>E76/D76</f>
        <v>0.2405684168975373</v>
      </c>
    </row>
    <row r="77" spans="1:6" ht="12.75">
      <c r="A77" s="69" t="s">
        <v>69</v>
      </c>
      <c r="B77" s="43" t="s">
        <v>70</v>
      </c>
      <c r="C77" s="70">
        <v>25450</v>
      </c>
      <c r="D77" s="170">
        <f>25450+930+270</f>
        <v>26650</v>
      </c>
      <c r="E77" s="70">
        <v>5025</v>
      </c>
      <c r="F77" s="383">
        <f aca="true" t="shared" si="2" ref="F77:F132">E77/D77</f>
        <v>0.18855534709193245</v>
      </c>
    </row>
    <row r="78" spans="1:6" ht="12.75">
      <c r="A78" s="71" t="s">
        <v>71</v>
      </c>
      <c r="B78" s="43" t="s">
        <v>72</v>
      </c>
      <c r="C78" s="70">
        <v>3700</v>
      </c>
      <c r="D78" s="170">
        <v>3734</v>
      </c>
      <c r="E78" s="70">
        <v>1035</v>
      </c>
      <c r="F78" s="383">
        <f t="shared" si="2"/>
        <v>0.2771826459560793</v>
      </c>
    </row>
    <row r="79" spans="1:6" ht="13.5" thickBot="1">
      <c r="A79" s="72" t="s">
        <v>73</v>
      </c>
      <c r="B79" s="73" t="s">
        <v>74</v>
      </c>
      <c r="C79" s="74">
        <v>3000</v>
      </c>
      <c r="D79" s="74">
        <v>3000</v>
      </c>
      <c r="E79" s="74">
        <v>0</v>
      </c>
      <c r="F79" s="383">
        <f t="shared" si="2"/>
        <v>0</v>
      </c>
    </row>
    <row r="80" spans="1:6" ht="13.5" thickBot="1">
      <c r="A80" s="521" t="s">
        <v>75</v>
      </c>
      <c r="B80" s="522"/>
      <c r="C80" s="65">
        <f>SUM(C81)</f>
        <v>160</v>
      </c>
      <c r="D80" s="65">
        <f>SUM(D81)</f>
        <v>160</v>
      </c>
      <c r="E80" s="65">
        <f>SUM(E81)</f>
        <v>0</v>
      </c>
      <c r="F80" s="383">
        <f t="shared" si="2"/>
        <v>0</v>
      </c>
    </row>
    <row r="81" spans="1:6" ht="13.5" thickBot="1">
      <c r="A81" s="75" t="s">
        <v>76</v>
      </c>
      <c r="B81" s="58" t="s">
        <v>77</v>
      </c>
      <c r="C81" s="76">
        <v>160</v>
      </c>
      <c r="D81" s="76">
        <v>160</v>
      </c>
      <c r="E81" s="76">
        <v>0</v>
      </c>
      <c r="F81" s="383">
        <f t="shared" si="2"/>
        <v>0</v>
      </c>
    </row>
    <row r="82" spans="1:6" ht="13.5" thickBot="1">
      <c r="A82" s="521" t="s">
        <v>78</v>
      </c>
      <c r="B82" s="522"/>
      <c r="C82" s="65">
        <f>SUM(C83)</f>
        <v>4000</v>
      </c>
      <c r="D82" s="65">
        <f>SUM(D83)</f>
        <v>4000</v>
      </c>
      <c r="E82" s="65">
        <f>SUM(E83)</f>
        <v>380</v>
      </c>
      <c r="F82" s="383">
        <f t="shared" si="2"/>
        <v>0.095</v>
      </c>
    </row>
    <row r="83" spans="1:6" ht="13.5" thickBot="1">
      <c r="A83" s="77" t="s">
        <v>79</v>
      </c>
      <c r="B83" s="78" t="s">
        <v>80</v>
      </c>
      <c r="C83" s="79">
        <v>4000</v>
      </c>
      <c r="D83" s="79">
        <v>4000</v>
      </c>
      <c r="E83" s="79">
        <v>380</v>
      </c>
      <c r="F83" s="383">
        <f t="shared" si="2"/>
        <v>0.095</v>
      </c>
    </row>
    <row r="84" spans="1:6" ht="13.5" thickBot="1">
      <c r="A84" s="63" t="s">
        <v>81</v>
      </c>
      <c r="B84" s="80"/>
      <c r="C84" s="65">
        <f>SUM(C85:C90)</f>
        <v>132710</v>
      </c>
      <c r="D84" s="65">
        <f>SUM(D85:D90)</f>
        <v>194675</v>
      </c>
      <c r="E84" s="65">
        <f>SUM(E85:E90)</f>
        <v>31504</v>
      </c>
      <c r="F84" s="383">
        <f t="shared" si="2"/>
        <v>0.161828688840375</v>
      </c>
    </row>
    <row r="85" spans="1:6" ht="12.75">
      <c r="A85" s="81" t="s">
        <v>82</v>
      </c>
      <c r="B85" s="31" t="s">
        <v>83</v>
      </c>
      <c r="C85" s="32">
        <v>1500</v>
      </c>
      <c r="D85" s="32">
        <v>1500</v>
      </c>
      <c r="E85" s="32">
        <v>211</v>
      </c>
      <c r="F85" s="383">
        <f t="shared" si="2"/>
        <v>0.14066666666666666</v>
      </c>
    </row>
    <row r="86" spans="1:6" ht="12.75">
      <c r="A86" s="71" t="s">
        <v>84</v>
      </c>
      <c r="B86" s="43" t="s">
        <v>85</v>
      </c>
      <c r="C86" s="70">
        <v>14000</v>
      </c>
      <c r="D86" s="70">
        <v>14000</v>
      </c>
      <c r="E86" s="70">
        <v>1402</v>
      </c>
      <c r="F86" s="383">
        <f t="shared" si="2"/>
        <v>0.10014285714285714</v>
      </c>
    </row>
    <row r="87" spans="1:6" ht="12.75">
      <c r="A87" s="71" t="s">
        <v>84</v>
      </c>
      <c r="B87" s="43" t="s">
        <v>204</v>
      </c>
      <c r="C87" s="70">
        <v>0</v>
      </c>
      <c r="D87" s="170">
        <v>15160</v>
      </c>
      <c r="E87" s="70">
        <v>0</v>
      </c>
      <c r="F87" s="383">
        <f t="shared" si="2"/>
        <v>0</v>
      </c>
    </row>
    <row r="88" spans="1:6" ht="12.75">
      <c r="A88" s="71" t="s">
        <v>84</v>
      </c>
      <c r="B88" s="43" t="s">
        <v>203</v>
      </c>
      <c r="C88" s="70">
        <v>0</v>
      </c>
      <c r="D88" s="170">
        <v>46805</v>
      </c>
      <c r="E88" s="70">
        <v>0</v>
      </c>
      <c r="F88" s="383">
        <f t="shared" si="2"/>
        <v>0</v>
      </c>
    </row>
    <row r="89" spans="1:6" ht="12.75">
      <c r="A89" s="71" t="s">
        <v>87</v>
      </c>
      <c r="B89" s="43" t="s">
        <v>88</v>
      </c>
      <c r="C89" s="82">
        <v>15000</v>
      </c>
      <c r="D89" s="82">
        <v>15000</v>
      </c>
      <c r="E89" s="82">
        <v>7770</v>
      </c>
      <c r="F89" s="383">
        <f t="shared" si="2"/>
        <v>0.518</v>
      </c>
    </row>
    <row r="90" spans="1:6" ht="13.5" thickBot="1">
      <c r="A90" s="83" t="s">
        <v>89</v>
      </c>
      <c r="B90" s="84" t="s">
        <v>90</v>
      </c>
      <c r="C90" s="85">
        <v>102210</v>
      </c>
      <c r="D90" s="85">
        <v>102210</v>
      </c>
      <c r="E90" s="85">
        <v>22121</v>
      </c>
      <c r="F90" s="383">
        <f t="shared" si="2"/>
        <v>0.21642696409353293</v>
      </c>
    </row>
    <row r="91" spans="1:6" ht="13.5" thickBot="1">
      <c r="A91" s="63" t="s">
        <v>91</v>
      </c>
      <c r="B91" s="64"/>
      <c r="C91" s="65">
        <f>SUM(C92:C94)</f>
        <v>94940</v>
      </c>
      <c r="D91" s="65">
        <f>SUM(D92:D94)</f>
        <v>94940</v>
      </c>
      <c r="E91" s="65">
        <f>SUM(E92:E94)</f>
        <v>23700</v>
      </c>
      <c r="F91" s="383">
        <f t="shared" si="2"/>
        <v>0.24963134611333473</v>
      </c>
    </row>
    <row r="92" spans="1:6" ht="12.75">
      <c r="A92" s="86" t="s">
        <v>92</v>
      </c>
      <c r="B92" s="87" t="s">
        <v>93</v>
      </c>
      <c r="C92" s="88">
        <v>23800</v>
      </c>
      <c r="D92" s="88">
        <v>23800</v>
      </c>
      <c r="E92" s="88">
        <v>2745</v>
      </c>
      <c r="F92" s="383">
        <f t="shared" si="2"/>
        <v>0.11533613445378152</v>
      </c>
    </row>
    <row r="93" spans="1:6" ht="12.75">
      <c r="A93" s="75" t="s">
        <v>94</v>
      </c>
      <c r="B93" s="89" t="s">
        <v>95</v>
      </c>
      <c r="C93" s="74">
        <v>64900</v>
      </c>
      <c r="D93" s="74">
        <v>64900</v>
      </c>
      <c r="E93" s="74">
        <v>20955</v>
      </c>
      <c r="F93" s="383">
        <f t="shared" si="2"/>
        <v>0.3228813559322034</v>
      </c>
    </row>
    <row r="94" spans="1:6" ht="13.5" thickBot="1">
      <c r="A94" s="90" t="s">
        <v>96</v>
      </c>
      <c r="B94" s="91" t="s">
        <v>97</v>
      </c>
      <c r="C94" s="92">
        <v>6240</v>
      </c>
      <c r="D94" s="92">
        <v>6240</v>
      </c>
      <c r="E94" s="92">
        <v>0</v>
      </c>
      <c r="F94" s="383">
        <f t="shared" si="2"/>
        <v>0</v>
      </c>
    </row>
    <row r="95" spans="1:6" ht="13.5" thickBot="1">
      <c r="A95" s="63" t="s">
        <v>98</v>
      </c>
      <c r="B95" s="80"/>
      <c r="C95" s="65">
        <f>SUM(C96)</f>
        <v>15100</v>
      </c>
      <c r="D95" s="65">
        <f>SUM(D96)</f>
        <v>15100</v>
      </c>
      <c r="E95" s="65">
        <f>SUM(E96)</f>
        <v>2585</v>
      </c>
      <c r="F95" s="383">
        <f t="shared" si="2"/>
        <v>0.17119205298013246</v>
      </c>
    </row>
    <row r="96" spans="1:6" ht="13.5" thickBot="1">
      <c r="A96" s="93" t="s">
        <v>99</v>
      </c>
      <c r="B96" s="84" t="s">
        <v>100</v>
      </c>
      <c r="C96" s="94">
        <v>15100</v>
      </c>
      <c r="D96" s="94">
        <v>15100</v>
      </c>
      <c r="E96" s="94">
        <v>2585</v>
      </c>
      <c r="F96" s="383">
        <f t="shared" si="2"/>
        <v>0.17119205298013246</v>
      </c>
    </row>
    <row r="97" spans="1:6" ht="13.5" thickBot="1">
      <c r="A97" s="95" t="s">
        <v>101</v>
      </c>
      <c r="B97" s="64"/>
      <c r="C97" s="65">
        <f>SUM(C98:C112)</f>
        <v>66520</v>
      </c>
      <c r="D97" s="65">
        <f>SUM(D98:D112)</f>
        <v>67320</v>
      </c>
      <c r="E97" s="65">
        <f>SUM(E98:E112)</f>
        <v>12039</v>
      </c>
      <c r="F97" s="383">
        <f t="shared" si="2"/>
        <v>0.17883244206773619</v>
      </c>
    </row>
    <row r="98" spans="1:6" ht="13.5" thickBot="1">
      <c r="A98" s="90" t="s">
        <v>102</v>
      </c>
      <c r="B98" s="91" t="s">
        <v>103</v>
      </c>
      <c r="C98" s="92">
        <v>3800</v>
      </c>
      <c r="D98" s="92">
        <v>3800</v>
      </c>
      <c r="E98" s="92">
        <v>1440</v>
      </c>
      <c r="F98" s="383">
        <f t="shared" si="2"/>
        <v>0.37894736842105264</v>
      </c>
    </row>
    <row r="99" spans="1:6" ht="12.75">
      <c r="A99" s="96" t="s">
        <v>102</v>
      </c>
      <c r="B99" s="67" t="s">
        <v>104</v>
      </c>
      <c r="C99" s="68">
        <v>7500</v>
      </c>
      <c r="D99" s="68">
        <v>7500</v>
      </c>
      <c r="E99" s="68">
        <v>2000</v>
      </c>
      <c r="F99" s="383">
        <f t="shared" si="2"/>
        <v>0.26666666666666666</v>
      </c>
    </row>
    <row r="100" spans="1:6" ht="12.75">
      <c r="A100" s="96" t="s">
        <v>105</v>
      </c>
      <c r="B100" s="97" t="s">
        <v>106</v>
      </c>
      <c r="C100" s="98">
        <v>16400</v>
      </c>
      <c r="D100" s="392">
        <f>16400+800</f>
        <v>17200</v>
      </c>
      <c r="E100" s="98">
        <v>4637</v>
      </c>
      <c r="F100" s="383">
        <f t="shared" si="2"/>
        <v>0.26959302325581397</v>
      </c>
    </row>
    <row r="101" spans="1:6" ht="12.75">
      <c r="A101" s="71" t="s">
        <v>107</v>
      </c>
      <c r="B101" s="99" t="s">
        <v>108</v>
      </c>
      <c r="C101" s="70">
        <v>1000</v>
      </c>
      <c r="D101" s="70">
        <v>1000</v>
      </c>
      <c r="E101" s="70">
        <v>124</v>
      </c>
      <c r="F101" s="383">
        <f t="shared" si="2"/>
        <v>0.124</v>
      </c>
    </row>
    <row r="102" spans="1:6" ht="13.5" thickBot="1">
      <c r="A102" s="90" t="s">
        <v>109</v>
      </c>
      <c r="B102" s="91" t="s">
        <v>110</v>
      </c>
      <c r="C102" s="92">
        <v>1000</v>
      </c>
      <c r="D102" s="92">
        <v>1000</v>
      </c>
      <c r="E102" s="92">
        <v>226</v>
      </c>
      <c r="F102" s="383">
        <f t="shared" si="2"/>
        <v>0.226</v>
      </c>
    </row>
    <row r="103" spans="1:6" ht="12.75">
      <c r="A103" s="71" t="s">
        <v>111</v>
      </c>
      <c r="B103" s="43" t="s">
        <v>112</v>
      </c>
      <c r="C103" s="70">
        <v>100</v>
      </c>
      <c r="D103" s="70">
        <v>100</v>
      </c>
      <c r="E103" s="70">
        <v>0</v>
      </c>
      <c r="F103" s="383">
        <f t="shared" si="2"/>
        <v>0</v>
      </c>
    </row>
    <row r="104" spans="1:6" ht="12.75">
      <c r="A104" s="71" t="s">
        <v>111</v>
      </c>
      <c r="B104" s="43" t="s">
        <v>113</v>
      </c>
      <c r="C104" s="70">
        <v>1000</v>
      </c>
      <c r="D104" s="70">
        <v>1000</v>
      </c>
      <c r="E104" s="70">
        <v>874</v>
      </c>
      <c r="F104" s="383">
        <f t="shared" si="2"/>
        <v>0.874</v>
      </c>
    </row>
    <row r="105" spans="1:6" ht="12.75">
      <c r="A105" s="71" t="s">
        <v>111</v>
      </c>
      <c r="B105" s="43" t="s">
        <v>114</v>
      </c>
      <c r="C105" s="70">
        <v>2500</v>
      </c>
      <c r="D105" s="70">
        <v>2500</v>
      </c>
      <c r="E105" s="70">
        <v>0</v>
      </c>
      <c r="F105" s="383">
        <f t="shared" si="2"/>
        <v>0</v>
      </c>
    </row>
    <row r="106" spans="1:6" ht="12.75">
      <c r="A106" s="71" t="s">
        <v>111</v>
      </c>
      <c r="B106" s="43" t="s">
        <v>115</v>
      </c>
      <c r="C106" s="70">
        <v>10000</v>
      </c>
      <c r="D106" s="70">
        <v>10000</v>
      </c>
      <c r="E106" s="70">
        <v>0</v>
      </c>
      <c r="F106" s="383">
        <f t="shared" si="2"/>
        <v>0</v>
      </c>
    </row>
    <row r="107" spans="1:6" ht="12.75">
      <c r="A107" s="71" t="s">
        <v>111</v>
      </c>
      <c r="B107" s="43" t="s">
        <v>116</v>
      </c>
      <c r="C107" s="70">
        <v>100</v>
      </c>
      <c r="D107" s="70">
        <v>100</v>
      </c>
      <c r="E107" s="70">
        <v>47</v>
      </c>
      <c r="F107" s="383">
        <f t="shared" si="2"/>
        <v>0.47</v>
      </c>
    </row>
    <row r="108" spans="1:6" ht="12.75">
      <c r="A108" s="71" t="s">
        <v>111</v>
      </c>
      <c r="B108" s="43" t="s">
        <v>117</v>
      </c>
      <c r="C108" s="70">
        <v>700</v>
      </c>
      <c r="D108" s="70">
        <v>700</v>
      </c>
      <c r="E108" s="70">
        <v>0</v>
      </c>
      <c r="F108" s="383">
        <f t="shared" si="2"/>
        <v>0</v>
      </c>
    </row>
    <row r="109" spans="1:6" ht="13.5" thickBot="1">
      <c r="A109" s="90" t="s">
        <v>111</v>
      </c>
      <c r="B109" s="91" t="s">
        <v>118</v>
      </c>
      <c r="C109" s="92">
        <v>10000</v>
      </c>
      <c r="D109" s="92">
        <v>10000</v>
      </c>
      <c r="E109" s="92">
        <v>0</v>
      </c>
      <c r="F109" s="383">
        <f t="shared" si="2"/>
        <v>0</v>
      </c>
    </row>
    <row r="110" spans="1:6" ht="12.75">
      <c r="A110" s="86" t="s">
        <v>119</v>
      </c>
      <c r="B110" s="87" t="s">
        <v>120</v>
      </c>
      <c r="C110" s="88">
        <v>2420</v>
      </c>
      <c r="D110" s="88">
        <v>2420</v>
      </c>
      <c r="E110" s="88">
        <v>1083</v>
      </c>
      <c r="F110" s="383">
        <f t="shared" si="2"/>
        <v>0.44752066115702477</v>
      </c>
    </row>
    <row r="111" spans="1:6" ht="12.75">
      <c r="A111" s="96" t="s">
        <v>121</v>
      </c>
      <c r="B111" s="67" t="s">
        <v>122</v>
      </c>
      <c r="C111" s="68">
        <v>8500</v>
      </c>
      <c r="D111" s="68">
        <v>8500</v>
      </c>
      <c r="E111" s="68">
        <v>1608</v>
      </c>
      <c r="F111" s="383">
        <f t="shared" si="2"/>
        <v>0.1891764705882353</v>
      </c>
    </row>
    <row r="112" spans="1:6" ht="13.5" thickBot="1">
      <c r="A112" s="90" t="s">
        <v>123</v>
      </c>
      <c r="B112" s="91" t="s">
        <v>124</v>
      </c>
      <c r="C112" s="92">
        <v>1500</v>
      </c>
      <c r="D112" s="92">
        <v>1500</v>
      </c>
      <c r="E112" s="92">
        <v>0</v>
      </c>
      <c r="F112" s="383">
        <f t="shared" si="2"/>
        <v>0</v>
      </c>
    </row>
    <row r="113" spans="1:6" ht="13.5" thickBot="1">
      <c r="A113" s="521" t="s">
        <v>125</v>
      </c>
      <c r="B113" s="522"/>
      <c r="C113" s="65">
        <f>SUM(C114:C118)</f>
        <v>276520</v>
      </c>
      <c r="D113" s="65">
        <f>SUM(D114:D118)</f>
        <v>276520</v>
      </c>
      <c r="E113" s="65">
        <f>SUM(E114:E118)</f>
        <v>63380</v>
      </c>
      <c r="F113" s="383">
        <f t="shared" si="2"/>
        <v>0.22920584406191233</v>
      </c>
    </row>
    <row r="114" spans="1:6" ht="12.75">
      <c r="A114" s="100" t="s">
        <v>126</v>
      </c>
      <c r="B114" s="101" t="s">
        <v>127</v>
      </c>
      <c r="C114" s="102">
        <v>90000</v>
      </c>
      <c r="D114" s="102">
        <v>90000</v>
      </c>
      <c r="E114" s="102">
        <v>22546</v>
      </c>
      <c r="F114" s="383">
        <f t="shared" si="2"/>
        <v>0.25051111111111113</v>
      </c>
    </row>
    <row r="115" spans="1:6" ht="12.75">
      <c r="A115" s="103" t="s">
        <v>128</v>
      </c>
      <c r="B115" s="34" t="s">
        <v>129</v>
      </c>
      <c r="C115" s="35">
        <v>0</v>
      </c>
      <c r="D115" s="35">
        <v>0</v>
      </c>
      <c r="E115" s="35">
        <v>0</v>
      </c>
      <c r="F115" s="383">
        <v>0</v>
      </c>
    </row>
    <row r="116" spans="1:6" ht="12.75">
      <c r="A116" s="103" t="s">
        <v>130</v>
      </c>
      <c r="B116" s="34" t="s">
        <v>131</v>
      </c>
      <c r="C116" s="35">
        <v>121340</v>
      </c>
      <c r="D116" s="35">
        <v>121340</v>
      </c>
      <c r="E116" s="35">
        <v>27783</v>
      </c>
      <c r="F116" s="383">
        <f t="shared" si="2"/>
        <v>0.22896818856106807</v>
      </c>
    </row>
    <row r="117" spans="1:6" ht="12.75">
      <c r="A117" s="103" t="s">
        <v>132</v>
      </c>
      <c r="B117" s="34" t="s">
        <v>133</v>
      </c>
      <c r="C117" s="35">
        <v>47180</v>
      </c>
      <c r="D117" s="35">
        <v>47180</v>
      </c>
      <c r="E117" s="35">
        <v>9648</v>
      </c>
      <c r="F117" s="383">
        <f t="shared" si="2"/>
        <v>0.20449342941924545</v>
      </c>
    </row>
    <row r="118" spans="1:6" ht="13.5" thickBot="1">
      <c r="A118" s="83" t="s">
        <v>134</v>
      </c>
      <c r="B118" s="84" t="s">
        <v>135</v>
      </c>
      <c r="C118" s="104">
        <v>18000</v>
      </c>
      <c r="D118" s="104">
        <v>18000</v>
      </c>
      <c r="E118" s="104">
        <v>3403</v>
      </c>
      <c r="F118" s="383">
        <f t="shared" si="2"/>
        <v>0.18905555555555556</v>
      </c>
    </row>
    <row r="119" spans="1:6" ht="13.5" thickBot="1">
      <c r="A119" s="63" t="s">
        <v>136</v>
      </c>
      <c r="B119" s="64"/>
      <c r="C119" s="65">
        <f>SUM(C120:C127)</f>
        <v>99140</v>
      </c>
      <c r="D119" s="65">
        <f>SUM(D120:D127)</f>
        <v>99140</v>
      </c>
      <c r="E119" s="65">
        <f>SUM(E120:E127)</f>
        <v>19318</v>
      </c>
      <c r="F119" s="383">
        <f t="shared" si="2"/>
        <v>0.19485575953197498</v>
      </c>
    </row>
    <row r="120" spans="1:6" ht="12.75">
      <c r="A120" s="96" t="s">
        <v>137</v>
      </c>
      <c r="B120" s="67" t="s">
        <v>138</v>
      </c>
      <c r="C120" s="68">
        <v>61100</v>
      </c>
      <c r="D120" s="68">
        <v>61100</v>
      </c>
      <c r="E120" s="68">
        <v>14665</v>
      </c>
      <c r="F120" s="383">
        <f t="shared" si="2"/>
        <v>0.2400163666121113</v>
      </c>
    </row>
    <row r="121" spans="1:6" ht="12.75">
      <c r="A121" s="71" t="s">
        <v>137</v>
      </c>
      <c r="B121" s="43" t="s">
        <v>139</v>
      </c>
      <c r="C121" s="70">
        <v>1800</v>
      </c>
      <c r="D121" s="70">
        <v>1800</v>
      </c>
      <c r="E121" s="70">
        <v>0</v>
      </c>
      <c r="F121" s="383">
        <f t="shared" si="2"/>
        <v>0</v>
      </c>
    </row>
    <row r="122" spans="1:6" ht="13.5" thickBot="1">
      <c r="A122" s="90" t="s">
        <v>140</v>
      </c>
      <c r="B122" s="91" t="s">
        <v>141</v>
      </c>
      <c r="C122" s="92">
        <v>11000</v>
      </c>
      <c r="D122" s="92">
        <v>11000</v>
      </c>
      <c r="E122" s="92">
        <v>2798</v>
      </c>
      <c r="F122" s="383">
        <f t="shared" si="2"/>
        <v>0.25436363636363635</v>
      </c>
    </row>
    <row r="123" spans="1:6" ht="12.75">
      <c r="A123" s="96" t="s">
        <v>142</v>
      </c>
      <c r="B123" s="67" t="s">
        <v>143</v>
      </c>
      <c r="C123" s="68">
        <v>300</v>
      </c>
      <c r="D123" s="68">
        <v>300</v>
      </c>
      <c r="E123" s="68">
        <v>0</v>
      </c>
      <c r="F123" s="383">
        <f t="shared" si="2"/>
        <v>0</v>
      </c>
    </row>
    <row r="124" spans="1:6" ht="12.75">
      <c r="A124" s="71" t="s">
        <v>144</v>
      </c>
      <c r="B124" s="43" t="s">
        <v>145</v>
      </c>
      <c r="C124" s="70">
        <v>17040</v>
      </c>
      <c r="D124" s="70">
        <v>17040</v>
      </c>
      <c r="E124" s="70">
        <v>214</v>
      </c>
      <c r="F124" s="383">
        <f t="shared" si="2"/>
        <v>0.012558685446009389</v>
      </c>
    </row>
    <row r="125" spans="1:6" ht="12.75">
      <c r="A125" s="71" t="s">
        <v>146</v>
      </c>
      <c r="B125" s="43" t="s">
        <v>147</v>
      </c>
      <c r="C125" s="70">
        <v>7200</v>
      </c>
      <c r="D125" s="70">
        <v>7200</v>
      </c>
      <c r="E125" s="70">
        <v>1641</v>
      </c>
      <c r="F125" s="383">
        <f t="shared" si="2"/>
        <v>0.22791666666666666</v>
      </c>
    </row>
    <row r="126" spans="1:6" ht="12.75">
      <c r="A126" s="71" t="s">
        <v>148</v>
      </c>
      <c r="B126" s="43" t="s">
        <v>149</v>
      </c>
      <c r="C126" s="70">
        <v>400</v>
      </c>
      <c r="D126" s="70">
        <v>400</v>
      </c>
      <c r="E126" s="70">
        <v>0</v>
      </c>
      <c r="F126" s="383">
        <f t="shared" si="2"/>
        <v>0</v>
      </c>
    </row>
    <row r="127" spans="1:6" ht="13.5" thickBot="1">
      <c r="A127" s="90" t="s">
        <v>150</v>
      </c>
      <c r="B127" s="91" t="s">
        <v>151</v>
      </c>
      <c r="C127" s="92">
        <v>300</v>
      </c>
      <c r="D127" s="92">
        <v>300</v>
      </c>
      <c r="E127" s="92">
        <v>0</v>
      </c>
      <c r="F127" s="383">
        <f t="shared" si="2"/>
        <v>0</v>
      </c>
    </row>
    <row r="128" spans="1:6" ht="16.5" thickBot="1">
      <c r="A128" s="105" t="s">
        <v>152</v>
      </c>
      <c r="B128" s="106"/>
      <c r="C128" s="107">
        <f>SUM(C75+C80+C82+C84+C91+C95+C97+C113+C119)</f>
        <v>858041</v>
      </c>
      <c r="D128" s="107">
        <f>SUM(D75+D80+D82+D84+D91+D95+D97+D113+D119)</f>
        <v>922040</v>
      </c>
      <c r="E128" s="107">
        <f>SUM(E75+E80+E82+E84+E91+E95+E97+E113+E119)</f>
        <v>191876</v>
      </c>
      <c r="F128" s="383">
        <f t="shared" si="2"/>
        <v>0.2080994316949373</v>
      </c>
    </row>
    <row r="129" spans="1:6" ht="12.75">
      <c r="A129" s="108" t="s">
        <v>128</v>
      </c>
      <c r="B129" s="109" t="s">
        <v>153</v>
      </c>
      <c r="C129" s="110">
        <f>C53+C65+C68+C44</f>
        <v>334000</v>
      </c>
      <c r="D129" s="172">
        <f>D53+D65+D68+D44</f>
        <v>358865</v>
      </c>
      <c r="E129" s="110">
        <f>E53+E65+E68+E44</f>
        <v>89633</v>
      </c>
      <c r="F129" s="383">
        <f t="shared" si="2"/>
        <v>0.24976801861424214</v>
      </c>
    </row>
    <row r="130" spans="1:6" ht="12.75">
      <c r="A130" s="111" t="s">
        <v>154</v>
      </c>
      <c r="B130" s="48" t="s">
        <v>155</v>
      </c>
      <c r="C130" s="112">
        <v>17000</v>
      </c>
      <c r="D130" s="393">
        <v>17200</v>
      </c>
      <c r="E130" s="112">
        <v>4400</v>
      </c>
      <c r="F130" s="383">
        <f t="shared" si="2"/>
        <v>0.2558139534883721</v>
      </c>
    </row>
    <row r="131" spans="1:6" ht="13.5" thickBot="1">
      <c r="A131" s="527" t="s">
        <v>156</v>
      </c>
      <c r="B131" s="528"/>
      <c r="C131" s="113">
        <f>SUM(C129:C130)</f>
        <v>351000</v>
      </c>
      <c r="D131" s="113">
        <f>SUM(D129:D130)</f>
        <v>376065</v>
      </c>
      <c r="E131" s="113">
        <f>SUM(E129:E130)</f>
        <v>94033</v>
      </c>
      <c r="F131" s="383">
        <f t="shared" si="2"/>
        <v>0.25004454017257655</v>
      </c>
    </row>
    <row r="132" spans="1:6" ht="26.25" customHeight="1" thickBot="1">
      <c r="A132" s="114" t="s">
        <v>157</v>
      </c>
      <c r="B132" s="80"/>
      <c r="C132" s="115">
        <f>C128+C131</f>
        <v>1209041</v>
      </c>
      <c r="D132" s="115">
        <f>D128+D131</f>
        <v>1298105</v>
      </c>
      <c r="E132" s="115">
        <f>E128+E131</f>
        <v>285909</v>
      </c>
      <c r="F132" s="383">
        <f t="shared" si="2"/>
        <v>0.22025105827340624</v>
      </c>
    </row>
    <row r="133" ht="12.75">
      <c r="F133" s="383"/>
    </row>
    <row r="135" spans="1:5" ht="13.5" thickBot="1">
      <c r="A135" s="116"/>
      <c r="B135" s="117"/>
      <c r="C135" s="117"/>
      <c r="D135" s="117"/>
      <c r="E135" s="117"/>
    </row>
    <row r="136" spans="1:5" ht="18.75" thickBot="1">
      <c r="A136" s="545" t="s">
        <v>158</v>
      </c>
      <c r="B136" s="546"/>
      <c r="C136" s="546"/>
      <c r="D136" s="546"/>
      <c r="E136" s="547"/>
    </row>
    <row r="137" spans="1:5" ht="12.75">
      <c r="A137" s="515" t="s">
        <v>3</v>
      </c>
      <c r="B137" s="516"/>
      <c r="C137" s="512" t="s">
        <v>4</v>
      </c>
      <c r="D137" s="512" t="s">
        <v>199</v>
      </c>
      <c r="E137" s="512" t="s">
        <v>320</v>
      </c>
    </row>
    <row r="138" spans="1:5" ht="13.5" thickBot="1">
      <c r="A138" s="523"/>
      <c r="B138" s="524"/>
      <c r="C138" s="513"/>
      <c r="D138" s="513"/>
      <c r="E138" s="513"/>
    </row>
    <row r="139" spans="1:6" ht="16.5" thickBot="1">
      <c r="A139" s="529" t="s">
        <v>159</v>
      </c>
      <c r="B139" s="530"/>
      <c r="C139" s="121">
        <f>SUM(C140:C143)</f>
        <v>210370</v>
      </c>
      <c r="D139" s="121">
        <f>SUM(D140:D143)</f>
        <v>589925</v>
      </c>
      <c r="E139" s="121">
        <f>SUM(E140:E143)</f>
        <v>0</v>
      </c>
      <c r="F139" s="383">
        <f>E139/D139</f>
        <v>0</v>
      </c>
    </row>
    <row r="140" spans="1:6" ht="13.5" thickBot="1">
      <c r="A140" s="122">
        <v>230</v>
      </c>
      <c r="B140" s="123" t="s">
        <v>160</v>
      </c>
      <c r="C140" s="124">
        <v>30000</v>
      </c>
      <c r="D140" s="124">
        <v>30000</v>
      </c>
      <c r="E140" s="124">
        <v>0</v>
      </c>
      <c r="F140" s="383">
        <f>E140/D140</f>
        <v>0</v>
      </c>
    </row>
    <row r="141" spans="1:6" ht="12.75">
      <c r="A141" s="42">
        <v>322</v>
      </c>
      <c r="B141" s="67" t="s">
        <v>161</v>
      </c>
      <c r="C141" s="68">
        <v>0</v>
      </c>
      <c r="D141" s="171">
        <v>326446</v>
      </c>
      <c r="E141" s="68">
        <v>0</v>
      </c>
      <c r="F141" s="383">
        <f aca="true" t="shared" si="3" ref="F141:F153">E141/D141</f>
        <v>0</v>
      </c>
    </row>
    <row r="142" spans="1:6" ht="12.75">
      <c r="A142" s="42">
        <v>322</v>
      </c>
      <c r="B142" s="67" t="s">
        <v>162</v>
      </c>
      <c r="C142" s="68"/>
      <c r="D142" s="171">
        <v>53105</v>
      </c>
      <c r="E142" s="68">
        <v>0</v>
      </c>
      <c r="F142" s="383">
        <f t="shared" si="3"/>
        <v>0</v>
      </c>
    </row>
    <row r="143" spans="1:6" ht="13.5" thickBot="1">
      <c r="A143" s="44">
        <v>322</v>
      </c>
      <c r="B143" s="43" t="s">
        <v>163</v>
      </c>
      <c r="C143" s="70">
        <v>180370</v>
      </c>
      <c r="D143" s="170">
        <v>180374</v>
      </c>
      <c r="E143" s="70">
        <v>0</v>
      </c>
      <c r="F143" s="383">
        <f t="shared" si="3"/>
        <v>0</v>
      </c>
    </row>
    <row r="144" spans="1:7" ht="16.5" thickBot="1">
      <c r="A144" s="529" t="s">
        <v>164</v>
      </c>
      <c r="B144" s="530"/>
      <c r="C144" s="121">
        <f>SUM(C145:C153)</f>
        <v>257420</v>
      </c>
      <c r="D144" s="121">
        <f>SUM(D145:D153)</f>
        <v>656948</v>
      </c>
      <c r="E144" s="121">
        <f>SUM(E145:E153)</f>
        <v>0</v>
      </c>
      <c r="F144" s="383">
        <f t="shared" si="3"/>
        <v>0</v>
      </c>
      <c r="G144" s="161">
        <f>D144-D139</f>
        <v>67023</v>
      </c>
    </row>
    <row r="145" spans="1:6" ht="12.75">
      <c r="A145" s="71" t="s">
        <v>84</v>
      </c>
      <c r="B145" s="12" t="s">
        <v>165</v>
      </c>
      <c r="C145" s="13">
        <v>0</v>
      </c>
      <c r="D145" s="13">
        <v>0</v>
      </c>
      <c r="E145" s="388">
        <v>0</v>
      </c>
      <c r="F145" s="383">
        <v>0</v>
      </c>
    </row>
    <row r="146" spans="1:6" ht="12.75">
      <c r="A146" s="125" t="s">
        <v>84</v>
      </c>
      <c r="B146" s="12" t="s">
        <v>166</v>
      </c>
      <c r="C146" s="13">
        <v>30000</v>
      </c>
      <c r="D146" s="13">
        <v>30000</v>
      </c>
      <c r="E146" s="388">
        <v>0</v>
      </c>
      <c r="F146" s="383">
        <f t="shared" si="3"/>
        <v>0</v>
      </c>
    </row>
    <row r="147" spans="1:6" ht="12.75">
      <c r="A147" s="103" t="s">
        <v>84</v>
      </c>
      <c r="B147" s="126" t="s">
        <v>167</v>
      </c>
      <c r="C147" s="13">
        <v>0</v>
      </c>
      <c r="D147" s="13">
        <v>0</v>
      </c>
      <c r="E147" s="388">
        <v>0</v>
      </c>
      <c r="F147" s="383">
        <v>0</v>
      </c>
    </row>
    <row r="148" spans="1:6" ht="12.75">
      <c r="A148" s="66" t="s">
        <v>89</v>
      </c>
      <c r="B148" s="127" t="s">
        <v>168</v>
      </c>
      <c r="C148" s="10">
        <v>7550</v>
      </c>
      <c r="D148" s="10">
        <v>7550</v>
      </c>
      <c r="E148" s="389">
        <v>0</v>
      </c>
      <c r="F148" s="383">
        <f t="shared" si="3"/>
        <v>0</v>
      </c>
    </row>
    <row r="149" spans="1:6" ht="12.75">
      <c r="A149" s="66" t="s">
        <v>92</v>
      </c>
      <c r="B149" s="9" t="s">
        <v>169</v>
      </c>
      <c r="C149" s="13">
        <v>0</v>
      </c>
      <c r="D149" s="162">
        <v>343628</v>
      </c>
      <c r="E149" s="388">
        <v>0</v>
      </c>
      <c r="F149" s="383">
        <f t="shared" si="3"/>
        <v>0</v>
      </c>
    </row>
    <row r="150" spans="1:6" ht="12.75">
      <c r="A150" s="103" t="s">
        <v>94</v>
      </c>
      <c r="B150" s="126" t="s">
        <v>170</v>
      </c>
      <c r="C150" s="13">
        <v>30000</v>
      </c>
      <c r="D150" s="13">
        <v>30000</v>
      </c>
      <c r="E150" s="388">
        <v>0</v>
      </c>
      <c r="F150" s="383">
        <f t="shared" si="3"/>
        <v>0</v>
      </c>
    </row>
    <row r="151" spans="1:6" ht="12.75">
      <c r="A151" s="71" t="s">
        <v>94</v>
      </c>
      <c r="B151" s="12" t="s">
        <v>171</v>
      </c>
      <c r="C151" s="13">
        <v>0</v>
      </c>
      <c r="D151" s="162">
        <v>55900</v>
      </c>
      <c r="E151" s="388">
        <v>0</v>
      </c>
      <c r="F151" s="383">
        <f t="shared" si="3"/>
        <v>0</v>
      </c>
    </row>
    <row r="152" spans="1:6" ht="12.75">
      <c r="A152" s="69" t="s">
        <v>172</v>
      </c>
      <c r="B152" s="12" t="s">
        <v>174</v>
      </c>
      <c r="C152" s="13">
        <v>0</v>
      </c>
      <c r="D152" s="13">
        <v>0</v>
      </c>
      <c r="E152" s="388">
        <v>0</v>
      </c>
      <c r="F152" s="383">
        <v>0</v>
      </c>
    </row>
    <row r="153" spans="1:6" ht="13.5" thickBot="1">
      <c r="A153" s="129" t="s">
        <v>99</v>
      </c>
      <c r="B153" s="15" t="s">
        <v>175</v>
      </c>
      <c r="C153" s="16">
        <v>189870</v>
      </c>
      <c r="D153" s="16">
        <v>189870</v>
      </c>
      <c r="E153" s="16">
        <v>0</v>
      </c>
      <c r="F153" s="383">
        <f t="shared" si="3"/>
        <v>0</v>
      </c>
    </row>
    <row r="154" ht="12.75">
      <c r="F154" s="383"/>
    </row>
    <row r="156" ht="12.75" customHeight="1"/>
    <row r="158" spans="1:5" ht="12.75">
      <c r="A158" s="130"/>
      <c r="B158" s="131"/>
      <c r="C158" s="131"/>
      <c r="D158" s="131"/>
      <c r="E158" s="131"/>
    </row>
    <row r="159" spans="1:5" ht="13.5" thickBot="1">
      <c r="A159" s="131"/>
      <c r="B159" s="117"/>
      <c r="C159" s="117"/>
      <c r="D159" s="117"/>
      <c r="E159" s="117"/>
    </row>
    <row r="160" spans="1:5" ht="18.75" thickBot="1">
      <c r="A160" s="534" t="s">
        <v>176</v>
      </c>
      <c r="B160" s="535"/>
      <c r="C160" s="535"/>
      <c r="D160" s="535"/>
      <c r="E160" s="536"/>
    </row>
    <row r="161" spans="1:5" ht="12.75">
      <c r="A161" s="515" t="s">
        <v>3</v>
      </c>
      <c r="B161" s="516"/>
      <c r="C161" s="512" t="s">
        <v>4</v>
      </c>
      <c r="D161" s="512" t="s">
        <v>199</v>
      </c>
      <c r="E161" s="512" t="s">
        <v>320</v>
      </c>
    </row>
    <row r="162" spans="1:5" ht="13.5" thickBot="1">
      <c r="A162" s="523"/>
      <c r="B162" s="524"/>
      <c r="C162" s="513"/>
      <c r="D162" s="513"/>
      <c r="E162" s="513"/>
    </row>
    <row r="163" spans="1:6" ht="16.5" thickBot="1">
      <c r="A163" s="525" t="s">
        <v>177</v>
      </c>
      <c r="B163" s="526"/>
      <c r="C163" s="135">
        <f>SUM(C164:C166)</f>
        <v>30427</v>
      </c>
      <c r="D163" s="135">
        <f>SUM(D164:D166)</f>
        <v>48171</v>
      </c>
      <c r="E163" s="135">
        <f>SUM(E164:E166)</f>
        <v>0</v>
      </c>
      <c r="F163" s="383">
        <f>E163/D163</f>
        <v>0</v>
      </c>
    </row>
    <row r="164" spans="1:6" ht="12.75">
      <c r="A164" s="136">
        <v>411</v>
      </c>
      <c r="B164" s="137" t="s">
        <v>178</v>
      </c>
      <c r="C164" s="138">
        <v>427</v>
      </c>
      <c r="D164" s="138">
        <v>427</v>
      </c>
      <c r="E164" s="138">
        <v>0</v>
      </c>
      <c r="F164" s="383">
        <f>E164/D164</f>
        <v>0</v>
      </c>
    </row>
    <row r="165" spans="1:6" ht="12.75">
      <c r="A165" s="139">
        <v>454</v>
      </c>
      <c r="B165" s="45" t="s">
        <v>179</v>
      </c>
      <c r="C165" s="46">
        <v>0</v>
      </c>
      <c r="D165" s="46">
        <v>0</v>
      </c>
      <c r="E165" s="46">
        <v>0</v>
      </c>
      <c r="F165" s="383">
        <v>0</v>
      </c>
    </row>
    <row r="166" spans="1:6" ht="13.5" thickBot="1">
      <c r="A166" s="140">
        <v>513</v>
      </c>
      <c r="B166" s="141" t="s">
        <v>180</v>
      </c>
      <c r="C166" s="142">
        <v>30000</v>
      </c>
      <c r="D166" s="174">
        <f>30000+17744</f>
        <v>47744</v>
      </c>
      <c r="E166" s="387">
        <v>0</v>
      </c>
      <c r="F166" s="383">
        <f>E166/D166</f>
        <v>0</v>
      </c>
    </row>
    <row r="167" spans="1:6" ht="16.5" thickBot="1">
      <c r="A167" s="525" t="s">
        <v>181</v>
      </c>
      <c r="B167" s="526"/>
      <c r="C167" s="135">
        <f>SUM(C168:C169)</f>
        <v>40700</v>
      </c>
      <c r="D167" s="135">
        <f>SUM(D168:D169)</f>
        <v>40700</v>
      </c>
      <c r="E167" s="135">
        <f>SUM(E168:E169)</f>
        <v>7510</v>
      </c>
      <c r="F167" s="383">
        <f>E167/D167</f>
        <v>0.18452088452088453</v>
      </c>
    </row>
    <row r="168" spans="1:6" ht="12.75">
      <c r="A168" s="143">
        <v>821</v>
      </c>
      <c r="B168" s="137" t="s">
        <v>182</v>
      </c>
      <c r="C168" s="144">
        <v>40000</v>
      </c>
      <c r="D168" s="144">
        <v>40000</v>
      </c>
      <c r="E168" s="144">
        <v>7351</v>
      </c>
      <c r="F168" s="383">
        <f>E168/D168</f>
        <v>0.183775</v>
      </c>
    </row>
    <row r="169" spans="1:6" ht="13.5" thickBot="1">
      <c r="A169" s="29">
        <v>821</v>
      </c>
      <c r="B169" s="145" t="s">
        <v>183</v>
      </c>
      <c r="C169" s="146">
        <v>700</v>
      </c>
      <c r="D169" s="146">
        <v>700</v>
      </c>
      <c r="E169" s="146">
        <v>159</v>
      </c>
      <c r="F169" s="383">
        <f>E169/D169</f>
        <v>0.22714285714285715</v>
      </c>
    </row>
    <row r="170" spans="1:6" ht="15.75">
      <c r="A170" s="57"/>
      <c r="B170" s="116"/>
      <c r="C170" s="116"/>
      <c r="D170" s="116"/>
      <c r="E170" s="116"/>
      <c r="F170" s="383"/>
    </row>
    <row r="171" spans="1:5" ht="12.75" customHeight="1">
      <c r="A171" s="57"/>
      <c r="B171" s="116"/>
      <c r="C171" s="116"/>
      <c r="D171" s="116"/>
      <c r="E171" s="116"/>
    </row>
    <row r="172" spans="1:5" ht="15.75">
      <c r="A172" s="57"/>
      <c r="B172" s="116"/>
      <c r="C172" s="116"/>
      <c r="D172" s="116"/>
      <c r="E172" s="116"/>
    </row>
    <row r="173" spans="1:5" ht="15.75">
      <c r="A173" s="57"/>
      <c r="B173" s="116"/>
      <c r="C173" s="116"/>
      <c r="D173" s="116"/>
      <c r="E173" s="116"/>
    </row>
    <row r="174" spans="2:5" ht="13.5" thickBot="1">
      <c r="B174" s="117"/>
      <c r="C174" s="117"/>
      <c r="D174" s="117"/>
      <c r="E174" s="117"/>
    </row>
    <row r="175" spans="1:5" ht="18.75" thickBot="1">
      <c r="A175" s="539" t="s">
        <v>184</v>
      </c>
      <c r="B175" s="540"/>
      <c r="C175" s="540"/>
      <c r="D175" s="540"/>
      <c r="E175" s="541"/>
    </row>
    <row r="176" spans="1:5" ht="12.75">
      <c r="A176" s="515" t="s">
        <v>3</v>
      </c>
      <c r="B176" s="516"/>
      <c r="C176" s="512" t="s">
        <v>4</v>
      </c>
      <c r="D176" s="512" t="s">
        <v>199</v>
      </c>
      <c r="E176" s="512" t="s">
        <v>320</v>
      </c>
    </row>
    <row r="177" spans="1:5" ht="13.5" thickBot="1">
      <c r="A177" s="501"/>
      <c r="B177" s="502"/>
      <c r="C177" s="513"/>
      <c r="D177" s="513"/>
      <c r="E177" s="513"/>
    </row>
    <row r="178" spans="1:5" ht="15">
      <c r="A178" s="150" t="s">
        <v>185</v>
      </c>
      <c r="B178" s="19"/>
      <c r="C178" s="88">
        <f>C69</f>
        <v>1266364</v>
      </c>
      <c r="D178" s="88">
        <f>D69</f>
        <v>1357657</v>
      </c>
      <c r="E178" s="88">
        <f>E69</f>
        <v>358602</v>
      </c>
    </row>
    <row r="179" spans="1:5" ht="15">
      <c r="A179" s="151" t="s">
        <v>186</v>
      </c>
      <c r="B179" s="12"/>
      <c r="C179" s="70">
        <f>C132</f>
        <v>1209041</v>
      </c>
      <c r="D179" s="70">
        <f>D132</f>
        <v>1298105</v>
      </c>
      <c r="E179" s="70">
        <f>E132</f>
        <v>285909</v>
      </c>
    </row>
    <row r="180" spans="1:5" ht="15.75">
      <c r="A180" s="152"/>
      <c r="B180" s="153" t="s">
        <v>187</v>
      </c>
      <c r="C180" s="154">
        <f>C178-C179</f>
        <v>57323</v>
      </c>
      <c r="D180" s="154">
        <f>D178-D179</f>
        <v>59552</v>
      </c>
      <c r="E180" s="154">
        <f>E178-E179</f>
        <v>72693</v>
      </c>
    </row>
    <row r="181" spans="1:5" ht="15">
      <c r="A181" s="151" t="s">
        <v>188</v>
      </c>
      <c r="B181" s="12"/>
      <c r="C181" s="70">
        <f>C139</f>
        <v>210370</v>
      </c>
      <c r="D181" s="70">
        <f>D139</f>
        <v>589925</v>
      </c>
      <c r="E181" s="70">
        <f>E139</f>
        <v>0</v>
      </c>
    </row>
    <row r="182" spans="1:5" ht="15">
      <c r="A182" s="151" t="s">
        <v>189</v>
      </c>
      <c r="B182" s="12"/>
      <c r="C182" s="13">
        <f>C144</f>
        <v>257420</v>
      </c>
      <c r="D182" s="13">
        <f>D144</f>
        <v>656948</v>
      </c>
      <c r="E182" s="13">
        <f>E144</f>
        <v>0</v>
      </c>
    </row>
    <row r="183" spans="1:5" ht="15.75">
      <c r="A183" s="152"/>
      <c r="B183" s="155" t="s">
        <v>190</v>
      </c>
      <c r="C183" s="154">
        <f>C181-C182</f>
        <v>-47050</v>
      </c>
      <c r="D183" s="154">
        <f>D181-D182</f>
        <v>-67023</v>
      </c>
      <c r="E183" s="154">
        <f>E181-E182</f>
        <v>0</v>
      </c>
    </row>
    <row r="184" spans="1:5" ht="15">
      <c r="A184" s="500" t="s">
        <v>191</v>
      </c>
      <c r="B184" s="533"/>
      <c r="C184" s="82">
        <f>C163</f>
        <v>30427</v>
      </c>
      <c r="D184" s="82">
        <f>D163</f>
        <v>48171</v>
      </c>
      <c r="E184" s="82">
        <f>E163</f>
        <v>0</v>
      </c>
    </row>
    <row r="185" spans="1:5" ht="15">
      <c r="A185" s="500" t="s">
        <v>192</v>
      </c>
      <c r="B185" s="533"/>
      <c r="C185" s="82">
        <f>C167</f>
        <v>40700</v>
      </c>
      <c r="D185" s="82">
        <f>D167</f>
        <v>40700</v>
      </c>
      <c r="E185" s="82">
        <f>E167</f>
        <v>7510</v>
      </c>
    </row>
    <row r="186" spans="1:5" ht="16.5" thickBot="1">
      <c r="A186" s="156"/>
      <c r="B186" s="157" t="s">
        <v>193</v>
      </c>
      <c r="C186" s="158">
        <f>C184-C185</f>
        <v>-10273</v>
      </c>
      <c r="D186" s="158">
        <f>D184-D185</f>
        <v>7471</v>
      </c>
      <c r="E186" s="158">
        <f>E184-E185</f>
        <v>-7510</v>
      </c>
    </row>
    <row r="187" spans="1:5" ht="16.5" thickBot="1">
      <c r="A187" s="531" t="s">
        <v>194</v>
      </c>
      <c r="B187" s="532"/>
      <c r="C187" s="159">
        <f>C180+C183+C186</f>
        <v>0</v>
      </c>
      <c r="D187" s="159">
        <f>D180+D183+D186</f>
        <v>0</v>
      </c>
      <c r="E187" s="159">
        <f>E180+E183+E186</f>
        <v>65183</v>
      </c>
    </row>
    <row r="189" spans="2:5" ht="12.75">
      <c r="B189" s="160" t="s">
        <v>195</v>
      </c>
      <c r="C189" s="161">
        <f aca="true" t="shared" si="4" ref="C189:E190">C178+C181+C184</f>
        <v>1507161</v>
      </c>
      <c r="D189" s="161">
        <f t="shared" si="4"/>
        <v>1995753</v>
      </c>
      <c r="E189" s="161">
        <f t="shared" si="4"/>
        <v>358602</v>
      </c>
    </row>
    <row r="190" spans="2:5" ht="12.75">
      <c r="B190" s="160" t="s">
        <v>196</v>
      </c>
      <c r="C190" s="161">
        <f t="shared" si="4"/>
        <v>1507161</v>
      </c>
      <c r="D190" s="161">
        <f t="shared" si="4"/>
        <v>1995753</v>
      </c>
      <c r="E190" s="161">
        <f t="shared" si="4"/>
        <v>293419</v>
      </c>
    </row>
    <row r="191" spans="2:5" ht="12.75">
      <c r="B191" s="160"/>
      <c r="C191" s="161"/>
      <c r="D191" s="161"/>
      <c r="E191" s="161"/>
    </row>
    <row r="192" spans="2:5" ht="12.75">
      <c r="B192" s="160" t="s">
        <v>197</v>
      </c>
      <c r="C192" s="161">
        <f>C189-C68</f>
        <v>1506661</v>
      </c>
      <c r="D192" s="161">
        <f>D189-D68</f>
        <v>1994853</v>
      </c>
      <c r="E192" s="161">
        <f>E189-E68</f>
        <v>358602</v>
      </c>
    </row>
    <row r="193" spans="2:5" ht="12.75">
      <c r="B193" s="160" t="s">
        <v>198</v>
      </c>
      <c r="C193" s="161">
        <f>C190-C131</f>
        <v>1156161</v>
      </c>
      <c r="D193" s="161">
        <f>D190-D131</f>
        <v>1619688</v>
      </c>
      <c r="E193" s="161">
        <f>E190-E131</f>
        <v>199386</v>
      </c>
    </row>
  </sheetData>
  <sheetProtection/>
  <mergeCells count="44">
    <mergeCell ref="A1:E1"/>
    <mergeCell ref="A6:B7"/>
    <mergeCell ref="C6:C7"/>
    <mergeCell ref="D6:D7"/>
    <mergeCell ref="A2:D2"/>
    <mergeCell ref="A3:D3"/>
    <mergeCell ref="A4:D4"/>
    <mergeCell ref="A5:E5"/>
    <mergeCell ref="E6:E7"/>
    <mergeCell ref="A73:B74"/>
    <mergeCell ref="C73:C74"/>
    <mergeCell ref="D73:D74"/>
    <mergeCell ref="A8:B8"/>
    <mergeCell ref="A18:B18"/>
    <mergeCell ref="A36:B36"/>
    <mergeCell ref="A38:B38"/>
    <mergeCell ref="A167:B167"/>
    <mergeCell ref="A137:B138"/>
    <mergeCell ref="C137:C138"/>
    <mergeCell ref="D137:D138"/>
    <mergeCell ref="A80:B80"/>
    <mergeCell ref="A82:B82"/>
    <mergeCell ref="A113:B113"/>
    <mergeCell ref="A131:B131"/>
    <mergeCell ref="A187:B187"/>
    <mergeCell ref="A176:B177"/>
    <mergeCell ref="E176:E177"/>
    <mergeCell ref="A72:E72"/>
    <mergeCell ref="A136:E136"/>
    <mergeCell ref="A160:E160"/>
    <mergeCell ref="A175:E175"/>
    <mergeCell ref="E73:E74"/>
    <mergeCell ref="A139:B139"/>
    <mergeCell ref="A144:B144"/>
    <mergeCell ref="E137:E138"/>
    <mergeCell ref="E161:E162"/>
    <mergeCell ref="A184:B184"/>
    <mergeCell ref="A185:B185"/>
    <mergeCell ref="A161:B162"/>
    <mergeCell ref="C161:C162"/>
    <mergeCell ref="C176:C177"/>
    <mergeCell ref="D176:D177"/>
    <mergeCell ref="D161:D162"/>
    <mergeCell ref="A163:B1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45.57421875" style="0" customWidth="1"/>
    <col min="3" max="3" width="15.00390625" style="0" customWidth="1"/>
  </cols>
  <sheetData>
    <row r="1" spans="1:3" ht="20.25">
      <c r="A1" s="514" t="s">
        <v>205</v>
      </c>
      <c r="B1" s="514"/>
      <c r="C1" s="514"/>
    </row>
    <row r="2" spans="1:3" ht="12.75">
      <c r="A2" s="511" t="s">
        <v>1</v>
      </c>
      <c r="B2" s="511"/>
      <c r="C2" s="511"/>
    </row>
    <row r="3" spans="1:3" ht="12.75">
      <c r="A3" s="551"/>
      <c r="B3" s="551"/>
      <c r="C3" s="551"/>
    </row>
    <row r="4" spans="1:3" ht="13.5" thickBot="1">
      <c r="A4" s="551"/>
      <c r="B4" s="551"/>
      <c r="C4" s="551"/>
    </row>
    <row r="5" spans="1:3" ht="18.75" thickBot="1">
      <c r="A5" s="542" t="s">
        <v>2</v>
      </c>
      <c r="B5" s="543"/>
      <c r="C5" s="544"/>
    </row>
    <row r="6" spans="1:3" ht="12.75" customHeight="1">
      <c r="A6" s="515" t="s">
        <v>3</v>
      </c>
      <c r="B6" s="516"/>
      <c r="C6" s="512" t="s">
        <v>4</v>
      </c>
    </row>
    <row r="7" spans="1:3" ht="13.5" thickBot="1">
      <c r="A7" s="517"/>
      <c r="B7" s="518"/>
      <c r="C7" s="513"/>
    </row>
    <row r="8" spans="1:3" ht="13.5" thickBot="1">
      <c r="A8" s="519" t="s">
        <v>7</v>
      </c>
      <c r="B8" s="520"/>
      <c r="C8" s="4">
        <f>SUM(C9:C17)</f>
        <v>696283</v>
      </c>
    </row>
    <row r="9" spans="1:3" ht="13.5" thickBot="1">
      <c r="A9" s="5">
        <v>111</v>
      </c>
      <c r="B9" s="6" t="s">
        <v>8</v>
      </c>
      <c r="C9" s="7">
        <v>644000</v>
      </c>
    </row>
    <row r="10" spans="1:3" ht="12.75">
      <c r="A10" s="8">
        <v>121</v>
      </c>
      <c r="B10" s="9" t="s">
        <v>9</v>
      </c>
      <c r="C10" s="10">
        <v>13200</v>
      </c>
    </row>
    <row r="11" spans="1:3" ht="12.75">
      <c r="A11" s="11">
        <v>121</v>
      </c>
      <c r="B11" s="12" t="s">
        <v>10</v>
      </c>
      <c r="C11" s="13">
        <v>17000</v>
      </c>
    </row>
    <row r="12" spans="1:3" ht="13.5" thickBot="1">
      <c r="A12" s="14">
        <v>121</v>
      </c>
      <c r="B12" s="15" t="s">
        <v>11</v>
      </c>
      <c r="C12" s="16">
        <v>73</v>
      </c>
    </row>
    <row r="13" spans="1:3" ht="12.75">
      <c r="A13" s="8">
        <v>133</v>
      </c>
      <c r="B13" s="9" t="s">
        <v>12</v>
      </c>
      <c r="C13" s="10">
        <v>950</v>
      </c>
    </row>
    <row r="14" spans="1:3" ht="12.75">
      <c r="A14" s="11">
        <v>133</v>
      </c>
      <c r="B14" s="12" t="s">
        <v>13</v>
      </c>
      <c r="C14" s="13">
        <v>360</v>
      </c>
    </row>
    <row r="15" spans="1:3" ht="12.75">
      <c r="A15" s="11">
        <v>133</v>
      </c>
      <c r="B15" s="12" t="s">
        <v>14</v>
      </c>
      <c r="C15" s="13">
        <v>700</v>
      </c>
    </row>
    <row r="16" spans="1:3" ht="12.75">
      <c r="A16" s="11">
        <v>133</v>
      </c>
      <c r="B16" s="12" t="s">
        <v>15</v>
      </c>
      <c r="C16" s="13">
        <v>5000</v>
      </c>
    </row>
    <row r="17" spans="1:3" ht="13.5" thickBot="1">
      <c r="A17" s="14">
        <v>133</v>
      </c>
      <c r="B17" s="15" t="s">
        <v>16</v>
      </c>
      <c r="C17" s="17">
        <v>15000</v>
      </c>
    </row>
    <row r="18" spans="1:3" ht="13.5" thickBot="1">
      <c r="A18" s="519" t="s">
        <v>17</v>
      </c>
      <c r="B18" s="520"/>
      <c r="C18" s="4">
        <f>SUM(C19:C36)</f>
        <v>154437</v>
      </c>
    </row>
    <row r="19" spans="1:3" ht="12.75">
      <c r="A19" s="18">
        <v>212</v>
      </c>
      <c r="B19" s="19" t="s">
        <v>18</v>
      </c>
      <c r="C19" s="20">
        <v>490</v>
      </c>
    </row>
    <row r="20" spans="1:3" ht="12.75">
      <c r="A20" s="8">
        <v>212</v>
      </c>
      <c r="B20" s="9" t="s">
        <v>19</v>
      </c>
      <c r="C20" s="10">
        <v>200</v>
      </c>
    </row>
    <row r="21" spans="1:3" ht="12.75">
      <c r="A21" s="11">
        <v>212</v>
      </c>
      <c r="B21" s="12" t="s">
        <v>20</v>
      </c>
      <c r="C21" s="13">
        <v>3809</v>
      </c>
    </row>
    <row r="22" spans="1:3" ht="12.75">
      <c r="A22" s="11">
        <v>212</v>
      </c>
      <c r="B22" s="12" t="s">
        <v>21</v>
      </c>
      <c r="C22" s="13">
        <v>12590</v>
      </c>
    </row>
    <row r="23" spans="1:3" ht="13.5" thickBot="1">
      <c r="A23" s="21">
        <v>212</v>
      </c>
      <c r="B23" s="22" t="s">
        <v>22</v>
      </c>
      <c r="C23" s="23">
        <v>20</v>
      </c>
    </row>
    <row r="24" spans="1:3" ht="13.5" thickBot="1">
      <c r="A24" s="24">
        <v>221</v>
      </c>
      <c r="B24" s="25" t="s">
        <v>23</v>
      </c>
      <c r="C24" s="26">
        <v>9200</v>
      </c>
    </row>
    <row r="25" spans="1:3" ht="13.5" thickBot="1">
      <c r="A25" s="24">
        <v>222</v>
      </c>
      <c r="B25" s="25" t="s">
        <v>24</v>
      </c>
      <c r="C25" s="27">
        <v>100</v>
      </c>
    </row>
    <row r="26" spans="1:3" ht="12.75">
      <c r="A26" s="8">
        <v>223</v>
      </c>
      <c r="B26" s="9" t="s">
        <v>25</v>
      </c>
      <c r="C26" s="10">
        <v>800</v>
      </c>
    </row>
    <row r="27" spans="1:3" ht="12.75">
      <c r="A27" s="11">
        <v>223</v>
      </c>
      <c r="B27" s="12" t="s">
        <v>26</v>
      </c>
      <c r="C27" s="13">
        <v>10000</v>
      </c>
    </row>
    <row r="28" spans="1:3" ht="12.75">
      <c r="A28" s="11">
        <v>223</v>
      </c>
      <c r="B28" s="12" t="s">
        <v>27</v>
      </c>
      <c r="C28" s="13">
        <v>12000</v>
      </c>
    </row>
    <row r="29" spans="1:3" ht="12.75">
      <c r="A29" s="11">
        <v>223</v>
      </c>
      <c r="B29" s="12" t="s">
        <v>28</v>
      </c>
      <c r="C29" s="13">
        <v>1200</v>
      </c>
    </row>
    <row r="30" spans="1:3" ht="12.75">
      <c r="A30" s="11">
        <v>223</v>
      </c>
      <c r="B30" s="12" t="s">
        <v>29</v>
      </c>
      <c r="C30" s="13">
        <v>650</v>
      </c>
    </row>
    <row r="31" spans="1:3" ht="12.75">
      <c r="A31" s="11">
        <v>223</v>
      </c>
      <c r="B31" s="12" t="s">
        <v>30</v>
      </c>
      <c r="C31" s="13">
        <v>60000</v>
      </c>
    </row>
    <row r="32" spans="1:3" ht="12.75">
      <c r="A32" s="11">
        <v>223</v>
      </c>
      <c r="B32" s="12" t="s">
        <v>31</v>
      </c>
      <c r="C32" s="13">
        <v>22778</v>
      </c>
    </row>
    <row r="33" spans="1:3" ht="12.75">
      <c r="A33" s="11">
        <v>223</v>
      </c>
      <c r="B33" s="12" t="s">
        <v>32</v>
      </c>
      <c r="C33" s="28">
        <v>7500</v>
      </c>
    </row>
    <row r="34" spans="1:3" ht="12.75">
      <c r="A34" s="11">
        <v>223</v>
      </c>
      <c r="B34" s="12" t="s">
        <v>33</v>
      </c>
      <c r="C34" s="13">
        <v>1000</v>
      </c>
    </row>
    <row r="35" spans="1:3" ht="12.75">
      <c r="A35" s="11">
        <v>223</v>
      </c>
      <c r="B35" s="12" t="s">
        <v>34</v>
      </c>
      <c r="C35" s="13">
        <v>12000</v>
      </c>
    </row>
    <row r="36" spans="1:3" ht="13.5" thickBot="1">
      <c r="A36" s="14">
        <v>223</v>
      </c>
      <c r="B36" s="15" t="s">
        <v>35</v>
      </c>
      <c r="C36" s="16">
        <v>100</v>
      </c>
    </row>
    <row r="37" spans="1:3" ht="13.5" thickBot="1">
      <c r="A37" s="519" t="s">
        <v>36</v>
      </c>
      <c r="B37" s="520"/>
      <c r="C37" s="4">
        <f>SUM(C38)</f>
        <v>344</v>
      </c>
    </row>
    <row r="38" spans="1:3" ht="13.5" thickBot="1">
      <c r="A38" s="29">
        <v>240</v>
      </c>
      <c r="B38" s="22" t="s">
        <v>37</v>
      </c>
      <c r="C38" s="23">
        <v>344</v>
      </c>
    </row>
    <row r="39" spans="1:3" ht="13.5" thickBot="1">
      <c r="A39" s="519" t="s">
        <v>38</v>
      </c>
      <c r="B39" s="520"/>
      <c r="C39" s="4">
        <f>SUM(C40:C49)</f>
        <v>14100</v>
      </c>
    </row>
    <row r="40" spans="1:3" ht="12.75">
      <c r="A40" s="30">
        <v>292</v>
      </c>
      <c r="B40" s="31" t="s">
        <v>39</v>
      </c>
      <c r="C40" s="32">
        <v>100</v>
      </c>
    </row>
    <row r="41" spans="1:3" ht="12.75">
      <c r="A41" s="33">
        <v>292</v>
      </c>
      <c r="B41" s="34" t="s">
        <v>40</v>
      </c>
      <c r="C41" s="35">
        <v>0</v>
      </c>
    </row>
    <row r="42" spans="1:3" ht="12.75">
      <c r="A42" s="33">
        <v>292</v>
      </c>
      <c r="B42" s="12" t="s">
        <v>41</v>
      </c>
      <c r="C42" s="36">
        <v>160</v>
      </c>
    </row>
    <row r="43" spans="1:3" ht="12.75">
      <c r="A43" s="33">
        <v>292</v>
      </c>
      <c r="B43" s="34" t="s">
        <v>42</v>
      </c>
      <c r="C43" s="35">
        <v>6000</v>
      </c>
    </row>
    <row r="44" spans="1:3" ht="12.75">
      <c r="A44" s="33">
        <v>292</v>
      </c>
      <c r="B44" s="34" t="s">
        <v>43</v>
      </c>
      <c r="C44" s="35">
        <v>200</v>
      </c>
    </row>
    <row r="45" spans="1:3" ht="12.75">
      <c r="A45" s="33">
        <v>292</v>
      </c>
      <c r="B45" s="34" t="s">
        <v>44</v>
      </c>
      <c r="C45" s="35">
        <v>0</v>
      </c>
    </row>
    <row r="46" spans="1:3" ht="12.75">
      <c r="A46" s="33">
        <v>292</v>
      </c>
      <c r="B46" s="12" t="s">
        <v>45</v>
      </c>
      <c r="C46" s="36">
        <v>5540</v>
      </c>
    </row>
    <row r="47" spans="1:3" ht="12.75">
      <c r="A47" s="33">
        <v>292</v>
      </c>
      <c r="B47" s="12" t="s">
        <v>46</v>
      </c>
      <c r="C47" s="36">
        <v>2000</v>
      </c>
    </row>
    <row r="48" spans="1:3" ht="12.75">
      <c r="A48" s="33">
        <v>292</v>
      </c>
      <c r="B48" s="12" t="s">
        <v>47</v>
      </c>
      <c r="C48" s="36">
        <v>100</v>
      </c>
    </row>
    <row r="49" spans="1:3" ht="13.5" thickBot="1">
      <c r="A49" s="37">
        <v>292</v>
      </c>
      <c r="B49" s="22" t="s">
        <v>48</v>
      </c>
      <c r="C49" s="38">
        <v>0</v>
      </c>
    </row>
    <row r="50" spans="1:3" ht="13.5" thickBot="1">
      <c r="A50" s="39" t="s">
        <v>49</v>
      </c>
      <c r="B50" s="40"/>
      <c r="C50" s="41">
        <f>SUM(C51:C65)</f>
        <v>400700</v>
      </c>
    </row>
    <row r="51" spans="1:3" ht="12.75">
      <c r="A51" s="42">
        <v>311</v>
      </c>
      <c r="B51" s="9" t="s">
        <v>50</v>
      </c>
      <c r="C51" s="10">
        <v>0</v>
      </c>
    </row>
    <row r="52" spans="1:3" ht="12.75">
      <c r="A52" s="42">
        <v>312</v>
      </c>
      <c r="B52" s="9" t="s">
        <v>51</v>
      </c>
      <c r="C52" s="10">
        <v>15600</v>
      </c>
    </row>
    <row r="53" spans="1:3" ht="12.75">
      <c r="A53" s="42">
        <v>312</v>
      </c>
      <c r="B53" s="12" t="s">
        <v>52</v>
      </c>
      <c r="C53" s="10">
        <v>7200</v>
      </c>
    </row>
    <row r="54" spans="1:3" ht="12.75">
      <c r="A54" s="42">
        <v>312</v>
      </c>
      <c r="B54" s="43" t="s">
        <v>53</v>
      </c>
      <c r="C54" s="10">
        <v>13500</v>
      </c>
    </row>
    <row r="55" spans="1:3" ht="12.75">
      <c r="A55" s="42">
        <v>312</v>
      </c>
      <c r="B55" s="43" t="s">
        <v>54</v>
      </c>
      <c r="C55" s="10">
        <v>9400</v>
      </c>
    </row>
    <row r="56" spans="1:3" ht="12.75">
      <c r="A56" s="42">
        <v>312</v>
      </c>
      <c r="B56" s="43" t="s">
        <v>55</v>
      </c>
      <c r="C56" s="10">
        <v>18000</v>
      </c>
    </row>
    <row r="57" spans="1:3" ht="12.75">
      <c r="A57" s="42">
        <v>312</v>
      </c>
      <c r="B57" s="43" t="s">
        <v>201</v>
      </c>
      <c r="C57" s="10">
        <v>0</v>
      </c>
    </row>
    <row r="58" spans="1:3" ht="12.75">
      <c r="A58" s="42">
        <v>312</v>
      </c>
      <c r="B58" s="43" t="s">
        <v>202</v>
      </c>
      <c r="C58" s="10">
        <v>0</v>
      </c>
    </row>
    <row r="59" spans="1:3" ht="12.75">
      <c r="A59" s="42">
        <v>312</v>
      </c>
      <c r="B59" s="43" t="s">
        <v>56</v>
      </c>
      <c r="C59" s="10">
        <v>6400</v>
      </c>
    </row>
    <row r="60" spans="1:3" ht="12.75">
      <c r="A60" s="44">
        <v>312</v>
      </c>
      <c r="B60" s="12" t="s">
        <v>57</v>
      </c>
      <c r="C60" s="13">
        <v>3700</v>
      </c>
    </row>
    <row r="61" spans="1:3" ht="12.75">
      <c r="A61" s="44">
        <v>312</v>
      </c>
      <c r="B61" s="45" t="s">
        <v>58</v>
      </c>
      <c r="C61" s="46">
        <v>3000</v>
      </c>
    </row>
    <row r="62" spans="1:3" ht="12.75">
      <c r="A62" s="44">
        <v>312</v>
      </c>
      <c r="B62" s="47" t="s">
        <v>59</v>
      </c>
      <c r="C62" s="46">
        <v>3000</v>
      </c>
    </row>
    <row r="63" spans="1:3" ht="12.75">
      <c r="A63" s="44">
        <v>312</v>
      </c>
      <c r="B63" s="48" t="s">
        <v>60</v>
      </c>
      <c r="C63" s="49">
        <v>317900</v>
      </c>
    </row>
    <row r="64" spans="1:3" ht="12.75">
      <c r="A64" s="165">
        <v>312</v>
      </c>
      <c r="B64" s="166" t="s">
        <v>200</v>
      </c>
      <c r="C64" s="167">
        <v>0</v>
      </c>
    </row>
    <row r="65" spans="1:3" ht="13.5" thickBot="1">
      <c r="A65" s="44">
        <v>312</v>
      </c>
      <c r="B65" s="12" t="s">
        <v>61</v>
      </c>
      <c r="C65" s="50">
        <v>3000</v>
      </c>
    </row>
    <row r="66" spans="1:3" ht="16.5" thickBot="1">
      <c r="A66" s="51" t="s">
        <v>62</v>
      </c>
      <c r="B66" s="52"/>
      <c r="C66" s="53">
        <f>SUM(C8+C18+C37+C39+C50)</f>
        <v>1265864</v>
      </c>
    </row>
    <row r="67" spans="1:3" ht="16.5" thickBot="1">
      <c r="A67" s="54"/>
      <c r="B67" s="55" t="s">
        <v>63</v>
      </c>
      <c r="C67" s="56">
        <v>500</v>
      </c>
    </row>
    <row r="68" spans="1:3" ht="16.5" thickBot="1">
      <c r="A68" s="51" t="s">
        <v>64</v>
      </c>
      <c r="B68" s="40"/>
      <c r="C68" s="53">
        <f>SUM(C66:C67)</f>
        <v>1266364</v>
      </c>
    </row>
    <row r="69" spans="1:3" ht="15.75">
      <c r="A69" s="57"/>
      <c r="B69" s="58"/>
      <c r="C69" s="58"/>
    </row>
    <row r="70" spans="1:3" ht="12.75" customHeight="1" thickBot="1">
      <c r="A70" s="57"/>
      <c r="B70" s="58"/>
      <c r="C70" s="58"/>
    </row>
    <row r="71" spans="1:3" ht="18.75" thickBot="1">
      <c r="A71" s="548" t="s">
        <v>65</v>
      </c>
      <c r="B71" s="549"/>
      <c r="C71" s="550"/>
    </row>
    <row r="72" spans="1:3" ht="12.75">
      <c r="A72" s="515" t="s">
        <v>3</v>
      </c>
      <c r="B72" s="516"/>
      <c r="C72" s="512" t="s">
        <v>4</v>
      </c>
    </row>
    <row r="73" spans="1:3" ht="13.5" thickBot="1">
      <c r="A73" s="517"/>
      <c r="B73" s="518"/>
      <c r="C73" s="513"/>
    </row>
    <row r="74" spans="1:3" ht="13.5" thickBot="1">
      <c r="A74" s="63" t="s">
        <v>66</v>
      </c>
      <c r="B74" s="64"/>
      <c r="C74" s="65">
        <f>SUM(C75:C78)</f>
        <v>168951</v>
      </c>
    </row>
    <row r="75" spans="1:3" ht="12.75">
      <c r="A75" s="66" t="s">
        <v>67</v>
      </c>
      <c r="B75" s="67" t="s">
        <v>68</v>
      </c>
      <c r="C75" s="68">
        <v>136801</v>
      </c>
    </row>
    <row r="76" spans="1:3" ht="12.75">
      <c r="A76" s="69" t="s">
        <v>69</v>
      </c>
      <c r="B76" s="43" t="s">
        <v>70</v>
      </c>
      <c r="C76" s="70">
        <v>25450</v>
      </c>
    </row>
    <row r="77" spans="1:3" ht="12.75">
      <c r="A77" s="71" t="s">
        <v>71</v>
      </c>
      <c r="B77" s="43" t="s">
        <v>72</v>
      </c>
      <c r="C77" s="70">
        <v>3700</v>
      </c>
    </row>
    <row r="78" spans="1:3" ht="13.5" thickBot="1">
      <c r="A78" s="72" t="s">
        <v>73</v>
      </c>
      <c r="B78" s="73" t="s">
        <v>74</v>
      </c>
      <c r="C78" s="74">
        <v>3000</v>
      </c>
    </row>
    <row r="79" spans="1:3" ht="13.5" thickBot="1">
      <c r="A79" s="521" t="s">
        <v>75</v>
      </c>
      <c r="B79" s="522"/>
      <c r="C79" s="65">
        <f>SUM(C80)</f>
        <v>160</v>
      </c>
    </row>
    <row r="80" spans="1:3" ht="13.5" thickBot="1">
      <c r="A80" s="75" t="s">
        <v>76</v>
      </c>
      <c r="B80" s="58" t="s">
        <v>77</v>
      </c>
      <c r="C80" s="76">
        <v>160</v>
      </c>
    </row>
    <row r="81" spans="1:3" ht="13.5" thickBot="1">
      <c r="A81" s="521" t="s">
        <v>78</v>
      </c>
      <c r="B81" s="522"/>
      <c r="C81" s="65">
        <f>SUM(C82)</f>
        <v>4000</v>
      </c>
    </row>
    <row r="82" spans="1:3" ht="13.5" thickBot="1">
      <c r="A82" s="77" t="s">
        <v>79</v>
      </c>
      <c r="B82" s="78" t="s">
        <v>80</v>
      </c>
      <c r="C82" s="79">
        <v>4000</v>
      </c>
    </row>
    <row r="83" spans="1:3" ht="13.5" thickBot="1">
      <c r="A83" s="63" t="s">
        <v>81</v>
      </c>
      <c r="B83" s="80"/>
      <c r="C83" s="65">
        <f>SUM(C84:C89)</f>
        <v>132710</v>
      </c>
    </row>
    <row r="84" spans="1:3" ht="12.75">
      <c r="A84" s="81" t="s">
        <v>82</v>
      </c>
      <c r="B84" s="31" t="s">
        <v>83</v>
      </c>
      <c r="C84" s="32">
        <v>1500</v>
      </c>
    </row>
    <row r="85" spans="1:3" ht="12.75">
      <c r="A85" s="71" t="s">
        <v>84</v>
      </c>
      <c r="B85" s="43" t="s">
        <v>85</v>
      </c>
      <c r="C85" s="70">
        <v>14000</v>
      </c>
    </row>
    <row r="86" spans="1:3" ht="12.75">
      <c r="A86" s="71" t="s">
        <v>84</v>
      </c>
      <c r="B86" s="43" t="s">
        <v>204</v>
      </c>
      <c r="C86" s="70">
        <v>0</v>
      </c>
    </row>
    <row r="87" spans="1:3" ht="12.75">
      <c r="A87" s="71" t="s">
        <v>84</v>
      </c>
      <c r="B87" s="43" t="s">
        <v>203</v>
      </c>
      <c r="C87" s="70">
        <v>0</v>
      </c>
    </row>
    <row r="88" spans="1:3" ht="12.75">
      <c r="A88" s="71" t="s">
        <v>87</v>
      </c>
      <c r="B88" s="43" t="s">
        <v>88</v>
      </c>
      <c r="C88" s="82">
        <v>15000</v>
      </c>
    </row>
    <row r="89" spans="1:3" ht="13.5" thickBot="1">
      <c r="A89" s="83" t="s">
        <v>89</v>
      </c>
      <c r="B89" s="84" t="s">
        <v>90</v>
      </c>
      <c r="C89" s="85">
        <v>102210</v>
      </c>
    </row>
    <row r="90" spans="1:3" ht="13.5" thickBot="1">
      <c r="A90" s="63" t="s">
        <v>91</v>
      </c>
      <c r="B90" s="64"/>
      <c r="C90" s="65">
        <f>SUM(C91:C93)</f>
        <v>94940</v>
      </c>
    </row>
    <row r="91" spans="1:3" ht="12.75">
      <c r="A91" s="86" t="s">
        <v>92</v>
      </c>
      <c r="B91" s="87" t="s">
        <v>93</v>
      </c>
      <c r="C91" s="88">
        <v>23800</v>
      </c>
    </row>
    <row r="92" spans="1:3" ht="12.75">
      <c r="A92" s="75" t="s">
        <v>94</v>
      </c>
      <c r="B92" s="89" t="s">
        <v>95</v>
      </c>
      <c r="C92" s="74">
        <v>64900</v>
      </c>
    </row>
    <row r="93" spans="1:3" ht="13.5" thickBot="1">
      <c r="A93" s="90" t="s">
        <v>96</v>
      </c>
      <c r="B93" s="91" t="s">
        <v>97</v>
      </c>
      <c r="C93" s="92">
        <v>6240</v>
      </c>
    </row>
    <row r="94" spans="1:3" ht="13.5" thickBot="1">
      <c r="A94" s="63" t="s">
        <v>98</v>
      </c>
      <c r="B94" s="80"/>
      <c r="C94" s="65">
        <f>SUM(C95)</f>
        <v>15100</v>
      </c>
    </row>
    <row r="95" spans="1:3" ht="13.5" thickBot="1">
      <c r="A95" s="93" t="s">
        <v>99</v>
      </c>
      <c r="B95" s="84" t="s">
        <v>100</v>
      </c>
      <c r="C95" s="94">
        <v>15100</v>
      </c>
    </row>
    <row r="96" spans="1:3" ht="13.5" thickBot="1">
      <c r="A96" s="95" t="s">
        <v>101</v>
      </c>
      <c r="B96" s="64"/>
      <c r="C96" s="65">
        <f>SUM(C97:C111)</f>
        <v>66520</v>
      </c>
    </row>
    <row r="97" spans="1:3" ht="13.5" thickBot="1">
      <c r="A97" s="90" t="s">
        <v>102</v>
      </c>
      <c r="B97" s="91" t="s">
        <v>103</v>
      </c>
      <c r="C97" s="92">
        <v>3800</v>
      </c>
    </row>
    <row r="98" spans="1:3" ht="12.75">
      <c r="A98" s="96" t="s">
        <v>102</v>
      </c>
      <c r="B98" s="67" t="s">
        <v>104</v>
      </c>
      <c r="C98" s="68">
        <v>7500</v>
      </c>
    </row>
    <row r="99" spans="1:3" ht="12.75">
      <c r="A99" s="96" t="s">
        <v>105</v>
      </c>
      <c r="B99" s="97" t="s">
        <v>106</v>
      </c>
      <c r="C99" s="98">
        <v>16400</v>
      </c>
    </row>
    <row r="100" spans="1:3" ht="12.75">
      <c r="A100" s="71" t="s">
        <v>107</v>
      </c>
      <c r="B100" s="99" t="s">
        <v>108</v>
      </c>
      <c r="C100" s="70">
        <v>1000</v>
      </c>
    </row>
    <row r="101" spans="1:3" ht="13.5" thickBot="1">
      <c r="A101" s="90" t="s">
        <v>109</v>
      </c>
      <c r="B101" s="91" t="s">
        <v>110</v>
      </c>
      <c r="C101" s="92">
        <v>1000</v>
      </c>
    </row>
    <row r="102" spans="1:3" ht="12.75">
      <c r="A102" s="71" t="s">
        <v>111</v>
      </c>
      <c r="B102" s="43" t="s">
        <v>112</v>
      </c>
      <c r="C102" s="70">
        <v>100</v>
      </c>
    </row>
    <row r="103" spans="1:3" ht="12.75">
      <c r="A103" s="71" t="s">
        <v>111</v>
      </c>
      <c r="B103" s="43" t="s">
        <v>113</v>
      </c>
      <c r="C103" s="70">
        <v>1000</v>
      </c>
    </row>
    <row r="104" spans="1:3" ht="12.75">
      <c r="A104" s="71" t="s">
        <v>111</v>
      </c>
      <c r="B104" s="43" t="s">
        <v>114</v>
      </c>
      <c r="C104" s="70">
        <v>2500</v>
      </c>
    </row>
    <row r="105" spans="1:3" ht="12.75">
      <c r="A105" s="71" t="s">
        <v>111</v>
      </c>
      <c r="B105" s="43" t="s">
        <v>115</v>
      </c>
      <c r="C105" s="70">
        <v>10000</v>
      </c>
    </row>
    <row r="106" spans="1:3" ht="12.75">
      <c r="A106" s="71" t="s">
        <v>111</v>
      </c>
      <c r="B106" s="43" t="s">
        <v>116</v>
      </c>
      <c r="C106" s="70">
        <v>100</v>
      </c>
    </row>
    <row r="107" spans="1:3" ht="12.75">
      <c r="A107" s="71" t="s">
        <v>111</v>
      </c>
      <c r="B107" s="43" t="s">
        <v>117</v>
      </c>
      <c r="C107" s="70">
        <v>700</v>
      </c>
    </row>
    <row r="108" spans="1:3" ht="13.5" thickBot="1">
      <c r="A108" s="90" t="s">
        <v>111</v>
      </c>
      <c r="B108" s="91" t="s">
        <v>118</v>
      </c>
      <c r="C108" s="92">
        <v>10000</v>
      </c>
    </row>
    <row r="109" spans="1:3" ht="12.75">
      <c r="A109" s="86" t="s">
        <v>119</v>
      </c>
      <c r="B109" s="87" t="s">
        <v>120</v>
      </c>
      <c r="C109" s="88">
        <v>2420</v>
      </c>
    </row>
    <row r="110" spans="1:3" ht="12.75">
      <c r="A110" s="96" t="s">
        <v>121</v>
      </c>
      <c r="B110" s="67" t="s">
        <v>122</v>
      </c>
      <c r="C110" s="68">
        <v>8500</v>
      </c>
    </row>
    <row r="111" spans="1:3" ht="13.5" thickBot="1">
      <c r="A111" s="90" t="s">
        <v>123</v>
      </c>
      <c r="B111" s="91" t="s">
        <v>124</v>
      </c>
      <c r="C111" s="92">
        <v>1500</v>
      </c>
    </row>
    <row r="112" spans="1:3" ht="13.5" thickBot="1">
      <c r="A112" s="521" t="s">
        <v>125</v>
      </c>
      <c r="B112" s="522"/>
      <c r="C112" s="65">
        <f>SUM(C113:C117)</f>
        <v>276520</v>
      </c>
    </row>
    <row r="113" spans="1:3" ht="12.75">
      <c r="A113" s="100" t="s">
        <v>126</v>
      </c>
      <c r="B113" s="101" t="s">
        <v>127</v>
      </c>
      <c r="C113" s="102">
        <v>90000</v>
      </c>
    </row>
    <row r="114" spans="1:3" ht="12.75">
      <c r="A114" s="103" t="s">
        <v>128</v>
      </c>
      <c r="B114" s="34" t="s">
        <v>129</v>
      </c>
      <c r="C114" s="35">
        <v>0</v>
      </c>
    </row>
    <row r="115" spans="1:3" ht="12.75">
      <c r="A115" s="103" t="s">
        <v>130</v>
      </c>
      <c r="B115" s="34" t="s">
        <v>131</v>
      </c>
      <c r="C115" s="35">
        <v>121340</v>
      </c>
    </row>
    <row r="116" spans="1:3" ht="12.75">
      <c r="A116" s="103" t="s">
        <v>132</v>
      </c>
      <c r="B116" s="34" t="s">
        <v>133</v>
      </c>
      <c r="C116" s="35">
        <v>47180</v>
      </c>
    </row>
    <row r="117" spans="1:3" ht="13.5" thickBot="1">
      <c r="A117" s="83" t="s">
        <v>134</v>
      </c>
      <c r="B117" s="84" t="s">
        <v>135</v>
      </c>
      <c r="C117" s="104">
        <v>18000</v>
      </c>
    </row>
    <row r="118" spans="1:3" ht="13.5" thickBot="1">
      <c r="A118" s="63" t="s">
        <v>136</v>
      </c>
      <c r="B118" s="64"/>
      <c r="C118" s="65">
        <f>SUM(C119:C126)</f>
        <v>99140</v>
      </c>
    </row>
    <row r="119" spans="1:3" ht="12.75">
      <c r="A119" s="96" t="s">
        <v>137</v>
      </c>
      <c r="B119" s="67" t="s">
        <v>138</v>
      </c>
      <c r="C119" s="68">
        <v>61100</v>
      </c>
    </row>
    <row r="120" spans="1:3" ht="12.75">
      <c r="A120" s="71" t="s">
        <v>137</v>
      </c>
      <c r="B120" s="43" t="s">
        <v>139</v>
      </c>
      <c r="C120" s="70">
        <v>1800</v>
      </c>
    </row>
    <row r="121" spans="1:3" ht="13.5" thickBot="1">
      <c r="A121" s="90" t="s">
        <v>140</v>
      </c>
      <c r="B121" s="91" t="s">
        <v>141</v>
      </c>
      <c r="C121" s="92">
        <v>11000</v>
      </c>
    </row>
    <row r="122" spans="1:3" ht="12.75">
      <c r="A122" s="96" t="s">
        <v>142</v>
      </c>
      <c r="B122" s="67" t="s">
        <v>143</v>
      </c>
      <c r="C122" s="68">
        <v>300</v>
      </c>
    </row>
    <row r="123" spans="1:3" ht="12.75">
      <c r="A123" s="71" t="s">
        <v>144</v>
      </c>
      <c r="B123" s="43" t="s">
        <v>145</v>
      </c>
      <c r="C123" s="70">
        <v>17040</v>
      </c>
    </row>
    <row r="124" spans="1:3" ht="12.75">
      <c r="A124" s="71" t="s">
        <v>146</v>
      </c>
      <c r="B124" s="43" t="s">
        <v>147</v>
      </c>
      <c r="C124" s="70">
        <v>7200</v>
      </c>
    </row>
    <row r="125" spans="1:3" ht="12.75">
      <c r="A125" s="71" t="s">
        <v>148</v>
      </c>
      <c r="B125" s="43" t="s">
        <v>149</v>
      </c>
      <c r="C125" s="70">
        <v>400</v>
      </c>
    </row>
    <row r="126" spans="1:3" ht="13.5" thickBot="1">
      <c r="A126" s="90" t="s">
        <v>150</v>
      </c>
      <c r="B126" s="91" t="s">
        <v>151</v>
      </c>
      <c r="C126" s="92">
        <v>300</v>
      </c>
    </row>
    <row r="127" spans="1:3" ht="16.5" thickBot="1">
      <c r="A127" s="105" t="s">
        <v>152</v>
      </c>
      <c r="B127" s="106"/>
      <c r="C127" s="107">
        <f>SUM(C74+C79+C81+C83+C90+C94+C96+C112+C118)</f>
        <v>858041</v>
      </c>
    </row>
    <row r="128" spans="1:3" ht="12.75">
      <c r="A128" s="108" t="s">
        <v>128</v>
      </c>
      <c r="B128" s="109" t="s">
        <v>153</v>
      </c>
      <c r="C128" s="110">
        <f>C52+C63+C67</f>
        <v>334000</v>
      </c>
    </row>
    <row r="129" spans="1:3" ht="12.75">
      <c r="A129" s="111" t="s">
        <v>154</v>
      </c>
      <c r="B129" s="48" t="s">
        <v>155</v>
      </c>
      <c r="C129" s="112">
        <v>17000</v>
      </c>
    </row>
    <row r="130" spans="1:3" ht="13.5" thickBot="1">
      <c r="A130" s="527" t="s">
        <v>156</v>
      </c>
      <c r="B130" s="528"/>
      <c r="C130" s="113">
        <f>SUM(C128:C129)</f>
        <v>351000</v>
      </c>
    </row>
    <row r="131" spans="1:3" ht="16.5" thickBot="1">
      <c r="A131" s="114" t="s">
        <v>157</v>
      </c>
      <c r="B131" s="80"/>
      <c r="C131" s="115">
        <f>C127+C130</f>
        <v>1209041</v>
      </c>
    </row>
    <row r="133" ht="12.75" customHeight="1"/>
    <row r="134" spans="1:3" ht="13.5" thickBot="1">
      <c r="A134" s="116"/>
      <c r="B134" s="117"/>
      <c r="C134" s="117"/>
    </row>
    <row r="135" spans="1:3" ht="18.75" thickBot="1">
      <c r="A135" s="545" t="s">
        <v>158</v>
      </c>
      <c r="B135" s="546"/>
      <c r="C135" s="547"/>
    </row>
    <row r="136" spans="1:3" ht="12.75">
      <c r="A136" s="515" t="s">
        <v>3</v>
      </c>
      <c r="B136" s="516"/>
      <c r="C136" s="512" t="s">
        <v>4</v>
      </c>
    </row>
    <row r="137" spans="1:3" ht="13.5" thickBot="1">
      <c r="A137" s="523"/>
      <c r="B137" s="524"/>
      <c r="C137" s="513"/>
    </row>
    <row r="138" spans="1:3" ht="16.5" thickBot="1">
      <c r="A138" s="529" t="s">
        <v>159</v>
      </c>
      <c r="B138" s="530"/>
      <c r="C138" s="121">
        <f>SUM(C139:C142)</f>
        <v>210370</v>
      </c>
    </row>
    <row r="139" spans="1:3" ht="13.5" thickBot="1">
      <c r="A139" s="122">
        <v>230</v>
      </c>
      <c r="B139" s="123" t="s">
        <v>160</v>
      </c>
      <c r="C139" s="124">
        <v>30000</v>
      </c>
    </row>
    <row r="140" spans="1:3" ht="12.75">
      <c r="A140" s="42">
        <v>322</v>
      </c>
      <c r="B140" s="67" t="s">
        <v>161</v>
      </c>
      <c r="C140" s="68">
        <v>0</v>
      </c>
    </row>
    <row r="141" spans="1:3" ht="12.75">
      <c r="A141" s="42">
        <v>322</v>
      </c>
      <c r="B141" s="67" t="s">
        <v>162</v>
      </c>
      <c r="C141" s="68"/>
    </row>
    <row r="142" spans="1:3" ht="13.5" thickBot="1">
      <c r="A142" s="44">
        <v>322</v>
      </c>
      <c r="B142" s="43" t="s">
        <v>163</v>
      </c>
      <c r="C142" s="70">
        <v>180370</v>
      </c>
    </row>
    <row r="143" spans="1:3" ht="16.5" thickBot="1">
      <c r="A143" s="529" t="s">
        <v>164</v>
      </c>
      <c r="B143" s="530"/>
      <c r="C143" s="121">
        <f>SUM(C144:C153)</f>
        <v>257420</v>
      </c>
    </row>
    <row r="144" spans="1:3" ht="12.75">
      <c r="A144" s="71" t="s">
        <v>84</v>
      </c>
      <c r="B144" s="12" t="s">
        <v>165</v>
      </c>
      <c r="C144" s="13">
        <v>0</v>
      </c>
    </row>
    <row r="145" spans="1:3" ht="12.75">
      <c r="A145" s="125" t="s">
        <v>84</v>
      </c>
      <c r="B145" s="12" t="s">
        <v>166</v>
      </c>
      <c r="C145" s="13">
        <v>30000</v>
      </c>
    </row>
    <row r="146" spans="1:3" ht="12.75">
      <c r="A146" s="103" t="s">
        <v>84</v>
      </c>
      <c r="B146" s="126" t="s">
        <v>167</v>
      </c>
      <c r="C146" s="13">
        <v>0</v>
      </c>
    </row>
    <row r="147" spans="1:3" ht="12.75">
      <c r="A147" s="66" t="s">
        <v>89</v>
      </c>
      <c r="B147" s="127" t="s">
        <v>168</v>
      </c>
      <c r="C147" s="10">
        <v>7550</v>
      </c>
    </row>
    <row r="148" spans="1:3" ht="12.75">
      <c r="A148" s="66" t="s">
        <v>92</v>
      </c>
      <c r="B148" s="9" t="s">
        <v>169</v>
      </c>
      <c r="C148" s="13">
        <v>0</v>
      </c>
    </row>
    <row r="149" spans="1:3" ht="12.75">
      <c r="A149" s="103" t="s">
        <v>94</v>
      </c>
      <c r="B149" s="126" t="s">
        <v>170</v>
      </c>
      <c r="C149" s="13">
        <v>30000</v>
      </c>
    </row>
    <row r="150" spans="1:3" ht="12.75">
      <c r="A150" s="71" t="s">
        <v>94</v>
      </c>
      <c r="B150" s="12" t="s">
        <v>171</v>
      </c>
      <c r="C150" s="13">
        <v>0</v>
      </c>
    </row>
    <row r="151" spans="1:3" ht="12.75">
      <c r="A151" s="128" t="s">
        <v>172</v>
      </c>
      <c r="B151" s="9" t="s">
        <v>173</v>
      </c>
      <c r="C151" s="13">
        <v>0</v>
      </c>
    </row>
    <row r="152" spans="1:3" ht="12.75">
      <c r="A152" s="69" t="s">
        <v>172</v>
      </c>
      <c r="B152" s="12" t="s">
        <v>174</v>
      </c>
      <c r="C152" s="13">
        <v>0</v>
      </c>
    </row>
    <row r="153" spans="1:3" ht="13.5" thickBot="1">
      <c r="A153" s="129" t="s">
        <v>99</v>
      </c>
      <c r="B153" s="15" t="s">
        <v>175</v>
      </c>
      <c r="C153" s="16">
        <v>189870</v>
      </c>
    </row>
    <row r="158" spans="1:3" ht="12.75" customHeight="1">
      <c r="A158" s="130"/>
      <c r="B158" s="131"/>
      <c r="C158" s="131"/>
    </row>
    <row r="159" spans="1:3" ht="13.5" thickBot="1">
      <c r="A159" s="131"/>
      <c r="B159" s="117"/>
      <c r="C159" s="117"/>
    </row>
    <row r="160" spans="1:3" ht="18.75" thickBot="1">
      <c r="A160" s="534" t="s">
        <v>176</v>
      </c>
      <c r="B160" s="535"/>
      <c r="C160" s="536"/>
    </row>
    <row r="161" spans="1:3" ht="12.75">
      <c r="A161" s="515" t="s">
        <v>3</v>
      </c>
      <c r="B161" s="516"/>
      <c r="C161" s="512" t="s">
        <v>4</v>
      </c>
    </row>
    <row r="162" spans="1:3" ht="13.5" thickBot="1">
      <c r="A162" s="523"/>
      <c r="B162" s="524"/>
      <c r="C162" s="513"/>
    </row>
    <row r="163" spans="1:3" ht="16.5" thickBot="1">
      <c r="A163" s="525" t="s">
        <v>177</v>
      </c>
      <c r="B163" s="526"/>
      <c r="C163" s="135">
        <f>SUM(C164:C166)</f>
        <v>30427</v>
      </c>
    </row>
    <row r="164" spans="1:3" ht="12.75">
      <c r="A164" s="136">
        <v>411</v>
      </c>
      <c r="B164" s="137" t="s">
        <v>178</v>
      </c>
      <c r="C164" s="138">
        <v>427</v>
      </c>
    </row>
    <row r="165" spans="1:3" ht="12.75">
      <c r="A165" s="139">
        <v>454</v>
      </c>
      <c r="B165" s="45" t="s">
        <v>179</v>
      </c>
      <c r="C165" s="46">
        <v>0</v>
      </c>
    </row>
    <row r="166" spans="1:3" ht="13.5" thickBot="1">
      <c r="A166" s="140">
        <v>513</v>
      </c>
      <c r="B166" s="141" t="s">
        <v>180</v>
      </c>
      <c r="C166" s="142">
        <v>30000</v>
      </c>
    </row>
    <row r="167" spans="1:3" ht="16.5" thickBot="1">
      <c r="A167" s="525" t="s">
        <v>181</v>
      </c>
      <c r="B167" s="526"/>
      <c r="C167" s="135">
        <f>SUM(C168:C169)</f>
        <v>40700</v>
      </c>
    </row>
    <row r="168" spans="1:3" ht="12.75">
      <c r="A168" s="143">
        <v>821</v>
      </c>
      <c r="B168" s="137" t="s">
        <v>182</v>
      </c>
      <c r="C168" s="144">
        <v>40000</v>
      </c>
    </row>
    <row r="169" spans="1:3" ht="13.5" thickBot="1">
      <c r="A169" s="29">
        <v>821</v>
      </c>
      <c r="B169" s="145" t="s">
        <v>183</v>
      </c>
      <c r="C169" s="146">
        <v>700</v>
      </c>
    </row>
    <row r="170" spans="1:3" ht="15.75">
      <c r="A170" s="57"/>
      <c r="B170" s="116"/>
      <c r="C170" s="116"/>
    </row>
    <row r="171" spans="1:3" ht="15.75">
      <c r="A171" s="57"/>
      <c r="B171" s="116"/>
      <c r="C171" s="116"/>
    </row>
    <row r="172" spans="1:3" ht="15.75">
      <c r="A172" s="57"/>
      <c r="B172" s="116"/>
      <c r="C172" s="116"/>
    </row>
    <row r="173" spans="1:3" ht="12.75" customHeight="1">
      <c r="A173" s="57"/>
      <c r="B173" s="116"/>
      <c r="C173" s="116"/>
    </row>
    <row r="174" spans="2:3" ht="13.5" thickBot="1">
      <c r="B174" s="117"/>
      <c r="C174" s="117"/>
    </row>
    <row r="175" spans="1:3" ht="18.75" thickBot="1">
      <c r="A175" s="539" t="s">
        <v>184</v>
      </c>
      <c r="B175" s="540"/>
      <c r="C175" s="541"/>
    </row>
    <row r="176" spans="1:3" ht="12.75">
      <c r="A176" s="515" t="s">
        <v>3</v>
      </c>
      <c r="B176" s="516"/>
      <c r="C176" s="512" t="s">
        <v>4</v>
      </c>
    </row>
    <row r="177" spans="1:3" ht="13.5" thickBot="1">
      <c r="A177" s="501"/>
      <c r="B177" s="502"/>
      <c r="C177" s="513"/>
    </row>
    <row r="178" spans="1:3" ht="15">
      <c r="A178" s="150" t="s">
        <v>185</v>
      </c>
      <c r="B178" s="19"/>
      <c r="C178" s="88">
        <f>C68</f>
        <v>1266364</v>
      </c>
    </row>
    <row r="179" spans="1:3" ht="15">
      <c r="A179" s="151" t="s">
        <v>186</v>
      </c>
      <c r="B179" s="12"/>
      <c r="C179" s="70">
        <f>C131</f>
        <v>1209041</v>
      </c>
    </row>
    <row r="180" spans="1:3" ht="15.75">
      <c r="A180" s="152"/>
      <c r="B180" s="153" t="s">
        <v>187</v>
      </c>
      <c r="C180" s="154">
        <f>C178-C179</f>
        <v>57323</v>
      </c>
    </row>
    <row r="181" spans="1:3" ht="15">
      <c r="A181" s="151" t="s">
        <v>188</v>
      </c>
      <c r="B181" s="12"/>
      <c r="C181" s="70">
        <f>C138</f>
        <v>210370</v>
      </c>
    </row>
    <row r="182" spans="1:3" ht="15">
      <c r="A182" s="151" t="s">
        <v>189</v>
      </c>
      <c r="B182" s="12"/>
      <c r="C182" s="13">
        <f>C143</f>
        <v>257420</v>
      </c>
    </row>
    <row r="183" spans="1:3" ht="15.75">
      <c r="A183" s="152"/>
      <c r="B183" s="155" t="s">
        <v>190</v>
      </c>
      <c r="C183" s="154">
        <f>C181-C182</f>
        <v>-47050</v>
      </c>
    </row>
    <row r="184" spans="1:3" ht="15">
      <c r="A184" s="500" t="s">
        <v>191</v>
      </c>
      <c r="B184" s="533"/>
      <c r="C184" s="82">
        <f>C163</f>
        <v>30427</v>
      </c>
    </row>
    <row r="185" spans="1:3" ht="15">
      <c r="A185" s="500" t="s">
        <v>192</v>
      </c>
      <c r="B185" s="533"/>
      <c r="C185" s="82">
        <f>C167</f>
        <v>40700</v>
      </c>
    </row>
    <row r="186" spans="1:3" ht="16.5" thickBot="1">
      <c r="A186" s="156"/>
      <c r="B186" s="157" t="s">
        <v>193</v>
      </c>
      <c r="C186" s="158">
        <f>C184-C185</f>
        <v>-10273</v>
      </c>
    </row>
    <row r="187" spans="1:3" ht="16.5" thickBot="1">
      <c r="A187" s="531" t="s">
        <v>194</v>
      </c>
      <c r="B187" s="532"/>
      <c r="C187" s="159">
        <f>C180+C183+C186</f>
        <v>0</v>
      </c>
    </row>
    <row r="189" spans="2:3" ht="12.75">
      <c r="B189" s="160" t="s">
        <v>195</v>
      </c>
      <c r="C189" s="161">
        <f>C178+C181+C184</f>
        <v>1507161</v>
      </c>
    </row>
    <row r="190" spans="2:3" ht="12.75">
      <c r="B190" s="160" t="s">
        <v>196</v>
      </c>
      <c r="C190" s="161">
        <f>C179+C182+C185</f>
        <v>1507161</v>
      </c>
    </row>
    <row r="191" spans="2:3" ht="12.75">
      <c r="B191" s="160"/>
      <c r="C191" s="161"/>
    </row>
    <row r="192" spans="2:3" ht="12.75">
      <c r="B192" s="160" t="s">
        <v>197</v>
      </c>
      <c r="C192" s="161">
        <f>C189-C67</f>
        <v>1506661</v>
      </c>
    </row>
    <row r="193" spans="2:3" ht="12.75">
      <c r="B193" s="160" t="s">
        <v>198</v>
      </c>
      <c r="C193" s="161">
        <f>C190-C130</f>
        <v>1156161</v>
      </c>
    </row>
  </sheetData>
  <sheetProtection/>
  <mergeCells count="34">
    <mergeCell ref="A18:B18"/>
    <mergeCell ref="A37:B37"/>
    <mergeCell ref="A39:B39"/>
    <mergeCell ref="A71:C71"/>
    <mergeCell ref="A160:C160"/>
    <mergeCell ref="A79:B79"/>
    <mergeCell ref="A81:B81"/>
    <mergeCell ref="A112:B112"/>
    <mergeCell ref="A72:B73"/>
    <mergeCell ref="C72:C73"/>
    <mergeCell ref="A1:C1"/>
    <mergeCell ref="A2:C2"/>
    <mergeCell ref="A4:C4"/>
    <mergeCell ref="A6:B7"/>
    <mergeCell ref="C6:C7"/>
    <mergeCell ref="A8:B8"/>
    <mergeCell ref="A3:C3"/>
    <mergeCell ref="A5:C5"/>
    <mergeCell ref="C176:C177"/>
    <mergeCell ref="A130:B130"/>
    <mergeCell ref="A136:B137"/>
    <mergeCell ref="C136:C137"/>
    <mergeCell ref="A161:B162"/>
    <mergeCell ref="C161:C162"/>
    <mergeCell ref="A138:B138"/>
    <mergeCell ref="A143:B143"/>
    <mergeCell ref="A175:C175"/>
    <mergeCell ref="A135:C135"/>
    <mergeCell ref="A184:B184"/>
    <mergeCell ref="A185:B185"/>
    <mergeCell ref="A187:B187"/>
    <mergeCell ref="A163:B163"/>
    <mergeCell ref="A167:B167"/>
    <mergeCell ref="A176:B17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3.140625" style="0" customWidth="1"/>
    <col min="4" max="4" width="11.57421875" style="0" customWidth="1"/>
    <col min="5" max="5" width="11.7109375" style="0" customWidth="1"/>
  </cols>
  <sheetData>
    <row r="1" spans="1:5" ht="20.25">
      <c r="A1" s="514" t="s">
        <v>0</v>
      </c>
      <c r="B1" s="514"/>
      <c r="C1" s="514"/>
      <c r="D1" s="514"/>
      <c r="E1" s="514"/>
    </row>
    <row r="2" spans="1:4" ht="12.75">
      <c r="A2" s="511" t="s">
        <v>1</v>
      </c>
      <c r="B2" s="511"/>
      <c r="C2" s="511"/>
      <c r="D2" s="511"/>
    </row>
    <row r="3" spans="1:4" ht="12.75">
      <c r="A3" s="551" t="s">
        <v>359</v>
      </c>
      <c r="B3" s="551"/>
      <c r="C3" s="551"/>
      <c r="D3" s="551"/>
    </row>
    <row r="4" spans="1:4" ht="13.5" thickBot="1">
      <c r="A4" s="551"/>
      <c r="B4" s="551"/>
      <c r="C4" s="551"/>
      <c r="D4" s="551"/>
    </row>
    <row r="5" spans="1:5" ht="18.75" thickBot="1">
      <c r="A5" s="1" t="s">
        <v>2</v>
      </c>
      <c r="B5" s="2"/>
      <c r="C5" s="2"/>
      <c r="D5" s="3"/>
      <c r="E5" s="3"/>
    </row>
    <row r="6" spans="1:5" ht="12.75">
      <c r="A6" s="515" t="s">
        <v>3</v>
      </c>
      <c r="B6" s="516"/>
      <c r="C6" s="512" t="s">
        <v>4</v>
      </c>
      <c r="D6" s="512" t="s">
        <v>5</v>
      </c>
      <c r="E6" s="512" t="s">
        <v>6</v>
      </c>
    </row>
    <row r="7" spans="1:5" ht="13.5" thickBot="1">
      <c r="A7" s="517"/>
      <c r="B7" s="518"/>
      <c r="C7" s="513"/>
      <c r="D7" s="513"/>
      <c r="E7" s="513"/>
    </row>
    <row r="8" spans="1:5" ht="13.5" thickBot="1">
      <c r="A8" s="519" t="s">
        <v>7</v>
      </c>
      <c r="B8" s="520"/>
      <c r="C8" s="4">
        <f>SUM(C9:C17)</f>
        <v>696283</v>
      </c>
      <c r="D8" s="4">
        <f>SUM(D9:D17)</f>
        <v>687283</v>
      </c>
      <c r="E8" s="4">
        <f>SUM(E9:E17)</f>
        <v>687283</v>
      </c>
    </row>
    <row r="9" spans="1:5" ht="13.5" thickBot="1">
      <c r="A9" s="5">
        <v>111</v>
      </c>
      <c r="B9" s="6" t="s">
        <v>8</v>
      </c>
      <c r="C9" s="7">
        <v>644000</v>
      </c>
      <c r="D9" s="7">
        <v>635000</v>
      </c>
      <c r="E9" s="7">
        <v>635000</v>
      </c>
    </row>
    <row r="10" spans="1:5" ht="12.75">
      <c r="A10" s="8">
        <v>121</v>
      </c>
      <c r="B10" s="9" t="s">
        <v>9</v>
      </c>
      <c r="C10" s="10">
        <v>13200</v>
      </c>
      <c r="D10" s="10">
        <v>13200</v>
      </c>
      <c r="E10" s="10">
        <v>13200</v>
      </c>
    </row>
    <row r="11" spans="1:5" ht="12.75">
      <c r="A11" s="11">
        <v>121</v>
      </c>
      <c r="B11" s="12" t="s">
        <v>10</v>
      </c>
      <c r="C11" s="13">
        <v>17000</v>
      </c>
      <c r="D11" s="13">
        <v>17000</v>
      </c>
      <c r="E11" s="13">
        <v>17000</v>
      </c>
    </row>
    <row r="12" spans="1:5" ht="13.5" thickBot="1">
      <c r="A12" s="14">
        <v>121</v>
      </c>
      <c r="B12" s="15" t="s">
        <v>11</v>
      </c>
      <c r="C12" s="16">
        <v>73</v>
      </c>
      <c r="D12" s="16">
        <v>73</v>
      </c>
      <c r="E12" s="16">
        <v>73</v>
      </c>
    </row>
    <row r="13" spans="1:5" ht="12.75">
      <c r="A13" s="8">
        <v>133</v>
      </c>
      <c r="B13" s="9" t="s">
        <v>12</v>
      </c>
      <c r="C13" s="10">
        <v>950</v>
      </c>
      <c r="D13" s="10">
        <v>950</v>
      </c>
      <c r="E13" s="10">
        <v>950</v>
      </c>
    </row>
    <row r="14" spans="1:5" ht="12.75">
      <c r="A14" s="11">
        <v>133</v>
      </c>
      <c r="B14" s="12" t="s">
        <v>13</v>
      </c>
      <c r="C14" s="13">
        <v>360</v>
      </c>
      <c r="D14" s="13">
        <v>360</v>
      </c>
      <c r="E14" s="13">
        <v>360</v>
      </c>
    </row>
    <row r="15" spans="1:5" ht="12.75">
      <c r="A15" s="11">
        <v>133</v>
      </c>
      <c r="B15" s="12" t="s">
        <v>14</v>
      </c>
      <c r="C15" s="13">
        <v>700</v>
      </c>
      <c r="D15" s="13">
        <v>700</v>
      </c>
      <c r="E15" s="13">
        <v>700</v>
      </c>
    </row>
    <row r="16" spans="1:5" ht="12.75">
      <c r="A16" s="11">
        <v>133</v>
      </c>
      <c r="B16" s="12" t="s">
        <v>15</v>
      </c>
      <c r="C16" s="13">
        <v>5000</v>
      </c>
      <c r="D16" s="13">
        <v>5000</v>
      </c>
      <c r="E16" s="13">
        <v>5000</v>
      </c>
    </row>
    <row r="17" spans="1:5" ht="13.5" thickBot="1">
      <c r="A17" s="14">
        <v>133</v>
      </c>
      <c r="B17" s="15" t="s">
        <v>16</v>
      </c>
      <c r="C17" s="17">
        <v>15000</v>
      </c>
      <c r="D17" s="16">
        <v>15000</v>
      </c>
      <c r="E17" s="16">
        <v>15000</v>
      </c>
    </row>
    <row r="18" spans="1:5" ht="13.5" thickBot="1">
      <c r="A18" s="519" t="s">
        <v>17</v>
      </c>
      <c r="B18" s="520"/>
      <c r="C18" s="4">
        <f>SUM(C19:C36)</f>
        <v>154437</v>
      </c>
      <c r="D18" s="4">
        <f>SUM(D19:D36)</f>
        <v>153937</v>
      </c>
      <c r="E18" s="4">
        <f>SUM(E19:E36)</f>
        <v>153937</v>
      </c>
    </row>
    <row r="19" spans="1:5" ht="12.75">
      <c r="A19" s="18">
        <v>212</v>
      </c>
      <c r="B19" s="19" t="s">
        <v>18</v>
      </c>
      <c r="C19" s="20">
        <v>490</v>
      </c>
      <c r="D19" s="20">
        <v>490</v>
      </c>
      <c r="E19" s="20">
        <v>490</v>
      </c>
    </row>
    <row r="20" spans="1:5" ht="12.75">
      <c r="A20" s="8">
        <v>212</v>
      </c>
      <c r="B20" s="9" t="s">
        <v>19</v>
      </c>
      <c r="C20" s="10">
        <v>200</v>
      </c>
      <c r="D20" s="10">
        <v>200</v>
      </c>
      <c r="E20" s="10">
        <v>200</v>
      </c>
    </row>
    <row r="21" spans="1:5" ht="12.75">
      <c r="A21" s="11">
        <v>212</v>
      </c>
      <c r="B21" s="12" t="s">
        <v>20</v>
      </c>
      <c r="C21" s="13">
        <v>3809</v>
      </c>
      <c r="D21" s="13">
        <v>3809</v>
      </c>
      <c r="E21" s="13">
        <v>3809</v>
      </c>
    </row>
    <row r="22" spans="1:5" ht="12.75">
      <c r="A22" s="11">
        <v>212</v>
      </c>
      <c r="B22" s="12" t="s">
        <v>21</v>
      </c>
      <c r="C22" s="13">
        <v>12590</v>
      </c>
      <c r="D22" s="13">
        <v>12090</v>
      </c>
      <c r="E22" s="13">
        <v>12090</v>
      </c>
    </row>
    <row r="23" spans="1:5" ht="13.5" thickBot="1">
      <c r="A23" s="21">
        <v>212</v>
      </c>
      <c r="B23" s="22" t="s">
        <v>22</v>
      </c>
      <c r="C23" s="23">
        <v>20</v>
      </c>
      <c r="D23" s="23">
        <v>20</v>
      </c>
      <c r="E23" s="23">
        <v>20</v>
      </c>
    </row>
    <row r="24" spans="1:5" ht="13.5" thickBot="1">
      <c r="A24" s="24">
        <v>221</v>
      </c>
      <c r="B24" s="25" t="s">
        <v>23</v>
      </c>
      <c r="C24" s="26">
        <v>9200</v>
      </c>
      <c r="D24" s="27">
        <v>9200</v>
      </c>
      <c r="E24" s="27">
        <v>9200</v>
      </c>
    </row>
    <row r="25" spans="1:5" ht="13.5" thickBot="1">
      <c r="A25" s="24">
        <v>222</v>
      </c>
      <c r="B25" s="25" t="s">
        <v>24</v>
      </c>
      <c r="C25" s="27">
        <v>100</v>
      </c>
      <c r="D25" s="27">
        <v>100</v>
      </c>
      <c r="E25" s="27">
        <v>100</v>
      </c>
    </row>
    <row r="26" spans="1:5" ht="12.75">
      <c r="A26" s="8">
        <v>223</v>
      </c>
      <c r="B26" s="9" t="s">
        <v>25</v>
      </c>
      <c r="C26" s="10">
        <v>800</v>
      </c>
      <c r="D26" s="10">
        <v>800</v>
      </c>
      <c r="E26" s="10">
        <v>800</v>
      </c>
    </row>
    <row r="27" spans="1:5" ht="12.75">
      <c r="A27" s="11">
        <v>223</v>
      </c>
      <c r="B27" s="12" t="s">
        <v>26</v>
      </c>
      <c r="C27" s="13">
        <v>10000</v>
      </c>
      <c r="D27" s="13">
        <v>10000</v>
      </c>
      <c r="E27" s="13">
        <v>10000</v>
      </c>
    </row>
    <row r="28" spans="1:5" ht="12.75">
      <c r="A28" s="11">
        <v>223</v>
      </c>
      <c r="B28" s="12" t="s">
        <v>27</v>
      </c>
      <c r="C28" s="13">
        <v>12000</v>
      </c>
      <c r="D28" s="13">
        <v>12000</v>
      </c>
      <c r="E28" s="13">
        <v>12000</v>
      </c>
    </row>
    <row r="29" spans="1:5" ht="12.75">
      <c r="A29" s="11">
        <v>223</v>
      </c>
      <c r="B29" s="12" t="s">
        <v>28</v>
      </c>
      <c r="C29" s="13">
        <v>1200</v>
      </c>
      <c r="D29" s="13">
        <v>1200</v>
      </c>
      <c r="E29" s="13">
        <v>1200</v>
      </c>
    </row>
    <row r="30" spans="1:5" ht="12.75">
      <c r="A30" s="11">
        <v>223</v>
      </c>
      <c r="B30" s="12" t="s">
        <v>29</v>
      </c>
      <c r="C30" s="13">
        <v>650</v>
      </c>
      <c r="D30" s="13">
        <v>650</v>
      </c>
      <c r="E30" s="13">
        <v>650</v>
      </c>
    </row>
    <row r="31" spans="1:5" ht="12.75">
      <c r="A31" s="11">
        <v>223</v>
      </c>
      <c r="B31" s="12" t="s">
        <v>30</v>
      </c>
      <c r="C31" s="13">
        <v>60000</v>
      </c>
      <c r="D31" s="13">
        <v>60000</v>
      </c>
      <c r="E31" s="13">
        <v>60000</v>
      </c>
    </row>
    <row r="32" spans="1:5" ht="12.75">
      <c r="A32" s="11">
        <v>223</v>
      </c>
      <c r="B32" s="12" t="s">
        <v>31</v>
      </c>
      <c r="C32" s="13">
        <v>22778</v>
      </c>
      <c r="D32" s="13">
        <v>22778</v>
      </c>
      <c r="E32" s="13">
        <v>22778</v>
      </c>
    </row>
    <row r="33" spans="1:5" ht="12.75">
      <c r="A33" s="11">
        <v>223</v>
      </c>
      <c r="B33" s="12" t="s">
        <v>32</v>
      </c>
      <c r="C33" s="28">
        <v>7500</v>
      </c>
      <c r="D33" s="13">
        <v>7500</v>
      </c>
      <c r="E33" s="13">
        <v>7500</v>
      </c>
    </row>
    <row r="34" spans="1:5" ht="12.75">
      <c r="A34" s="11">
        <v>223</v>
      </c>
      <c r="B34" s="12" t="s">
        <v>33</v>
      </c>
      <c r="C34" s="13">
        <v>1000</v>
      </c>
      <c r="D34" s="13">
        <v>1000</v>
      </c>
      <c r="E34" s="13">
        <v>1000</v>
      </c>
    </row>
    <row r="35" spans="1:5" ht="12.75">
      <c r="A35" s="11">
        <v>223</v>
      </c>
      <c r="B35" s="12" t="s">
        <v>34</v>
      </c>
      <c r="C35" s="13">
        <v>12000</v>
      </c>
      <c r="D35" s="13">
        <v>12000</v>
      </c>
      <c r="E35" s="13">
        <v>12000</v>
      </c>
    </row>
    <row r="36" spans="1:5" ht="13.5" thickBot="1">
      <c r="A36" s="14">
        <v>223</v>
      </c>
      <c r="B36" s="15" t="s">
        <v>35</v>
      </c>
      <c r="C36" s="16">
        <v>100</v>
      </c>
      <c r="D36" s="16">
        <v>100</v>
      </c>
      <c r="E36" s="16">
        <v>100</v>
      </c>
    </row>
    <row r="37" spans="1:5" ht="13.5" thickBot="1">
      <c r="A37" s="519" t="s">
        <v>36</v>
      </c>
      <c r="B37" s="520"/>
      <c r="C37" s="4">
        <f>SUM(C38)</f>
        <v>344</v>
      </c>
      <c r="D37" s="4">
        <f>SUM(D38)</f>
        <v>344</v>
      </c>
      <c r="E37" s="4">
        <f>SUM(E38)</f>
        <v>344</v>
      </c>
    </row>
    <row r="38" spans="1:5" ht="13.5" thickBot="1">
      <c r="A38" s="29">
        <v>240</v>
      </c>
      <c r="B38" s="22" t="s">
        <v>37</v>
      </c>
      <c r="C38" s="23">
        <v>344</v>
      </c>
      <c r="D38" s="23">
        <v>344</v>
      </c>
      <c r="E38" s="23">
        <v>344</v>
      </c>
    </row>
    <row r="39" spans="1:5" ht="13.5" thickBot="1">
      <c r="A39" s="519" t="s">
        <v>38</v>
      </c>
      <c r="B39" s="520"/>
      <c r="C39" s="4">
        <f>SUM(C40:C49)</f>
        <v>14100</v>
      </c>
      <c r="D39" s="4">
        <f>SUM(D40:D49)</f>
        <v>14100</v>
      </c>
      <c r="E39" s="4">
        <f>SUM(E40:E49)</f>
        <v>14100</v>
      </c>
    </row>
    <row r="40" spans="1:5" ht="12.75">
      <c r="A40" s="30">
        <v>292</v>
      </c>
      <c r="B40" s="31" t="s">
        <v>39</v>
      </c>
      <c r="C40" s="32">
        <v>100</v>
      </c>
      <c r="D40" s="32">
        <v>100</v>
      </c>
      <c r="E40" s="32">
        <v>100</v>
      </c>
    </row>
    <row r="41" spans="1:5" ht="12.75">
      <c r="A41" s="33">
        <v>292</v>
      </c>
      <c r="B41" s="34" t="s">
        <v>40</v>
      </c>
      <c r="C41" s="35">
        <v>0</v>
      </c>
      <c r="D41" s="35">
        <v>0</v>
      </c>
      <c r="E41" s="35">
        <v>0</v>
      </c>
    </row>
    <row r="42" spans="1:5" ht="12.75">
      <c r="A42" s="33">
        <v>292</v>
      </c>
      <c r="B42" s="12" t="s">
        <v>41</v>
      </c>
      <c r="C42" s="36">
        <v>160</v>
      </c>
      <c r="D42" s="36">
        <v>160</v>
      </c>
      <c r="E42" s="36">
        <v>160</v>
      </c>
    </row>
    <row r="43" spans="1:5" ht="12.75">
      <c r="A43" s="33">
        <v>292</v>
      </c>
      <c r="B43" s="34" t="s">
        <v>42</v>
      </c>
      <c r="C43" s="35">
        <v>6000</v>
      </c>
      <c r="D43" s="35">
        <v>6000</v>
      </c>
      <c r="E43" s="35">
        <v>6000</v>
      </c>
    </row>
    <row r="44" spans="1:5" ht="12.75">
      <c r="A44" s="33">
        <v>292</v>
      </c>
      <c r="B44" s="34" t="s">
        <v>43</v>
      </c>
      <c r="C44" s="35">
        <v>200</v>
      </c>
      <c r="D44" s="35">
        <v>200</v>
      </c>
      <c r="E44" s="35">
        <v>200</v>
      </c>
    </row>
    <row r="45" spans="1:5" ht="12.75">
      <c r="A45" s="33">
        <v>292</v>
      </c>
      <c r="B45" s="34" t="s">
        <v>44</v>
      </c>
      <c r="C45" s="35">
        <v>0</v>
      </c>
      <c r="D45" s="35">
        <v>0</v>
      </c>
      <c r="E45" s="35">
        <v>0</v>
      </c>
    </row>
    <row r="46" spans="1:5" ht="12.75">
      <c r="A46" s="33">
        <v>292</v>
      </c>
      <c r="B46" s="12" t="s">
        <v>45</v>
      </c>
      <c r="C46" s="36">
        <v>5540</v>
      </c>
      <c r="D46" s="36">
        <v>5540</v>
      </c>
      <c r="E46" s="36">
        <v>5540</v>
      </c>
    </row>
    <row r="47" spans="1:5" ht="12.75">
      <c r="A47" s="33">
        <v>292</v>
      </c>
      <c r="B47" s="12" t="s">
        <v>46</v>
      </c>
      <c r="C47" s="36">
        <v>2000</v>
      </c>
      <c r="D47" s="36">
        <v>2000</v>
      </c>
      <c r="E47" s="36">
        <v>2000</v>
      </c>
    </row>
    <row r="48" spans="1:5" ht="12.75">
      <c r="A48" s="33">
        <v>292</v>
      </c>
      <c r="B48" s="12" t="s">
        <v>47</v>
      </c>
      <c r="C48" s="36">
        <v>100</v>
      </c>
      <c r="D48" s="36">
        <v>100</v>
      </c>
      <c r="E48" s="36">
        <v>100</v>
      </c>
    </row>
    <row r="49" spans="1:5" ht="13.5" thickBot="1">
      <c r="A49" s="37">
        <v>292</v>
      </c>
      <c r="B49" s="22" t="s">
        <v>48</v>
      </c>
      <c r="C49" s="38">
        <v>0</v>
      </c>
      <c r="D49" s="38">
        <v>0</v>
      </c>
      <c r="E49" s="38">
        <v>0</v>
      </c>
    </row>
    <row r="50" spans="1:5" ht="13.5" thickBot="1">
      <c r="A50" s="39" t="s">
        <v>49</v>
      </c>
      <c r="B50" s="40"/>
      <c r="C50" s="41">
        <f>SUM(C51:C62)</f>
        <v>400700</v>
      </c>
      <c r="D50" s="41">
        <f>SUM(D51:D62)</f>
        <v>406100</v>
      </c>
      <c r="E50" s="41">
        <f>SUM(E51:E62)</f>
        <v>380100</v>
      </c>
    </row>
    <row r="51" spans="1:5" ht="12.75">
      <c r="A51" s="42">
        <v>311</v>
      </c>
      <c r="B51" s="9" t="s">
        <v>50</v>
      </c>
      <c r="C51" s="10">
        <v>0</v>
      </c>
      <c r="D51" s="10">
        <v>0</v>
      </c>
      <c r="E51" s="10">
        <v>0</v>
      </c>
    </row>
    <row r="52" spans="1:5" ht="12.75">
      <c r="A52" s="42">
        <v>312</v>
      </c>
      <c r="B52" s="9" t="s">
        <v>51</v>
      </c>
      <c r="C52" s="10">
        <v>15600</v>
      </c>
      <c r="D52" s="10">
        <v>13000</v>
      </c>
      <c r="E52" s="10">
        <v>0</v>
      </c>
    </row>
    <row r="53" spans="1:5" ht="12.75">
      <c r="A53" s="42">
        <v>312</v>
      </c>
      <c r="B53" s="12" t="s">
        <v>52</v>
      </c>
      <c r="C53" s="10">
        <v>7200</v>
      </c>
      <c r="D53" s="10">
        <v>7200</v>
      </c>
      <c r="E53" s="10">
        <v>7200</v>
      </c>
    </row>
    <row r="54" spans="1:5" ht="12.75">
      <c r="A54" s="42">
        <v>312</v>
      </c>
      <c r="B54" s="43" t="s">
        <v>53</v>
      </c>
      <c r="C54" s="10">
        <v>13500</v>
      </c>
      <c r="D54" s="10">
        <v>13500</v>
      </c>
      <c r="E54" s="10">
        <v>13500</v>
      </c>
    </row>
    <row r="55" spans="1:5" ht="12.75">
      <c r="A55" s="42">
        <v>312</v>
      </c>
      <c r="B55" s="43" t="s">
        <v>54</v>
      </c>
      <c r="C55" s="10">
        <v>9400</v>
      </c>
      <c r="D55" s="10">
        <v>9400</v>
      </c>
      <c r="E55" s="10">
        <v>9400</v>
      </c>
    </row>
    <row r="56" spans="1:5" ht="12.75">
      <c r="A56" s="42">
        <v>312</v>
      </c>
      <c r="B56" s="43" t="s">
        <v>55</v>
      </c>
      <c r="C56" s="10">
        <v>18000</v>
      </c>
      <c r="D56" s="10">
        <v>18000</v>
      </c>
      <c r="E56" s="10">
        <v>18000</v>
      </c>
    </row>
    <row r="57" spans="1:5" ht="12.75">
      <c r="A57" s="42">
        <v>312</v>
      </c>
      <c r="B57" s="43" t="s">
        <v>56</v>
      </c>
      <c r="C57" s="10">
        <v>6400</v>
      </c>
      <c r="D57" s="10">
        <v>6400</v>
      </c>
      <c r="E57" s="10">
        <v>6400</v>
      </c>
    </row>
    <row r="58" spans="1:5" ht="12.75">
      <c r="A58" s="44">
        <v>312</v>
      </c>
      <c r="B58" s="12" t="s">
        <v>57</v>
      </c>
      <c r="C58" s="13">
        <v>3700</v>
      </c>
      <c r="D58" s="13">
        <v>3700</v>
      </c>
      <c r="E58" s="13">
        <v>3700</v>
      </c>
    </row>
    <row r="59" spans="1:5" ht="12.75">
      <c r="A59" s="44">
        <v>312</v>
      </c>
      <c r="B59" s="45" t="s">
        <v>58</v>
      </c>
      <c r="C59" s="46">
        <v>3000</v>
      </c>
      <c r="D59" s="46">
        <v>3000</v>
      </c>
      <c r="E59" s="46">
        <v>3000</v>
      </c>
    </row>
    <row r="60" spans="1:5" ht="12.75">
      <c r="A60" s="44">
        <v>312</v>
      </c>
      <c r="B60" s="47" t="s">
        <v>59</v>
      </c>
      <c r="C60" s="46">
        <v>3000</v>
      </c>
      <c r="D60" s="46">
        <v>3000</v>
      </c>
      <c r="E60" s="46">
        <v>3000</v>
      </c>
    </row>
    <row r="61" spans="1:5" ht="12.75">
      <c r="A61" s="44">
        <v>312</v>
      </c>
      <c r="B61" s="48" t="s">
        <v>60</v>
      </c>
      <c r="C61" s="49">
        <v>317900</v>
      </c>
      <c r="D61" s="49">
        <v>316900</v>
      </c>
      <c r="E61" s="49">
        <v>315900</v>
      </c>
    </row>
    <row r="62" spans="1:5" ht="13.5" thickBot="1">
      <c r="A62" s="44">
        <v>312</v>
      </c>
      <c r="B62" s="12" t="s">
        <v>61</v>
      </c>
      <c r="C62" s="50">
        <v>3000</v>
      </c>
      <c r="D62" s="50">
        <v>12000</v>
      </c>
      <c r="E62" s="50">
        <v>0</v>
      </c>
    </row>
    <row r="63" spans="1:5" ht="16.5" thickBot="1">
      <c r="A63" s="51" t="s">
        <v>62</v>
      </c>
      <c r="B63" s="52"/>
      <c r="C63" s="53">
        <f>SUM(C8+C18+C37+C39+C50)</f>
        <v>1265864</v>
      </c>
      <c r="D63" s="53">
        <f>SUM(D8+D18+D37+D39+D50)</f>
        <v>1261764</v>
      </c>
      <c r="E63" s="53">
        <f>SUM(E8+E18+E37+E39+E50)</f>
        <v>1235764</v>
      </c>
    </row>
    <row r="64" spans="1:5" ht="16.5" thickBot="1">
      <c r="A64" s="54"/>
      <c r="B64" s="55" t="s">
        <v>63</v>
      </c>
      <c r="C64" s="56">
        <v>500</v>
      </c>
      <c r="D64" s="56">
        <v>500</v>
      </c>
      <c r="E64" s="56">
        <v>500</v>
      </c>
    </row>
    <row r="65" spans="1:5" ht="16.5" thickBot="1">
      <c r="A65" s="51" t="s">
        <v>64</v>
      </c>
      <c r="B65" s="40"/>
      <c r="C65" s="53">
        <f>SUM(C63:C64)</f>
        <v>1266364</v>
      </c>
      <c r="D65" s="53">
        <f>SUM(D63:D64)</f>
        <v>1262264</v>
      </c>
      <c r="E65" s="53">
        <f>SUM(E63:E64)</f>
        <v>1236264</v>
      </c>
    </row>
    <row r="66" spans="1:5" ht="15.75">
      <c r="A66" s="57"/>
      <c r="B66" s="58"/>
      <c r="C66" s="58"/>
      <c r="D66" s="59"/>
      <c r="E66" s="59"/>
    </row>
    <row r="67" spans="1:5" ht="16.5" thickBot="1">
      <c r="A67" s="57"/>
      <c r="B67" s="58"/>
      <c r="C67" s="58"/>
      <c r="D67" s="58"/>
      <c r="E67" s="58"/>
    </row>
    <row r="68" spans="1:5" ht="18.75" thickBot="1">
      <c r="A68" s="60" t="s">
        <v>65</v>
      </c>
      <c r="B68" s="61"/>
      <c r="C68" s="61"/>
      <c r="D68" s="62"/>
      <c r="E68" s="62"/>
    </row>
    <row r="69" spans="1:5" ht="12.75">
      <c r="A69" s="515" t="s">
        <v>3</v>
      </c>
      <c r="B69" s="516"/>
      <c r="C69" s="512" t="s">
        <v>4</v>
      </c>
      <c r="D69" s="512" t="s">
        <v>5</v>
      </c>
      <c r="E69" s="512" t="s">
        <v>6</v>
      </c>
    </row>
    <row r="70" spans="1:5" ht="13.5" thickBot="1">
      <c r="A70" s="517"/>
      <c r="B70" s="518"/>
      <c r="C70" s="513"/>
      <c r="D70" s="513"/>
      <c r="E70" s="513"/>
    </row>
    <row r="71" spans="1:5" ht="13.5" thickBot="1">
      <c r="A71" s="63" t="s">
        <v>66</v>
      </c>
      <c r="B71" s="64"/>
      <c r="C71" s="65">
        <f>SUM(C72:C75)</f>
        <v>168951</v>
      </c>
      <c r="D71" s="65">
        <f>SUM(D72:D75)</f>
        <v>177060</v>
      </c>
      <c r="E71" s="65">
        <f>SUM(E72:E75)</f>
        <v>165060</v>
      </c>
    </row>
    <row r="72" spans="1:5" ht="12.75">
      <c r="A72" s="66" t="s">
        <v>67</v>
      </c>
      <c r="B72" s="67" t="s">
        <v>68</v>
      </c>
      <c r="C72" s="68">
        <v>136801</v>
      </c>
      <c r="D72" s="68">
        <v>135910</v>
      </c>
      <c r="E72" s="68">
        <v>135910</v>
      </c>
    </row>
    <row r="73" spans="1:5" ht="12.75">
      <c r="A73" s="69" t="s">
        <v>69</v>
      </c>
      <c r="B73" s="43" t="s">
        <v>70</v>
      </c>
      <c r="C73" s="70">
        <v>25450</v>
      </c>
      <c r="D73" s="70">
        <v>25450</v>
      </c>
      <c r="E73" s="70">
        <v>25450</v>
      </c>
    </row>
    <row r="74" spans="1:5" ht="12.75">
      <c r="A74" s="71" t="s">
        <v>71</v>
      </c>
      <c r="B74" s="43" t="s">
        <v>72</v>
      </c>
      <c r="C74" s="70">
        <v>3700</v>
      </c>
      <c r="D74" s="70">
        <v>3700</v>
      </c>
      <c r="E74" s="70">
        <v>3700</v>
      </c>
    </row>
    <row r="75" spans="1:5" ht="13.5" thickBot="1">
      <c r="A75" s="72" t="s">
        <v>73</v>
      </c>
      <c r="B75" s="73" t="s">
        <v>74</v>
      </c>
      <c r="C75" s="74">
        <v>3000</v>
      </c>
      <c r="D75" s="74">
        <v>12000</v>
      </c>
      <c r="E75" s="74">
        <v>0</v>
      </c>
    </row>
    <row r="76" spans="1:5" ht="13.5" thickBot="1">
      <c r="A76" s="521" t="s">
        <v>75</v>
      </c>
      <c r="B76" s="522"/>
      <c r="C76" s="65">
        <f>SUM(C77)</f>
        <v>160</v>
      </c>
      <c r="D76" s="65">
        <f>SUM(D77)</f>
        <v>160</v>
      </c>
      <c r="E76" s="65">
        <f>SUM(E77)</f>
        <v>160</v>
      </c>
    </row>
    <row r="77" spans="1:5" ht="13.5" thickBot="1">
      <c r="A77" s="75" t="s">
        <v>76</v>
      </c>
      <c r="B77" s="58" t="s">
        <v>77</v>
      </c>
      <c r="C77" s="76">
        <v>160</v>
      </c>
      <c r="D77" s="76">
        <v>160</v>
      </c>
      <c r="E77" s="76">
        <v>160</v>
      </c>
    </row>
    <row r="78" spans="1:5" ht="13.5" thickBot="1">
      <c r="A78" s="521" t="s">
        <v>78</v>
      </c>
      <c r="B78" s="522"/>
      <c r="C78" s="65">
        <f>SUM(C79)</f>
        <v>4000</v>
      </c>
      <c r="D78" s="65">
        <f>SUM(D79)</f>
        <v>5900</v>
      </c>
      <c r="E78" s="65">
        <f>SUM(E79)</f>
        <v>4000</v>
      </c>
    </row>
    <row r="79" spans="1:5" ht="13.5" thickBot="1">
      <c r="A79" s="77" t="s">
        <v>79</v>
      </c>
      <c r="B79" s="78" t="s">
        <v>80</v>
      </c>
      <c r="C79" s="79">
        <v>4000</v>
      </c>
      <c r="D79" s="79">
        <v>5900</v>
      </c>
      <c r="E79" s="79">
        <v>4000</v>
      </c>
    </row>
    <row r="80" spans="1:5" ht="13.5" thickBot="1">
      <c r="A80" s="63" t="s">
        <v>81</v>
      </c>
      <c r="B80" s="80"/>
      <c r="C80" s="65">
        <f>SUM(C81:C85)</f>
        <v>132710</v>
      </c>
      <c r="D80" s="65">
        <f>SUM(D81:D85)</f>
        <v>139724</v>
      </c>
      <c r="E80" s="65">
        <f>SUM(E81:E85)</f>
        <v>140624</v>
      </c>
    </row>
    <row r="81" spans="1:5" ht="12.75">
      <c r="A81" s="81" t="s">
        <v>82</v>
      </c>
      <c r="B81" s="31" t="s">
        <v>83</v>
      </c>
      <c r="C81" s="32">
        <v>1500</v>
      </c>
      <c r="D81" s="32">
        <v>1500</v>
      </c>
      <c r="E81" s="32">
        <v>1500</v>
      </c>
    </row>
    <row r="82" spans="1:5" ht="12.75">
      <c r="A82" s="71" t="s">
        <v>84</v>
      </c>
      <c r="B82" s="43" t="s">
        <v>85</v>
      </c>
      <c r="C82" s="70">
        <v>14000</v>
      </c>
      <c r="D82" s="70">
        <v>14000</v>
      </c>
      <c r="E82" s="70">
        <v>14000</v>
      </c>
    </row>
    <row r="83" spans="1:5" ht="12.75">
      <c r="A83" s="71" t="s">
        <v>84</v>
      </c>
      <c r="B83" s="43" t="s">
        <v>86</v>
      </c>
      <c r="C83" s="70">
        <v>0</v>
      </c>
      <c r="D83" s="70">
        <v>0</v>
      </c>
      <c r="E83" s="70">
        <v>0</v>
      </c>
    </row>
    <row r="84" spans="1:5" ht="12.75">
      <c r="A84" s="71" t="s">
        <v>87</v>
      </c>
      <c r="B84" s="43" t="s">
        <v>88</v>
      </c>
      <c r="C84" s="82">
        <v>15000</v>
      </c>
      <c r="D84" s="82">
        <f>15000+6000</f>
        <v>21000</v>
      </c>
      <c r="E84" s="82">
        <f>15000+7000</f>
        <v>22000</v>
      </c>
    </row>
    <row r="85" spans="1:5" ht="13.5" thickBot="1">
      <c r="A85" s="83" t="s">
        <v>89</v>
      </c>
      <c r="B85" s="84" t="s">
        <v>90</v>
      </c>
      <c r="C85" s="85">
        <v>102210</v>
      </c>
      <c r="D85" s="85">
        <f>102953+271</f>
        <v>103224</v>
      </c>
      <c r="E85" s="85">
        <f>103010+114</f>
        <v>103124</v>
      </c>
    </row>
    <row r="86" spans="1:5" ht="13.5" thickBot="1">
      <c r="A86" s="63" t="s">
        <v>91</v>
      </c>
      <c r="B86" s="64"/>
      <c r="C86" s="65">
        <f>SUM(C87:C89)</f>
        <v>94940</v>
      </c>
      <c r="D86" s="65">
        <f>SUM(D87:D89)</f>
        <v>94940</v>
      </c>
      <c r="E86" s="65">
        <f>SUM(E87:E89)</f>
        <v>94940</v>
      </c>
    </row>
    <row r="87" spans="1:5" ht="12.75">
      <c r="A87" s="86" t="s">
        <v>92</v>
      </c>
      <c r="B87" s="87" t="s">
        <v>93</v>
      </c>
      <c r="C87" s="88">
        <v>23800</v>
      </c>
      <c r="D87" s="88">
        <v>23800</v>
      </c>
      <c r="E87" s="88">
        <v>23800</v>
      </c>
    </row>
    <row r="88" spans="1:5" ht="12.75">
      <c r="A88" s="75" t="s">
        <v>94</v>
      </c>
      <c r="B88" s="89" t="s">
        <v>95</v>
      </c>
      <c r="C88" s="74">
        <v>64900</v>
      </c>
      <c r="D88" s="74">
        <v>64900</v>
      </c>
      <c r="E88" s="74">
        <v>64900</v>
      </c>
    </row>
    <row r="89" spans="1:5" ht="13.5" thickBot="1">
      <c r="A89" s="90" t="s">
        <v>96</v>
      </c>
      <c r="B89" s="91" t="s">
        <v>97</v>
      </c>
      <c r="C89" s="92">
        <v>6240</v>
      </c>
      <c r="D89" s="92">
        <v>6240</v>
      </c>
      <c r="E89" s="92">
        <v>6240</v>
      </c>
    </row>
    <row r="90" spans="1:5" ht="13.5" thickBot="1">
      <c r="A90" s="63" t="s">
        <v>98</v>
      </c>
      <c r="B90" s="80"/>
      <c r="C90" s="65">
        <f>SUM(C91)</f>
        <v>15100</v>
      </c>
      <c r="D90" s="65">
        <f>SUM(D91)</f>
        <v>15100</v>
      </c>
      <c r="E90" s="65">
        <f>SUM(E91)</f>
        <v>15100</v>
      </c>
    </row>
    <row r="91" spans="1:5" ht="13.5" thickBot="1">
      <c r="A91" s="93" t="s">
        <v>99</v>
      </c>
      <c r="B91" s="84" t="s">
        <v>100</v>
      </c>
      <c r="C91" s="94">
        <v>15100</v>
      </c>
      <c r="D91" s="94">
        <v>15100</v>
      </c>
      <c r="E91" s="94">
        <v>15100</v>
      </c>
    </row>
    <row r="92" spans="1:5" ht="13.5" thickBot="1">
      <c r="A92" s="95" t="s">
        <v>101</v>
      </c>
      <c r="B92" s="64"/>
      <c r="C92" s="65">
        <f>SUM(C93:C107)</f>
        <v>66520</v>
      </c>
      <c r="D92" s="65">
        <f>SUM(D93:D107)</f>
        <v>65920</v>
      </c>
      <c r="E92" s="65">
        <f>SUM(E93:E107)</f>
        <v>66920</v>
      </c>
    </row>
    <row r="93" spans="1:5" ht="13.5" thickBot="1">
      <c r="A93" s="90" t="s">
        <v>102</v>
      </c>
      <c r="B93" s="91" t="s">
        <v>103</v>
      </c>
      <c r="C93" s="92">
        <v>3800</v>
      </c>
      <c r="D93" s="92">
        <v>3800</v>
      </c>
      <c r="E93" s="92">
        <v>3800</v>
      </c>
    </row>
    <row r="94" spans="1:5" ht="12.75">
      <c r="A94" s="96" t="s">
        <v>102</v>
      </c>
      <c r="B94" s="67" t="s">
        <v>104</v>
      </c>
      <c r="C94" s="68">
        <v>7500</v>
      </c>
      <c r="D94" s="68">
        <v>7000</v>
      </c>
      <c r="E94" s="68">
        <v>7000</v>
      </c>
    </row>
    <row r="95" spans="1:5" ht="12.75">
      <c r="A95" s="96" t="s">
        <v>105</v>
      </c>
      <c r="B95" s="97" t="s">
        <v>106</v>
      </c>
      <c r="C95" s="98">
        <v>16400</v>
      </c>
      <c r="D95" s="98">
        <v>16500</v>
      </c>
      <c r="E95" s="98">
        <v>16500</v>
      </c>
    </row>
    <row r="96" spans="1:5" ht="12.75">
      <c r="A96" s="71" t="s">
        <v>107</v>
      </c>
      <c r="B96" s="99" t="s">
        <v>108</v>
      </c>
      <c r="C96" s="70">
        <v>1000</v>
      </c>
      <c r="D96" s="70">
        <v>1000</v>
      </c>
      <c r="E96" s="70">
        <v>1000</v>
      </c>
    </row>
    <row r="97" spans="1:5" ht="13.5" thickBot="1">
      <c r="A97" s="90" t="s">
        <v>109</v>
      </c>
      <c r="B97" s="91" t="s">
        <v>110</v>
      </c>
      <c r="C97" s="92">
        <v>1000</v>
      </c>
      <c r="D97" s="92">
        <v>1000</v>
      </c>
      <c r="E97" s="92">
        <v>1000</v>
      </c>
    </row>
    <row r="98" spans="1:5" ht="12.75">
      <c r="A98" s="71" t="s">
        <v>111</v>
      </c>
      <c r="B98" s="43" t="s">
        <v>112</v>
      </c>
      <c r="C98" s="70">
        <v>100</v>
      </c>
      <c r="D98" s="70">
        <v>100</v>
      </c>
      <c r="E98" s="70">
        <v>100</v>
      </c>
    </row>
    <row r="99" spans="1:5" ht="12.75">
      <c r="A99" s="71" t="s">
        <v>111</v>
      </c>
      <c r="B99" s="43" t="s">
        <v>113</v>
      </c>
      <c r="C99" s="70">
        <v>1000</v>
      </c>
      <c r="D99" s="70">
        <v>1000</v>
      </c>
      <c r="E99" s="70">
        <v>1000</v>
      </c>
    </row>
    <row r="100" spans="1:5" ht="12.75">
      <c r="A100" s="71" t="s">
        <v>111</v>
      </c>
      <c r="B100" s="43" t="s">
        <v>114</v>
      </c>
      <c r="C100" s="70">
        <v>2500</v>
      </c>
      <c r="D100" s="70">
        <v>2500</v>
      </c>
      <c r="E100" s="70">
        <v>2500</v>
      </c>
    </row>
    <row r="101" spans="1:5" ht="12.75">
      <c r="A101" s="71" t="s">
        <v>111</v>
      </c>
      <c r="B101" s="43" t="s">
        <v>115</v>
      </c>
      <c r="C101" s="70">
        <v>10000</v>
      </c>
      <c r="D101" s="70">
        <v>10000</v>
      </c>
      <c r="E101" s="70">
        <v>10000</v>
      </c>
    </row>
    <row r="102" spans="1:5" ht="12.75">
      <c r="A102" s="71" t="s">
        <v>111</v>
      </c>
      <c r="B102" s="43" t="s">
        <v>116</v>
      </c>
      <c r="C102" s="70">
        <v>100</v>
      </c>
      <c r="D102" s="70">
        <v>100</v>
      </c>
      <c r="E102" s="70">
        <v>100</v>
      </c>
    </row>
    <row r="103" spans="1:5" ht="12.75">
      <c r="A103" s="71" t="s">
        <v>111</v>
      </c>
      <c r="B103" s="43" t="s">
        <v>117</v>
      </c>
      <c r="C103" s="70">
        <v>700</v>
      </c>
      <c r="D103" s="70">
        <v>500</v>
      </c>
      <c r="E103" s="70">
        <v>500</v>
      </c>
    </row>
    <row r="104" spans="1:5" ht="13.5" thickBot="1">
      <c r="A104" s="90" t="s">
        <v>111</v>
      </c>
      <c r="B104" s="91" t="s">
        <v>118</v>
      </c>
      <c r="C104" s="92">
        <v>10000</v>
      </c>
      <c r="D104" s="92">
        <v>10000</v>
      </c>
      <c r="E104" s="92">
        <v>10000</v>
      </c>
    </row>
    <row r="105" spans="1:5" ht="12.75">
      <c r="A105" s="86" t="s">
        <v>119</v>
      </c>
      <c r="B105" s="87" t="s">
        <v>120</v>
      </c>
      <c r="C105" s="88">
        <v>2420</v>
      </c>
      <c r="D105" s="88">
        <v>2420</v>
      </c>
      <c r="E105" s="88">
        <v>2420</v>
      </c>
    </row>
    <row r="106" spans="1:5" ht="12.75">
      <c r="A106" s="96" t="s">
        <v>121</v>
      </c>
      <c r="B106" s="67" t="s">
        <v>122</v>
      </c>
      <c r="C106" s="68">
        <v>8500</v>
      </c>
      <c r="D106" s="68">
        <v>8500</v>
      </c>
      <c r="E106" s="68">
        <v>8500</v>
      </c>
    </row>
    <row r="107" spans="1:5" ht="13.5" thickBot="1">
      <c r="A107" s="90" t="s">
        <v>123</v>
      </c>
      <c r="B107" s="91" t="s">
        <v>124</v>
      </c>
      <c r="C107" s="92">
        <v>1500</v>
      </c>
      <c r="D107" s="92">
        <v>1500</v>
      </c>
      <c r="E107" s="92">
        <v>2500</v>
      </c>
    </row>
    <row r="108" spans="1:5" ht="13.5" thickBot="1">
      <c r="A108" s="521" t="s">
        <v>125</v>
      </c>
      <c r="B108" s="522"/>
      <c r="C108" s="65">
        <f>SUM(C109:C113)</f>
        <v>276520</v>
      </c>
      <c r="D108" s="65">
        <f>SUM(D109:D113)</f>
        <v>276220</v>
      </c>
      <c r="E108" s="65">
        <f>SUM(E109:E113)</f>
        <v>276220</v>
      </c>
    </row>
    <row r="109" spans="1:5" ht="12.75">
      <c r="A109" s="100" t="s">
        <v>126</v>
      </c>
      <c r="B109" s="101" t="s">
        <v>127</v>
      </c>
      <c r="C109" s="102">
        <v>90000</v>
      </c>
      <c r="D109" s="102">
        <v>90000</v>
      </c>
      <c r="E109" s="102">
        <v>90000</v>
      </c>
    </row>
    <row r="110" spans="1:5" ht="12.75">
      <c r="A110" s="103" t="s">
        <v>128</v>
      </c>
      <c r="B110" s="34" t="s">
        <v>129</v>
      </c>
      <c r="C110" s="35">
        <v>0</v>
      </c>
      <c r="D110" s="35">
        <v>0</v>
      </c>
      <c r="E110" s="35">
        <v>0</v>
      </c>
    </row>
    <row r="111" spans="1:5" ht="12.75">
      <c r="A111" s="103" t="s">
        <v>130</v>
      </c>
      <c r="B111" s="34" t="s">
        <v>131</v>
      </c>
      <c r="C111" s="35">
        <v>121340</v>
      </c>
      <c r="D111" s="35">
        <v>121040</v>
      </c>
      <c r="E111" s="35">
        <v>121040</v>
      </c>
    </row>
    <row r="112" spans="1:5" ht="12.75">
      <c r="A112" s="103" t="s">
        <v>132</v>
      </c>
      <c r="B112" s="34" t="s">
        <v>133</v>
      </c>
      <c r="C112" s="35">
        <v>47180</v>
      </c>
      <c r="D112" s="35">
        <v>47180</v>
      </c>
      <c r="E112" s="35">
        <v>47180</v>
      </c>
    </row>
    <row r="113" spans="1:5" ht="13.5" thickBot="1">
      <c r="A113" s="83" t="s">
        <v>134</v>
      </c>
      <c r="B113" s="84" t="s">
        <v>135</v>
      </c>
      <c r="C113" s="104">
        <v>18000</v>
      </c>
      <c r="D113" s="104">
        <v>18000</v>
      </c>
      <c r="E113" s="104">
        <v>18000</v>
      </c>
    </row>
    <row r="114" spans="1:5" ht="13.5" thickBot="1">
      <c r="A114" s="63" t="s">
        <v>136</v>
      </c>
      <c r="B114" s="64"/>
      <c r="C114" s="65">
        <f>SUM(C115:C122)</f>
        <v>99140</v>
      </c>
      <c r="D114" s="65">
        <f>SUM(D115:D122)</f>
        <v>99140</v>
      </c>
      <c r="E114" s="65">
        <f>SUM(E115:E122)</f>
        <v>99140</v>
      </c>
    </row>
    <row r="115" spans="1:5" ht="12.75">
      <c r="A115" s="96" t="s">
        <v>137</v>
      </c>
      <c r="B115" s="67" t="s">
        <v>138</v>
      </c>
      <c r="C115" s="68">
        <v>61100</v>
      </c>
      <c r="D115" s="68">
        <v>61100</v>
      </c>
      <c r="E115" s="68">
        <v>61100</v>
      </c>
    </row>
    <row r="116" spans="1:5" ht="12.75">
      <c r="A116" s="71" t="s">
        <v>137</v>
      </c>
      <c r="B116" s="43" t="s">
        <v>139</v>
      </c>
      <c r="C116" s="70">
        <v>1800</v>
      </c>
      <c r="D116" s="70">
        <v>1800</v>
      </c>
      <c r="E116" s="70">
        <v>1800</v>
      </c>
    </row>
    <row r="117" spans="1:5" ht="13.5" thickBot="1">
      <c r="A117" s="90" t="s">
        <v>140</v>
      </c>
      <c r="B117" s="91" t="s">
        <v>141</v>
      </c>
      <c r="C117" s="92">
        <v>11000</v>
      </c>
      <c r="D117" s="92">
        <v>11000</v>
      </c>
      <c r="E117" s="92">
        <v>11000</v>
      </c>
    </row>
    <row r="118" spans="1:5" ht="12.75">
      <c r="A118" s="96" t="s">
        <v>142</v>
      </c>
      <c r="B118" s="67" t="s">
        <v>143</v>
      </c>
      <c r="C118" s="68">
        <v>300</v>
      </c>
      <c r="D118" s="68">
        <v>300</v>
      </c>
      <c r="E118" s="68">
        <v>300</v>
      </c>
    </row>
    <row r="119" spans="1:5" ht="12.75">
      <c r="A119" s="71" t="s">
        <v>144</v>
      </c>
      <c r="B119" s="43" t="s">
        <v>145</v>
      </c>
      <c r="C119" s="70">
        <v>17040</v>
      </c>
      <c r="D119" s="70">
        <v>17040</v>
      </c>
      <c r="E119" s="70">
        <v>17040</v>
      </c>
    </row>
    <row r="120" spans="1:5" ht="12.75">
      <c r="A120" s="71" t="s">
        <v>146</v>
      </c>
      <c r="B120" s="43" t="s">
        <v>147</v>
      </c>
      <c r="C120" s="70">
        <v>7200</v>
      </c>
      <c r="D120" s="70">
        <v>7200</v>
      </c>
      <c r="E120" s="70">
        <v>7200</v>
      </c>
    </row>
    <row r="121" spans="1:5" ht="12.75">
      <c r="A121" s="71" t="s">
        <v>148</v>
      </c>
      <c r="B121" s="43" t="s">
        <v>149</v>
      </c>
      <c r="C121" s="70">
        <v>400</v>
      </c>
      <c r="D121" s="70">
        <v>400</v>
      </c>
      <c r="E121" s="70">
        <v>400</v>
      </c>
    </row>
    <row r="122" spans="1:5" ht="13.5" thickBot="1">
      <c r="A122" s="90" t="s">
        <v>150</v>
      </c>
      <c r="B122" s="91" t="s">
        <v>151</v>
      </c>
      <c r="C122" s="92">
        <v>300</v>
      </c>
      <c r="D122" s="92">
        <v>300</v>
      </c>
      <c r="E122" s="92">
        <v>300</v>
      </c>
    </row>
    <row r="123" spans="1:5" ht="16.5" thickBot="1">
      <c r="A123" s="105" t="s">
        <v>152</v>
      </c>
      <c r="B123" s="106"/>
      <c r="C123" s="107">
        <f>SUM(C71+C76+C78+C80+C86+C90+C92+C108+C114)</f>
        <v>858041</v>
      </c>
      <c r="D123" s="107">
        <f>SUM(D71+D76+D78+D80+D86+D90+D92+D108+D114)</f>
        <v>874164</v>
      </c>
      <c r="E123" s="107">
        <f>SUM(E71+E76+E78+E80+E86+E90+E92+E108+E114)</f>
        <v>862164</v>
      </c>
    </row>
    <row r="124" spans="1:5" ht="12.75">
      <c r="A124" s="108" t="s">
        <v>128</v>
      </c>
      <c r="B124" s="109" t="s">
        <v>153</v>
      </c>
      <c r="C124" s="110">
        <f>C52+C61+C64</f>
        <v>334000</v>
      </c>
      <c r="D124" s="110">
        <f>D52+D61+D64</f>
        <v>330400</v>
      </c>
      <c r="E124" s="110">
        <f>E52+E61+E64</f>
        <v>316400</v>
      </c>
    </row>
    <row r="125" spans="1:5" ht="12.75">
      <c r="A125" s="111" t="s">
        <v>154</v>
      </c>
      <c r="B125" s="48" t="s">
        <v>155</v>
      </c>
      <c r="C125" s="112">
        <v>17000</v>
      </c>
      <c r="D125" s="112">
        <v>17000</v>
      </c>
      <c r="E125" s="112">
        <v>17000</v>
      </c>
    </row>
    <row r="126" spans="1:5" ht="13.5" thickBot="1">
      <c r="A126" s="527" t="s">
        <v>156</v>
      </c>
      <c r="B126" s="528"/>
      <c r="C126" s="113">
        <f>SUM(C124:C125)</f>
        <v>351000</v>
      </c>
      <c r="D126" s="113">
        <f>SUM(D124:D125)</f>
        <v>347400</v>
      </c>
      <c r="E126" s="113">
        <f>SUM(E124:E125)</f>
        <v>333400</v>
      </c>
    </row>
    <row r="127" spans="1:5" ht="16.5" thickBot="1">
      <c r="A127" s="114" t="s">
        <v>157</v>
      </c>
      <c r="B127" s="80"/>
      <c r="C127" s="115">
        <f>C123+C126</f>
        <v>1209041</v>
      </c>
      <c r="D127" s="115">
        <f>D123+D126</f>
        <v>1221564</v>
      </c>
      <c r="E127" s="115">
        <f>E123+E126</f>
        <v>1195564</v>
      </c>
    </row>
    <row r="130" spans="1:5" ht="13.5" thickBot="1">
      <c r="A130" s="116"/>
      <c r="B130" s="117"/>
      <c r="C130" s="117"/>
      <c r="D130" s="117"/>
      <c r="E130" s="117"/>
    </row>
    <row r="131" spans="1:5" ht="18.75" thickBot="1">
      <c r="A131" s="118" t="s">
        <v>158</v>
      </c>
      <c r="B131" s="119"/>
      <c r="C131" s="119"/>
      <c r="D131" s="120"/>
      <c r="E131" s="120"/>
    </row>
    <row r="132" spans="1:5" ht="12.75">
      <c r="A132" s="515" t="s">
        <v>3</v>
      </c>
      <c r="B132" s="516"/>
      <c r="C132" s="512" t="s">
        <v>4</v>
      </c>
      <c r="D132" s="512" t="s">
        <v>5</v>
      </c>
      <c r="E132" s="512" t="s">
        <v>6</v>
      </c>
    </row>
    <row r="133" spans="1:5" ht="13.5" thickBot="1">
      <c r="A133" s="523"/>
      <c r="B133" s="524"/>
      <c r="C133" s="513"/>
      <c r="D133" s="513"/>
      <c r="E133" s="513"/>
    </row>
    <row r="134" spans="1:5" ht="16.5" thickBot="1">
      <c r="A134" s="529" t="s">
        <v>159</v>
      </c>
      <c r="B134" s="530"/>
      <c r="C134" s="121">
        <f>SUM(C135:C138)</f>
        <v>210370</v>
      </c>
      <c r="D134" s="121">
        <f>SUM(D135:D138)</f>
        <v>0</v>
      </c>
      <c r="E134" s="121">
        <f>SUM(E135:E138)</f>
        <v>0</v>
      </c>
    </row>
    <row r="135" spans="1:5" ht="13.5" thickBot="1">
      <c r="A135" s="122">
        <v>230</v>
      </c>
      <c r="B135" s="123" t="s">
        <v>160</v>
      </c>
      <c r="C135" s="124">
        <v>30000</v>
      </c>
      <c r="D135" s="124">
        <v>0</v>
      </c>
      <c r="E135" s="124">
        <v>0</v>
      </c>
    </row>
    <row r="136" spans="1:5" ht="12.75">
      <c r="A136" s="42">
        <v>322</v>
      </c>
      <c r="B136" s="67" t="s">
        <v>161</v>
      </c>
      <c r="C136" s="68">
        <v>0</v>
      </c>
      <c r="D136" s="68">
        <v>0</v>
      </c>
      <c r="E136" s="68">
        <v>0</v>
      </c>
    </row>
    <row r="137" spans="1:5" ht="12.75">
      <c r="A137" s="42">
        <v>322</v>
      </c>
      <c r="B137" s="67" t="s">
        <v>162</v>
      </c>
      <c r="C137" s="68"/>
      <c r="D137" s="68"/>
      <c r="E137" s="68"/>
    </row>
    <row r="138" spans="1:5" ht="13.5" thickBot="1">
      <c r="A138" s="44">
        <v>322</v>
      </c>
      <c r="B138" s="43" t="s">
        <v>163</v>
      </c>
      <c r="C138" s="70">
        <v>180370</v>
      </c>
      <c r="D138" s="70">
        <v>0</v>
      </c>
      <c r="E138" s="70">
        <v>0</v>
      </c>
    </row>
    <row r="139" spans="1:5" ht="16.5" thickBot="1">
      <c r="A139" s="529" t="s">
        <v>164</v>
      </c>
      <c r="B139" s="530"/>
      <c r="C139" s="121">
        <f>SUM(C140:C149)</f>
        <v>257420</v>
      </c>
      <c r="D139" s="121">
        <f>SUM(D140:D149)</f>
        <v>0</v>
      </c>
      <c r="E139" s="121">
        <f>SUM(E140:E149)</f>
        <v>0</v>
      </c>
    </row>
    <row r="140" spans="1:5" ht="12.75">
      <c r="A140" s="71" t="s">
        <v>84</v>
      </c>
      <c r="B140" s="12" t="s">
        <v>165</v>
      </c>
      <c r="C140" s="13">
        <v>0</v>
      </c>
      <c r="D140" s="13">
        <v>0</v>
      </c>
      <c r="E140" s="13">
        <v>0</v>
      </c>
    </row>
    <row r="141" spans="1:5" ht="12.75">
      <c r="A141" s="125" t="s">
        <v>84</v>
      </c>
      <c r="B141" s="12" t="s">
        <v>166</v>
      </c>
      <c r="C141" s="13">
        <v>30000</v>
      </c>
      <c r="D141" s="13">
        <v>0</v>
      </c>
      <c r="E141" s="13">
        <v>0</v>
      </c>
    </row>
    <row r="142" spans="1:5" ht="12.75">
      <c r="A142" s="103" t="s">
        <v>84</v>
      </c>
      <c r="B142" s="126" t="s">
        <v>167</v>
      </c>
      <c r="C142" s="13">
        <v>0</v>
      </c>
      <c r="D142" s="13">
        <v>0</v>
      </c>
      <c r="E142" s="13">
        <v>0</v>
      </c>
    </row>
    <row r="143" spans="1:5" ht="12.75">
      <c r="A143" s="66" t="s">
        <v>89</v>
      </c>
      <c r="B143" s="127" t="s">
        <v>168</v>
      </c>
      <c r="C143" s="10">
        <v>7550</v>
      </c>
      <c r="D143" s="10">
        <v>0</v>
      </c>
      <c r="E143" s="10">
        <v>0</v>
      </c>
    </row>
    <row r="144" spans="1:5" ht="12.75">
      <c r="A144" s="66" t="s">
        <v>92</v>
      </c>
      <c r="B144" s="9" t="s">
        <v>169</v>
      </c>
      <c r="C144" s="13">
        <v>0</v>
      </c>
      <c r="D144" s="13">
        <v>0</v>
      </c>
      <c r="E144" s="13">
        <v>0</v>
      </c>
    </row>
    <row r="145" spans="1:5" ht="12.75">
      <c r="A145" s="103" t="s">
        <v>94</v>
      </c>
      <c r="B145" s="126" t="s">
        <v>170</v>
      </c>
      <c r="C145" s="13">
        <v>30000</v>
      </c>
      <c r="D145" s="13">
        <v>0</v>
      </c>
      <c r="E145" s="13">
        <v>0</v>
      </c>
    </row>
    <row r="146" spans="1:5" ht="12.75">
      <c r="A146" s="71" t="s">
        <v>94</v>
      </c>
      <c r="B146" s="12" t="s">
        <v>171</v>
      </c>
      <c r="C146" s="13">
        <v>0</v>
      </c>
      <c r="D146" s="13">
        <v>0</v>
      </c>
      <c r="E146" s="13">
        <v>0</v>
      </c>
    </row>
    <row r="147" spans="1:5" ht="12.75">
      <c r="A147" s="128" t="s">
        <v>172</v>
      </c>
      <c r="B147" s="9" t="s">
        <v>173</v>
      </c>
      <c r="C147" s="13">
        <v>0</v>
      </c>
      <c r="D147" s="13">
        <v>0</v>
      </c>
      <c r="E147" s="13">
        <v>0</v>
      </c>
    </row>
    <row r="148" spans="1:5" ht="12.75">
      <c r="A148" s="69" t="s">
        <v>172</v>
      </c>
      <c r="B148" s="12" t="s">
        <v>174</v>
      </c>
      <c r="C148" s="13">
        <v>0</v>
      </c>
      <c r="D148" s="13">
        <v>0</v>
      </c>
      <c r="E148" s="13">
        <v>0</v>
      </c>
    </row>
    <row r="149" spans="1:5" ht="13.5" thickBot="1">
      <c r="A149" s="129" t="s">
        <v>99</v>
      </c>
      <c r="B149" s="15" t="s">
        <v>175</v>
      </c>
      <c r="C149" s="16">
        <v>189870</v>
      </c>
      <c r="D149" s="16">
        <v>0</v>
      </c>
      <c r="E149" s="16">
        <v>0</v>
      </c>
    </row>
    <row r="154" spans="1:5" ht="12.75">
      <c r="A154" s="130"/>
      <c r="B154" s="131"/>
      <c r="C154" s="131"/>
      <c r="D154" s="131"/>
      <c r="E154" s="131"/>
    </row>
    <row r="155" spans="1:5" ht="13.5" thickBot="1">
      <c r="A155" s="131"/>
      <c r="B155" s="117"/>
      <c r="C155" s="117"/>
      <c r="D155" s="117"/>
      <c r="E155" s="117"/>
    </row>
    <row r="156" spans="1:5" ht="18.75" thickBot="1">
      <c r="A156" s="132" t="s">
        <v>176</v>
      </c>
      <c r="B156" s="133"/>
      <c r="C156" s="133"/>
      <c r="D156" s="134"/>
      <c r="E156" s="134"/>
    </row>
    <row r="157" spans="1:5" ht="12.75">
      <c r="A157" s="515" t="s">
        <v>3</v>
      </c>
      <c r="B157" s="516"/>
      <c r="C157" s="512" t="s">
        <v>4</v>
      </c>
      <c r="D157" s="512" t="s">
        <v>5</v>
      </c>
      <c r="E157" s="512" t="s">
        <v>6</v>
      </c>
    </row>
    <row r="158" spans="1:5" ht="13.5" thickBot="1">
      <c r="A158" s="523"/>
      <c r="B158" s="524"/>
      <c r="C158" s="513"/>
      <c r="D158" s="513"/>
      <c r="E158" s="513"/>
    </row>
    <row r="159" spans="1:5" ht="16.5" thickBot="1">
      <c r="A159" s="525" t="s">
        <v>177</v>
      </c>
      <c r="B159" s="526"/>
      <c r="C159" s="135">
        <f>SUM(C160:C162)</f>
        <v>30427</v>
      </c>
      <c r="D159" s="135">
        <f>SUM(D160:D162)</f>
        <v>0</v>
      </c>
      <c r="E159" s="135">
        <f>SUM(E160:E162)</f>
        <v>0</v>
      </c>
    </row>
    <row r="160" spans="1:5" ht="12.75">
      <c r="A160" s="136">
        <v>411</v>
      </c>
      <c r="B160" s="137" t="s">
        <v>178</v>
      </c>
      <c r="C160" s="138">
        <v>427</v>
      </c>
      <c r="D160" s="138">
        <v>0</v>
      </c>
      <c r="E160" s="138">
        <v>0</v>
      </c>
    </row>
    <row r="161" spans="1:5" ht="12.75">
      <c r="A161" s="139">
        <v>454</v>
      </c>
      <c r="B161" s="45" t="s">
        <v>179</v>
      </c>
      <c r="C161" s="46">
        <v>0</v>
      </c>
      <c r="D161" s="46">
        <v>0</v>
      </c>
      <c r="E161" s="46">
        <v>0</v>
      </c>
    </row>
    <row r="162" spans="1:5" ht="13.5" thickBot="1">
      <c r="A162" s="140">
        <v>513</v>
      </c>
      <c r="B162" s="141" t="s">
        <v>180</v>
      </c>
      <c r="C162" s="142">
        <v>30000</v>
      </c>
      <c r="D162" s="142">
        <v>0</v>
      </c>
      <c r="E162" s="142">
        <v>0</v>
      </c>
    </row>
    <row r="163" spans="1:5" ht="16.5" thickBot="1">
      <c r="A163" s="525" t="s">
        <v>181</v>
      </c>
      <c r="B163" s="526"/>
      <c r="C163" s="135">
        <f>SUM(C164:C165)</f>
        <v>40700</v>
      </c>
      <c r="D163" s="135">
        <f>SUM(D164:D165)</f>
        <v>40700</v>
      </c>
      <c r="E163" s="135">
        <f>SUM(E164:E165)</f>
        <v>40700</v>
      </c>
    </row>
    <row r="164" spans="1:5" ht="12.75">
      <c r="A164" s="143">
        <v>821</v>
      </c>
      <c r="B164" s="137" t="s">
        <v>182</v>
      </c>
      <c r="C164" s="144">
        <v>40000</v>
      </c>
      <c r="D164" s="144">
        <v>40000</v>
      </c>
      <c r="E164" s="144">
        <v>40000</v>
      </c>
    </row>
    <row r="165" spans="1:5" ht="13.5" thickBot="1">
      <c r="A165" s="29">
        <v>821</v>
      </c>
      <c r="B165" s="145" t="s">
        <v>183</v>
      </c>
      <c r="C165" s="146">
        <v>700</v>
      </c>
      <c r="D165" s="146">
        <v>700</v>
      </c>
      <c r="E165" s="146">
        <v>700</v>
      </c>
    </row>
    <row r="166" spans="1:5" ht="15.75">
      <c r="A166" s="57"/>
      <c r="B166" s="116"/>
      <c r="C166" s="116"/>
      <c r="D166" s="116"/>
      <c r="E166" s="116"/>
    </row>
    <row r="167" spans="1:5" ht="15.75">
      <c r="A167" s="57"/>
      <c r="B167" s="116"/>
      <c r="C167" s="116"/>
      <c r="D167" s="116"/>
      <c r="E167" s="116"/>
    </row>
    <row r="168" spans="1:5" ht="15.75">
      <c r="A168" s="57"/>
      <c r="B168" s="116"/>
      <c r="C168" s="116"/>
      <c r="D168" s="116"/>
      <c r="E168" s="116"/>
    </row>
    <row r="169" spans="1:5" ht="15.75">
      <c r="A169" s="57"/>
      <c r="B169" s="116"/>
      <c r="C169" s="116"/>
      <c r="D169" s="116"/>
      <c r="E169" s="116"/>
    </row>
    <row r="170" spans="2:5" ht="13.5" thickBot="1">
      <c r="B170" s="117"/>
      <c r="C170" s="117"/>
      <c r="D170" s="117"/>
      <c r="E170" s="117"/>
    </row>
    <row r="171" spans="1:5" ht="18.75" thickBot="1">
      <c r="A171" s="147" t="s">
        <v>184</v>
      </c>
      <c r="B171" s="148"/>
      <c r="C171" s="148"/>
      <c r="D171" s="149"/>
      <c r="E171" s="149"/>
    </row>
    <row r="172" spans="1:5" ht="12.75">
      <c r="A172" s="515" t="s">
        <v>3</v>
      </c>
      <c r="B172" s="516"/>
      <c r="C172" s="512" t="s">
        <v>4</v>
      </c>
      <c r="D172" s="512" t="s">
        <v>5</v>
      </c>
      <c r="E172" s="512" t="s">
        <v>6</v>
      </c>
    </row>
    <row r="173" spans="1:5" ht="13.5" thickBot="1">
      <c r="A173" s="501"/>
      <c r="B173" s="502"/>
      <c r="C173" s="513"/>
      <c r="D173" s="513"/>
      <c r="E173" s="513"/>
    </row>
    <row r="174" spans="1:5" ht="15">
      <c r="A174" s="150" t="s">
        <v>185</v>
      </c>
      <c r="B174" s="19"/>
      <c r="C174" s="88">
        <f>C65</f>
        <v>1266364</v>
      </c>
      <c r="D174" s="88">
        <f>D65</f>
        <v>1262264</v>
      </c>
      <c r="E174" s="88">
        <f>E65</f>
        <v>1236264</v>
      </c>
    </row>
    <row r="175" spans="1:5" ht="15">
      <c r="A175" s="151" t="s">
        <v>186</v>
      </c>
      <c r="B175" s="12"/>
      <c r="C175" s="70">
        <f>C127</f>
        <v>1209041</v>
      </c>
      <c r="D175" s="70">
        <f>D127</f>
        <v>1221564</v>
      </c>
      <c r="E175" s="70">
        <f>E127</f>
        <v>1195564</v>
      </c>
    </row>
    <row r="176" spans="1:5" ht="15.75">
      <c r="A176" s="152"/>
      <c r="B176" s="153" t="s">
        <v>187</v>
      </c>
      <c r="C176" s="154">
        <f>C174-C175</f>
        <v>57323</v>
      </c>
      <c r="D176" s="154">
        <f>D174-D175</f>
        <v>40700</v>
      </c>
      <c r="E176" s="154">
        <f>E174-E175</f>
        <v>40700</v>
      </c>
    </row>
    <row r="177" spans="1:5" ht="15">
      <c r="A177" s="151" t="s">
        <v>188</v>
      </c>
      <c r="B177" s="12"/>
      <c r="C177" s="70">
        <f>C134</f>
        <v>210370</v>
      </c>
      <c r="D177" s="70">
        <f>D134</f>
        <v>0</v>
      </c>
      <c r="E177" s="70">
        <f>E134</f>
        <v>0</v>
      </c>
    </row>
    <row r="178" spans="1:5" ht="15">
      <c r="A178" s="151" t="s">
        <v>189</v>
      </c>
      <c r="B178" s="12"/>
      <c r="C178" s="13">
        <f>C139</f>
        <v>257420</v>
      </c>
      <c r="D178" s="13">
        <f>D139</f>
        <v>0</v>
      </c>
      <c r="E178" s="13">
        <f>E139</f>
        <v>0</v>
      </c>
    </row>
    <row r="179" spans="1:5" ht="15.75">
      <c r="A179" s="152"/>
      <c r="B179" s="155" t="s">
        <v>190</v>
      </c>
      <c r="C179" s="154">
        <f>C177-C178</f>
        <v>-47050</v>
      </c>
      <c r="D179" s="154">
        <f>D177-D178</f>
        <v>0</v>
      </c>
      <c r="E179" s="154">
        <f>E177-E178</f>
        <v>0</v>
      </c>
    </row>
    <row r="180" spans="1:5" ht="15">
      <c r="A180" s="500" t="s">
        <v>191</v>
      </c>
      <c r="B180" s="533"/>
      <c r="C180" s="82">
        <f>C159</f>
        <v>30427</v>
      </c>
      <c r="D180" s="82">
        <f>D159</f>
        <v>0</v>
      </c>
      <c r="E180" s="82">
        <f>E159</f>
        <v>0</v>
      </c>
    </row>
    <row r="181" spans="1:5" ht="15">
      <c r="A181" s="500" t="s">
        <v>192</v>
      </c>
      <c r="B181" s="533"/>
      <c r="C181" s="82">
        <f>C163</f>
        <v>40700</v>
      </c>
      <c r="D181" s="82">
        <f>D163</f>
        <v>40700</v>
      </c>
      <c r="E181" s="82">
        <f>E163</f>
        <v>40700</v>
      </c>
    </row>
    <row r="182" spans="1:5" ht="16.5" thickBot="1">
      <c r="A182" s="156"/>
      <c r="B182" s="157" t="s">
        <v>193</v>
      </c>
      <c r="C182" s="158">
        <f>C180-C181</f>
        <v>-10273</v>
      </c>
      <c r="D182" s="158">
        <f>D180-D181</f>
        <v>-40700</v>
      </c>
      <c r="E182" s="158">
        <f>E180-E181</f>
        <v>-40700</v>
      </c>
    </row>
    <row r="183" spans="1:5" ht="16.5" thickBot="1">
      <c r="A183" s="531" t="s">
        <v>194</v>
      </c>
      <c r="B183" s="532"/>
      <c r="C183" s="159">
        <f>C176+C179+C182</f>
        <v>0</v>
      </c>
      <c r="D183" s="159">
        <f>D176+D179+D182</f>
        <v>0</v>
      </c>
      <c r="E183" s="159">
        <f>E176+E179+E182</f>
        <v>0</v>
      </c>
    </row>
    <row r="185" spans="2:5" ht="12.75">
      <c r="B185" s="160" t="s">
        <v>195</v>
      </c>
      <c r="C185" s="161">
        <f aca="true" t="shared" si="0" ref="C185:E186">C174+C177+C180</f>
        <v>1507161</v>
      </c>
      <c r="D185" s="161">
        <f t="shared" si="0"/>
        <v>1262264</v>
      </c>
      <c r="E185" s="161">
        <f t="shared" si="0"/>
        <v>1236264</v>
      </c>
    </row>
    <row r="186" spans="2:5" ht="12.75">
      <c r="B186" s="160" t="s">
        <v>196</v>
      </c>
      <c r="C186" s="161">
        <f t="shared" si="0"/>
        <v>1507161</v>
      </c>
      <c r="D186" s="161">
        <f t="shared" si="0"/>
        <v>1262264</v>
      </c>
      <c r="E186" s="161">
        <f t="shared" si="0"/>
        <v>1236264</v>
      </c>
    </row>
    <row r="187" spans="2:5" ht="12.75">
      <c r="B187" s="160"/>
      <c r="C187" s="161"/>
      <c r="D187" s="161"/>
      <c r="E187" s="161"/>
    </row>
    <row r="188" spans="2:5" ht="12.75">
      <c r="B188" s="160" t="s">
        <v>197</v>
      </c>
      <c r="C188" s="161">
        <f>C185-C64</f>
        <v>1506661</v>
      </c>
      <c r="D188" s="161">
        <f>D185-D64</f>
        <v>1261764</v>
      </c>
      <c r="E188" s="161">
        <f>E185-E64</f>
        <v>1235764</v>
      </c>
    </row>
    <row r="189" spans="2:5" ht="12.75">
      <c r="B189" s="160" t="s">
        <v>198</v>
      </c>
      <c r="C189" s="161">
        <f>C186-C126</f>
        <v>1156161</v>
      </c>
      <c r="D189" s="161">
        <f>D186-D126</f>
        <v>914864</v>
      </c>
      <c r="E189" s="161">
        <f>E186-E126</f>
        <v>902864</v>
      </c>
    </row>
  </sheetData>
  <sheetProtection/>
  <mergeCells count="39">
    <mergeCell ref="C6:C7"/>
    <mergeCell ref="D6:D7"/>
    <mergeCell ref="E6:E7"/>
    <mergeCell ref="A8:B8"/>
    <mergeCell ref="A6:B7"/>
    <mergeCell ref="A18:B18"/>
    <mergeCell ref="A37:B37"/>
    <mergeCell ref="A39:B39"/>
    <mergeCell ref="A69:B70"/>
    <mergeCell ref="A1:E1"/>
    <mergeCell ref="A2:D2"/>
    <mergeCell ref="A3:D3"/>
    <mergeCell ref="A4:D4"/>
    <mergeCell ref="A139:B139"/>
    <mergeCell ref="A157:B158"/>
    <mergeCell ref="D69:D70"/>
    <mergeCell ref="A108:B108"/>
    <mergeCell ref="A126:B126"/>
    <mergeCell ref="A132:B133"/>
    <mergeCell ref="C132:C133"/>
    <mergeCell ref="D132:D133"/>
    <mergeCell ref="E69:E70"/>
    <mergeCell ref="A76:B76"/>
    <mergeCell ref="A78:B78"/>
    <mergeCell ref="C69:C70"/>
    <mergeCell ref="E132:E133"/>
    <mergeCell ref="A159:B159"/>
    <mergeCell ref="A163:B163"/>
    <mergeCell ref="A180:B180"/>
    <mergeCell ref="D172:D173"/>
    <mergeCell ref="E172:E173"/>
    <mergeCell ref="D157:D158"/>
    <mergeCell ref="E157:E158"/>
    <mergeCell ref="C157:C158"/>
    <mergeCell ref="A134:B134"/>
    <mergeCell ref="A181:B181"/>
    <mergeCell ref="A183:B183"/>
    <mergeCell ref="A172:B173"/>
    <mergeCell ref="C172:C17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selection activeCell="A1" sqref="A1:P1"/>
    </sheetView>
  </sheetViews>
  <sheetFormatPr defaultColWidth="9.140625" defaultRowHeight="12.75"/>
  <cols>
    <col min="1" max="1" width="3.00390625" style="0" customWidth="1"/>
    <col min="2" max="2" width="2.00390625" style="0" customWidth="1"/>
    <col min="3" max="3" width="2.7109375" style="0" customWidth="1"/>
    <col min="4" max="4" width="27.57421875" style="0" customWidth="1"/>
    <col min="5" max="5" width="7.8515625" style="0" customWidth="1"/>
    <col min="6" max="6" width="7.421875" style="0" customWidth="1"/>
    <col min="7" max="7" width="7.7109375" style="0" customWidth="1"/>
    <col min="9" max="10" width="7.57421875" style="0" customWidth="1"/>
    <col min="11" max="11" width="7.140625" style="0" customWidth="1"/>
    <col min="12" max="12" width="8.7109375" style="0" customWidth="1"/>
    <col min="13" max="13" width="7.57421875" style="0" customWidth="1"/>
    <col min="14" max="14" width="7.28125" style="0" customWidth="1"/>
    <col min="15" max="16" width="7.7109375" style="0" customWidth="1"/>
  </cols>
  <sheetData>
    <row r="1" spans="1:16" ht="18">
      <c r="A1" s="552" t="s">
        <v>317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8.75" thickBot="1">
      <c r="A2" s="553" t="s">
        <v>350</v>
      </c>
      <c r="B2" s="553"/>
      <c r="C2" s="553"/>
      <c r="D2" s="553"/>
      <c r="E2" s="553"/>
      <c r="F2" s="553"/>
      <c r="G2" s="553"/>
      <c r="H2" s="553"/>
      <c r="I2" s="204" t="s">
        <v>475</v>
      </c>
      <c r="J2" s="204"/>
      <c r="K2" s="204"/>
      <c r="L2" s="204"/>
      <c r="M2" s="205"/>
      <c r="N2" s="205"/>
      <c r="O2" s="205"/>
      <c r="P2" s="205"/>
    </row>
    <row r="3" spans="1:16" ht="13.5" thickBot="1">
      <c r="A3" s="554" t="s">
        <v>234</v>
      </c>
      <c r="B3" s="555"/>
      <c r="C3" s="555"/>
      <c r="D3" s="556"/>
      <c r="E3" s="560" t="s">
        <v>351</v>
      </c>
      <c r="F3" s="561"/>
      <c r="G3" s="561"/>
      <c r="H3" s="562"/>
      <c r="I3" s="563" t="s">
        <v>352</v>
      </c>
      <c r="J3" s="563"/>
      <c r="K3" s="563"/>
      <c r="L3" s="564"/>
      <c r="M3" s="560" t="s">
        <v>476</v>
      </c>
      <c r="N3" s="561"/>
      <c r="O3" s="561"/>
      <c r="P3" s="562"/>
    </row>
    <row r="4" spans="1:16" ht="45" customHeight="1" thickBot="1">
      <c r="A4" s="557"/>
      <c r="B4" s="558"/>
      <c r="C4" s="558"/>
      <c r="D4" s="559"/>
      <c r="E4" s="206" t="s">
        <v>235</v>
      </c>
      <c r="F4" s="207" t="s">
        <v>236</v>
      </c>
      <c r="G4" s="208" t="s">
        <v>237</v>
      </c>
      <c r="H4" s="209" t="s">
        <v>238</v>
      </c>
      <c r="I4" s="210" t="s">
        <v>235</v>
      </c>
      <c r="J4" s="208" t="s">
        <v>236</v>
      </c>
      <c r="K4" s="207" t="s">
        <v>237</v>
      </c>
      <c r="L4" s="207" t="s">
        <v>238</v>
      </c>
      <c r="M4" s="206" t="s">
        <v>235</v>
      </c>
      <c r="N4" s="208" t="s">
        <v>236</v>
      </c>
      <c r="O4" s="207" t="s">
        <v>237</v>
      </c>
      <c r="P4" s="211" t="s">
        <v>238</v>
      </c>
    </row>
    <row r="5" spans="1:16" ht="30" customHeight="1" thickBot="1">
      <c r="A5" s="212" t="s">
        <v>239</v>
      </c>
      <c r="B5" s="213" t="s">
        <v>240</v>
      </c>
      <c r="C5" s="214" t="s">
        <v>241</v>
      </c>
      <c r="D5" s="215" t="s">
        <v>242</v>
      </c>
      <c r="E5" s="216">
        <f aca="true" t="shared" si="0" ref="E5:P5">E6+E14+E33+E36+E38+E42+E47+E50+E62+E68+E71</f>
        <v>858041</v>
      </c>
      <c r="F5" s="216">
        <f t="shared" si="0"/>
        <v>257420</v>
      </c>
      <c r="G5" s="216">
        <f t="shared" si="0"/>
        <v>40700</v>
      </c>
      <c r="H5" s="216">
        <f t="shared" si="0"/>
        <v>1156161</v>
      </c>
      <c r="I5" s="216">
        <f t="shared" si="0"/>
        <v>950080</v>
      </c>
      <c r="J5" s="216">
        <f t="shared" si="0"/>
        <v>659209</v>
      </c>
      <c r="K5" s="216">
        <f t="shared" si="0"/>
        <v>40700</v>
      </c>
      <c r="L5" s="217">
        <f t="shared" si="0"/>
        <v>1649989</v>
      </c>
      <c r="M5" s="216">
        <f t="shared" si="0"/>
        <v>827266.5</v>
      </c>
      <c r="N5" s="216">
        <f t="shared" si="0"/>
        <v>88409.64</v>
      </c>
      <c r="O5" s="216">
        <f t="shared" si="0"/>
        <v>30422.6</v>
      </c>
      <c r="P5" s="218">
        <f t="shared" si="0"/>
        <v>946098.74</v>
      </c>
    </row>
    <row r="6" spans="1:16" ht="15" thickBot="1">
      <c r="A6" s="567" t="s">
        <v>243</v>
      </c>
      <c r="B6" s="568"/>
      <c r="C6" s="568"/>
      <c r="D6" s="568"/>
      <c r="E6" s="219">
        <f aca="true" t="shared" si="1" ref="E6:P6">SUM(E7:E13)-E8-E9</f>
        <v>164301</v>
      </c>
      <c r="F6" s="219">
        <f t="shared" si="1"/>
        <v>30000</v>
      </c>
      <c r="G6" s="219">
        <f t="shared" si="1"/>
        <v>40700</v>
      </c>
      <c r="H6" s="219">
        <f t="shared" si="1"/>
        <v>235001</v>
      </c>
      <c r="I6" s="223">
        <f t="shared" si="1"/>
        <v>203911</v>
      </c>
      <c r="J6" s="224">
        <f t="shared" si="1"/>
        <v>33681</v>
      </c>
      <c r="K6" s="224">
        <f t="shared" si="1"/>
        <v>40700</v>
      </c>
      <c r="L6" s="225">
        <f t="shared" si="1"/>
        <v>278292</v>
      </c>
      <c r="M6" s="219">
        <f t="shared" si="1"/>
        <v>178490.42</v>
      </c>
      <c r="N6" s="221">
        <f t="shared" si="1"/>
        <v>2260.84</v>
      </c>
      <c r="O6" s="221">
        <f t="shared" si="1"/>
        <v>30422.6</v>
      </c>
      <c r="P6" s="226">
        <f t="shared" si="1"/>
        <v>211173.86000000002</v>
      </c>
    </row>
    <row r="7" spans="1:16" ht="12.75">
      <c r="A7" s="569">
        <v>1</v>
      </c>
      <c r="B7" s="572">
        <v>1</v>
      </c>
      <c r="C7" s="565" t="s">
        <v>244</v>
      </c>
      <c r="D7" s="566"/>
      <c r="E7" s="227">
        <f aca="true" t="shared" si="2" ref="E7:P7">E8+E9</f>
        <v>152051</v>
      </c>
      <c r="F7" s="228">
        <f t="shared" si="2"/>
        <v>0</v>
      </c>
      <c r="G7" s="228">
        <f t="shared" si="2"/>
        <v>0</v>
      </c>
      <c r="H7" s="229">
        <f t="shared" si="2"/>
        <v>152051</v>
      </c>
      <c r="I7" s="456">
        <f t="shared" si="2"/>
        <v>153785</v>
      </c>
      <c r="J7" s="230">
        <f t="shared" si="2"/>
        <v>0</v>
      </c>
      <c r="K7" s="230">
        <f t="shared" si="2"/>
        <v>0</v>
      </c>
      <c r="L7" s="231">
        <f t="shared" si="2"/>
        <v>153785</v>
      </c>
      <c r="M7" s="227">
        <f t="shared" si="2"/>
        <v>140124.33</v>
      </c>
      <c r="N7" s="228">
        <f t="shared" si="2"/>
        <v>0</v>
      </c>
      <c r="O7" s="228">
        <f t="shared" si="2"/>
        <v>0</v>
      </c>
      <c r="P7" s="229">
        <f t="shared" si="2"/>
        <v>140124.33</v>
      </c>
    </row>
    <row r="8" spans="1:16" ht="12.75">
      <c r="A8" s="570"/>
      <c r="B8" s="573"/>
      <c r="C8" s="233">
        <v>1</v>
      </c>
      <c r="D8" s="234" t="s">
        <v>245</v>
      </c>
      <c r="E8" s="235">
        <v>147521</v>
      </c>
      <c r="F8" s="236"/>
      <c r="G8" s="237"/>
      <c r="H8" s="238">
        <f aca="true" t="shared" si="3" ref="H8:H13">SUM(E8:G8)</f>
        <v>147521</v>
      </c>
      <c r="I8" s="240">
        <v>149255</v>
      </c>
      <c r="J8" s="237"/>
      <c r="K8" s="237"/>
      <c r="L8" s="236">
        <f aca="true" t="shared" si="4" ref="L8:L13">SUM(I8:K8)</f>
        <v>149255</v>
      </c>
      <c r="M8" s="235">
        <v>137115.99</v>
      </c>
      <c r="N8" s="237"/>
      <c r="O8" s="237"/>
      <c r="P8" s="239">
        <f aca="true" t="shared" si="5" ref="P8:P13">SUM(M8:O8)</f>
        <v>137115.99</v>
      </c>
    </row>
    <row r="9" spans="1:16" ht="12.75">
      <c r="A9" s="570"/>
      <c r="B9" s="574"/>
      <c r="C9" s="233">
        <v>2</v>
      </c>
      <c r="D9" s="234" t="s">
        <v>246</v>
      </c>
      <c r="E9" s="235">
        <v>4530</v>
      </c>
      <c r="F9" s="236"/>
      <c r="G9" s="237"/>
      <c r="H9" s="238">
        <f t="shared" si="3"/>
        <v>4530</v>
      </c>
      <c r="I9" s="240">
        <v>4530</v>
      </c>
      <c r="J9" s="237"/>
      <c r="K9" s="237"/>
      <c r="L9" s="236">
        <f t="shared" si="4"/>
        <v>4530</v>
      </c>
      <c r="M9" s="235">
        <v>3008.34</v>
      </c>
      <c r="N9" s="237"/>
      <c r="O9" s="237"/>
      <c r="P9" s="239">
        <f t="shared" si="5"/>
        <v>3008.34</v>
      </c>
    </row>
    <row r="10" spans="1:16" ht="12.75">
      <c r="A10" s="570"/>
      <c r="B10" s="241">
        <v>2</v>
      </c>
      <c r="C10" s="565" t="s">
        <v>247</v>
      </c>
      <c r="D10" s="566"/>
      <c r="E10" s="242">
        <v>6350</v>
      </c>
      <c r="F10" s="243"/>
      <c r="G10" s="244"/>
      <c r="H10" s="245">
        <f t="shared" si="3"/>
        <v>6350</v>
      </c>
      <c r="I10" s="382">
        <v>6350</v>
      </c>
      <c r="J10" s="228"/>
      <c r="K10" s="244"/>
      <c r="L10" s="243">
        <f t="shared" si="4"/>
        <v>6350</v>
      </c>
      <c r="M10" s="242">
        <v>6020.46</v>
      </c>
      <c r="N10" s="244"/>
      <c r="O10" s="244"/>
      <c r="P10" s="247">
        <f t="shared" si="5"/>
        <v>6020.46</v>
      </c>
    </row>
    <row r="11" spans="1:16" ht="12.75">
      <c r="A11" s="570"/>
      <c r="B11" s="248">
        <v>3</v>
      </c>
      <c r="C11" s="575" t="s">
        <v>248</v>
      </c>
      <c r="D11" s="576"/>
      <c r="E11" s="242">
        <v>1500</v>
      </c>
      <c r="F11" s="243"/>
      <c r="G11" s="249"/>
      <c r="H11" s="245">
        <f t="shared" si="3"/>
        <v>1500</v>
      </c>
      <c r="I11" s="382">
        <v>1630</v>
      </c>
      <c r="J11" s="228"/>
      <c r="K11" s="249"/>
      <c r="L11" s="243">
        <f t="shared" si="4"/>
        <v>1630</v>
      </c>
      <c r="M11" s="242">
        <v>1627.64</v>
      </c>
      <c r="N11" s="244"/>
      <c r="O11" s="249"/>
      <c r="P11" s="247">
        <f t="shared" si="5"/>
        <v>1627.64</v>
      </c>
    </row>
    <row r="12" spans="1:16" ht="12.75">
      <c r="A12" s="570"/>
      <c r="B12" s="250">
        <v>4</v>
      </c>
      <c r="C12" s="577" t="s">
        <v>249</v>
      </c>
      <c r="D12" s="576"/>
      <c r="E12" s="251">
        <v>0</v>
      </c>
      <c r="F12" s="252">
        <v>30000</v>
      </c>
      <c r="G12" s="253">
        <v>40700</v>
      </c>
      <c r="H12" s="245">
        <f t="shared" si="3"/>
        <v>70700</v>
      </c>
      <c r="I12" s="411">
        <v>37746</v>
      </c>
      <c r="J12" s="457">
        <v>33681</v>
      </c>
      <c r="K12" s="412">
        <v>40700</v>
      </c>
      <c r="L12" s="243">
        <f t="shared" si="4"/>
        <v>112127</v>
      </c>
      <c r="M12" s="251">
        <v>28876.91</v>
      </c>
      <c r="N12" s="256">
        <v>2260.84</v>
      </c>
      <c r="O12" s="253">
        <v>30422.6</v>
      </c>
      <c r="P12" s="247">
        <f t="shared" si="5"/>
        <v>61560.35</v>
      </c>
    </row>
    <row r="13" spans="1:16" ht="13.5" thickBot="1">
      <c r="A13" s="571"/>
      <c r="B13" s="257">
        <v>5</v>
      </c>
      <c r="C13" s="578" t="s">
        <v>250</v>
      </c>
      <c r="D13" s="579"/>
      <c r="E13" s="258">
        <f>2000+1000+1400</f>
        <v>4400</v>
      </c>
      <c r="F13" s="259"/>
      <c r="G13" s="260"/>
      <c r="H13" s="261">
        <f t="shared" si="3"/>
        <v>4400</v>
      </c>
      <c r="I13" s="458">
        <f>2000+1000+1400</f>
        <v>4400</v>
      </c>
      <c r="J13" s="262"/>
      <c r="K13" s="260"/>
      <c r="L13" s="263">
        <f t="shared" si="4"/>
        <v>4400</v>
      </c>
      <c r="M13" s="258">
        <f>715.23+62.51+1063.34</f>
        <v>1841.08</v>
      </c>
      <c r="N13" s="262"/>
      <c r="O13" s="260"/>
      <c r="P13" s="264">
        <f t="shared" si="5"/>
        <v>1841.08</v>
      </c>
    </row>
    <row r="14" spans="1:16" ht="15" thickBot="1">
      <c r="A14" s="580" t="s">
        <v>251</v>
      </c>
      <c r="B14" s="581"/>
      <c r="C14" s="581"/>
      <c r="D14" s="581"/>
      <c r="E14" s="265">
        <f aca="true" t="shared" si="6" ref="E14:P14">E15+E18+E19+E22+E25+E26+E27+E31</f>
        <v>161140</v>
      </c>
      <c r="F14" s="224">
        <f t="shared" si="6"/>
        <v>7550</v>
      </c>
      <c r="G14" s="224">
        <f t="shared" si="6"/>
        <v>0</v>
      </c>
      <c r="H14" s="266">
        <f t="shared" si="6"/>
        <v>168690</v>
      </c>
      <c r="I14" s="459">
        <f t="shared" si="6"/>
        <v>165984</v>
      </c>
      <c r="J14" s="460">
        <f t="shared" si="6"/>
        <v>7550</v>
      </c>
      <c r="K14" s="224">
        <f t="shared" si="6"/>
        <v>0</v>
      </c>
      <c r="L14" s="225">
        <f t="shared" si="6"/>
        <v>173534</v>
      </c>
      <c r="M14" s="265">
        <f t="shared" si="6"/>
        <v>138641.21</v>
      </c>
      <c r="N14" s="224">
        <f t="shared" si="6"/>
        <v>7550</v>
      </c>
      <c r="O14" s="224">
        <f t="shared" si="6"/>
        <v>0</v>
      </c>
      <c r="P14" s="266">
        <f t="shared" si="6"/>
        <v>146191.21</v>
      </c>
    </row>
    <row r="15" spans="1:16" ht="12.75">
      <c r="A15" s="582">
        <v>2</v>
      </c>
      <c r="B15" s="583">
        <v>1</v>
      </c>
      <c r="C15" s="584" t="s">
        <v>252</v>
      </c>
      <c r="D15" s="585"/>
      <c r="E15" s="267">
        <f aca="true" t="shared" si="7" ref="E15:P15">E16+E17</f>
        <v>400</v>
      </c>
      <c r="F15" s="268">
        <f t="shared" si="7"/>
        <v>0</v>
      </c>
      <c r="G15" s="268">
        <f t="shared" si="7"/>
        <v>0</v>
      </c>
      <c r="H15" s="269">
        <f t="shared" si="7"/>
        <v>400</v>
      </c>
      <c r="I15" s="456">
        <f t="shared" si="7"/>
        <v>550</v>
      </c>
      <c r="J15" s="230">
        <f t="shared" si="7"/>
        <v>0</v>
      </c>
      <c r="K15" s="268">
        <f t="shared" si="7"/>
        <v>0</v>
      </c>
      <c r="L15" s="271">
        <f t="shared" si="7"/>
        <v>550</v>
      </c>
      <c r="M15" s="267">
        <f t="shared" si="7"/>
        <v>382.54</v>
      </c>
      <c r="N15" s="268">
        <f t="shared" si="7"/>
        <v>0</v>
      </c>
      <c r="O15" s="268">
        <f t="shared" si="7"/>
        <v>0</v>
      </c>
      <c r="P15" s="269">
        <f t="shared" si="7"/>
        <v>382.54</v>
      </c>
    </row>
    <row r="16" spans="1:16" ht="12.75">
      <c r="A16" s="570"/>
      <c r="B16" s="573"/>
      <c r="C16" s="233">
        <v>1</v>
      </c>
      <c r="D16" s="234" t="s">
        <v>143</v>
      </c>
      <c r="E16" s="235">
        <v>300</v>
      </c>
      <c r="F16" s="236"/>
      <c r="G16" s="237"/>
      <c r="H16" s="272">
        <f>SUM(E16:G16)</f>
        <v>300</v>
      </c>
      <c r="I16" s="240">
        <v>300</v>
      </c>
      <c r="J16" s="237"/>
      <c r="K16" s="237"/>
      <c r="L16" s="273">
        <f>SUM(I16:K16)</f>
        <v>300</v>
      </c>
      <c r="M16" s="235">
        <v>213.71</v>
      </c>
      <c r="N16" s="237"/>
      <c r="O16" s="237"/>
      <c r="P16" s="274">
        <f>SUM(M16:O16)</f>
        <v>213.71</v>
      </c>
    </row>
    <row r="17" spans="1:16" ht="12.75">
      <c r="A17" s="570"/>
      <c r="B17" s="574"/>
      <c r="C17" s="233">
        <v>2</v>
      </c>
      <c r="D17" s="234" t="s">
        <v>112</v>
      </c>
      <c r="E17" s="235">
        <v>100</v>
      </c>
      <c r="F17" s="236"/>
      <c r="G17" s="237"/>
      <c r="H17" s="272">
        <f>SUM(E17:G17)</f>
        <v>100</v>
      </c>
      <c r="I17" s="240">
        <v>250</v>
      </c>
      <c r="J17" s="237"/>
      <c r="K17" s="237"/>
      <c r="L17" s="273">
        <f>SUM(I17:K17)</f>
        <v>250</v>
      </c>
      <c r="M17" s="235">
        <v>168.83</v>
      </c>
      <c r="N17" s="237"/>
      <c r="O17" s="237"/>
      <c r="P17" s="274">
        <f>SUM(M17:O17)</f>
        <v>168.83</v>
      </c>
    </row>
    <row r="18" spans="1:16" ht="12.75">
      <c r="A18" s="570"/>
      <c r="B18" s="241">
        <v>2</v>
      </c>
      <c r="C18" s="565" t="s">
        <v>253</v>
      </c>
      <c r="D18" s="566"/>
      <c r="E18" s="242">
        <v>3700</v>
      </c>
      <c r="F18" s="243"/>
      <c r="G18" s="244"/>
      <c r="H18" s="245">
        <f>SUM(E18:G18)</f>
        <v>3700</v>
      </c>
      <c r="I18" s="382">
        <v>3734</v>
      </c>
      <c r="J18" s="228"/>
      <c r="K18" s="244"/>
      <c r="L18" s="243">
        <f>SUM(I18:K18)</f>
        <v>3734</v>
      </c>
      <c r="M18" s="242">
        <v>3733.96</v>
      </c>
      <c r="N18" s="244"/>
      <c r="O18" s="244"/>
      <c r="P18" s="247">
        <f>SUM(M18:O18)</f>
        <v>3733.96</v>
      </c>
    </row>
    <row r="19" spans="1:16" ht="12.75">
      <c r="A19" s="570"/>
      <c r="B19" s="572">
        <v>3</v>
      </c>
      <c r="C19" s="565" t="s">
        <v>254</v>
      </c>
      <c r="D19" s="566"/>
      <c r="E19" s="242">
        <f aca="true" t="shared" si="8" ref="E19:P19">E20+E21</f>
        <v>8500</v>
      </c>
      <c r="F19" s="244">
        <f t="shared" si="8"/>
        <v>0</v>
      </c>
      <c r="G19" s="244">
        <f t="shared" si="8"/>
        <v>0</v>
      </c>
      <c r="H19" s="247">
        <f t="shared" si="8"/>
        <v>8500</v>
      </c>
      <c r="I19" s="382">
        <f t="shared" si="8"/>
        <v>9000</v>
      </c>
      <c r="J19" s="228">
        <f t="shared" si="8"/>
        <v>0</v>
      </c>
      <c r="K19" s="244">
        <f t="shared" si="8"/>
        <v>0</v>
      </c>
      <c r="L19" s="243">
        <f t="shared" si="8"/>
        <v>9000</v>
      </c>
      <c r="M19" s="242">
        <f t="shared" si="8"/>
        <v>5838.0599999999995</v>
      </c>
      <c r="N19" s="244">
        <f t="shared" si="8"/>
        <v>0</v>
      </c>
      <c r="O19" s="244">
        <f t="shared" si="8"/>
        <v>0</v>
      </c>
      <c r="P19" s="247">
        <f t="shared" si="8"/>
        <v>5838.0599999999995</v>
      </c>
    </row>
    <row r="20" spans="1:16" ht="12.75">
      <c r="A20" s="570"/>
      <c r="B20" s="573"/>
      <c r="C20" s="233">
        <v>1</v>
      </c>
      <c r="D20" s="234" t="s">
        <v>255</v>
      </c>
      <c r="E20" s="276">
        <v>5000</v>
      </c>
      <c r="F20" s="273"/>
      <c r="G20" s="277"/>
      <c r="H20" s="272">
        <f>SUM(E20:G20)</f>
        <v>5000</v>
      </c>
      <c r="I20" s="278">
        <v>5000</v>
      </c>
      <c r="J20" s="277"/>
      <c r="K20" s="277"/>
      <c r="L20" s="273">
        <f>SUM(I20:K20)</f>
        <v>5000</v>
      </c>
      <c r="M20" s="276">
        <v>2484.89</v>
      </c>
      <c r="N20" s="277"/>
      <c r="O20" s="277"/>
      <c r="P20" s="274">
        <f>SUM(M20:O20)</f>
        <v>2484.89</v>
      </c>
    </row>
    <row r="21" spans="1:16" ht="12.75">
      <c r="A21" s="570"/>
      <c r="B21" s="574"/>
      <c r="C21" s="233">
        <v>2</v>
      </c>
      <c r="D21" s="234" t="s">
        <v>256</v>
      </c>
      <c r="E21" s="276">
        <v>3500</v>
      </c>
      <c r="F21" s="273"/>
      <c r="G21" s="277"/>
      <c r="H21" s="272">
        <f>SUM(E21:G21)</f>
        <v>3500</v>
      </c>
      <c r="I21" s="278">
        <v>4000</v>
      </c>
      <c r="J21" s="277"/>
      <c r="K21" s="277"/>
      <c r="L21" s="273">
        <f>SUM(I21:K21)</f>
        <v>4000</v>
      </c>
      <c r="M21" s="276">
        <v>3353.17</v>
      </c>
      <c r="N21" s="277"/>
      <c r="O21" s="277"/>
      <c r="P21" s="274">
        <f>SUM(M21:O21)</f>
        <v>3353.17</v>
      </c>
    </row>
    <row r="22" spans="1:16" ht="12.75">
      <c r="A22" s="570"/>
      <c r="B22" s="572">
        <v>4</v>
      </c>
      <c r="C22" s="565" t="s">
        <v>257</v>
      </c>
      <c r="D22" s="566"/>
      <c r="E22" s="227">
        <f aca="true" t="shared" si="9" ref="E22:P22">SUM(E23:E24)</f>
        <v>2420</v>
      </c>
      <c r="F22" s="228">
        <f t="shared" si="9"/>
        <v>0</v>
      </c>
      <c r="G22" s="228">
        <f t="shared" si="9"/>
        <v>0</v>
      </c>
      <c r="H22" s="229">
        <f t="shared" si="9"/>
        <v>2420</v>
      </c>
      <c r="I22" s="382">
        <f t="shared" si="9"/>
        <v>3220</v>
      </c>
      <c r="J22" s="228">
        <f t="shared" si="9"/>
        <v>0</v>
      </c>
      <c r="K22" s="228">
        <f t="shared" si="9"/>
        <v>0</v>
      </c>
      <c r="L22" s="279">
        <f t="shared" si="9"/>
        <v>3220</v>
      </c>
      <c r="M22" s="227">
        <f t="shared" si="9"/>
        <v>2633.3599999999997</v>
      </c>
      <c r="N22" s="228">
        <f t="shared" si="9"/>
        <v>0</v>
      </c>
      <c r="O22" s="228">
        <f t="shared" si="9"/>
        <v>0</v>
      </c>
      <c r="P22" s="229">
        <f t="shared" si="9"/>
        <v>2633.3599999999997</v>
      </c>
    </row>
    <row r="23" spans="1:16" ht="12.75">
      <c r="A23" s="570"/>
      <c r="B23" s="573"/>
      <c r="C23" s="233">
        <v>1</v>
      </c>
      <c r="D23" s="234" t="s">
        <v>258</v>
      </c>
      <c r="E23" s="276">
        <v>1700</v>
      </c>
      <c r="F23" s="273"/>
      <c r="G23" s="277"/>
      <c r="H23" s="272">
        <f>SUM(E23:G23)</f>
        <v>1700</v>
      </c>
      <c r="I23" s="278">
        <v>2500</v>
      </c>
      <c r="J23" s="277"/>
      <c r="K23" s="277"/>
      <c r="L23" s="273">
        <f>SUM(I23:K23)</f>
        <v>2500</v>
      </c>
      <c r="M23" s="276">
        <v>2070.56</v>
      </c>
      <c r="N23" s="277"/>
      <c r="O23" s="277"/>
      <c r="P23" s="274">
        <f>SUM(M23:O23)</f>
        <v>2070.56</v>
      </c>
    </row>
    <row r="24" spans="1:16" ht="12.75">
      <c r="A24" s="570"/>
      <c r="B24" s="574"/>
      <c r="C24" s="280">
        <v>2</v>
      </c>
      <c r="D24" s="281" t="s">
        <v>259</v>
      </c>
      <c r="E24" s="282">
        <v>720</v>
      </c>
      <c r="F24" s="283"/>
      <c r="G24" s="284"/>
      <c r="H24" s="272">
        <f>SUM(E24:G24)</f>
        <v>720</v>
      </c>
      <c r="I24" s="285">
        <v>720</v>
      </c>
      <c r="J24" s="284"/>
      <c r="K24" s="284"/>
      <c r="L24" s="273">
        <f>SUM(I24:K24)</f>
        <v>720</v>
      </c>
      <c r="M24" s="282">
        <v>562.8</v>
      </c>
      <c r="N24" s="284"/>
      <c r="O24" s="284"/>
      <c r="P24" s="274">
        <f>SUM(M24:O24)</f>
        <v>562.8</v>
      </c>
    </row>
    <row r="25" spans="1:16" ht="12.75">
      <c r="A25" s="570"/>
      <c r="B25" s="286">
        <v>5</v>
      </c>
      <c r="C25" s="565" t="s">
        <v>260</v>
      </c>
      <c r="D25" s="566"/>
      <c r="E25" s="287">
        <v>12500</v>
      </c>
      <c r="F25" s="288"/>
      <c r="G25" s="289"/>
      <c r="H25" s="245">
        <f>SUM(E25:G25)</f>
        <v>12500</v>
      </c>
      <c r="I25" s="290">
        <v>14200</v>
      </c>
      <c r="J25" s="289"/>
      <c r="K25" s="289"/>
      <c r="L25" s="243">
        <f>SUM(I25:K25)</f>
        <v>14200</v>
      </c>
      <c r="M25" s="287">
        <v>13928.93</v>
      </c>
      <c r="N25" s="289"/>
      <c r="O25" s="289"/>
      <c r="P25" s="247">
        <f>SUM(M25:O25)</f>
        <v>13928.93</v>
      </c>
    </row>
    <row r="26" spans="1:16" ht="12.75">
      <c r="A26" s="570"/>
      <c r="B26" s="286">
        <v>6</v>
      </c>
      <c r="C26" s="565" t="s">
        <v>261</v>
      </c>
      <c r="D26" s="566"/>
      <c r="E26" s="287">
        <v>87620</v>
      </c>
      <c r="F26" s="288">
        <v>7550</v>
      </c>
      <c r="G26" s="289"/>
      <c r="H26" s="245">
        <f>SUM(E26:G26)</f>
        <v>95170</v>
      </c>
      <c r="I26" s="290">
        <v>88920</v>
      </c>
      <c r="J26" s="289">
        <v>7550</v>
      </c>
      <c r="K26" s="289"/>
      <c r="L26" s="243">
        <f>SUM(I26:K26)</f>
        <v>96470</v>
      </c>
      <c r="M26" s="287">
        <v>68434.9</v>
      </c>
      <c r="N26" s="289">
        <v>7550</v>
      </c>
      <c r="O26" s="289"/>
      <c r="P26" s="247">
        <f>SUM(M26:O26)</f>
        <v>75984.9</v>
      </c>
    </row>
    <row r="27" spans="1:16" ht="12.75">
      <c r="A27" s="570"/>
      <c r="B27" s="572">
        <v>7</v>
      </c>
      <c r="C27" s="565" t="s">
        <v>262</v>
      </c>
      <c r="D27" s="566"/>
      <c r="E27" s="287">
        <f aca="true" t="shared" si="10" ref="E27:P27">SUM(E28:E30)</f>
        <v>43000</v>
      </c>
      <c r="F27" s="289">
        <f t="shared" si="10"/>
        <v>0</v>
      </c>
      <c r="G27" s="289">
        <f t="shared" si="10"/>
        <v>0</v>
      </c>
      <c r="H27" s="291">
        <f t="shared" si="10"/>
        <v>43000</v>
      </c>
      <c r="I27" s="290">
        <f t="shared" si="10"/>
        <v>43000</v>
      </c>
      <c r="J27" s="289">
        <f t="shared" si="10"/>
        <v>0</v>
      </c>
      <c r="K27" s="289">
        <f t="shared" si="10"/>
        <v>0</v>
      </c>
      <c r="L27" s="288">
        <f t="shared" si="10"/>
        <v>43000</v>
      </c>
      <c r="M27" s="287">
        <f t="shared" si="10"/>
        <v>40443.46</v>
      </c>
      <c r="N27" s="289">
        <f t="shared" si="10"/>
        <v>0</v>
      </c>
      <c r="O27" s="289">
        <f t="shared" si="10"/>
        <v>0</v>
      </c>
      <c r="P27" s="291">
        <f t="shared" si="10"/>
        <v>40443.46</v>
      </c>
    </row>
    <row r="28" spans="1:16" ht="12.75">
      <c r="A28" s="570"/>
      <c r="B28" s="573"/>
      <c r="C28" s="233">
        <v>1</v>
      </c>
      <c r="D28" s="234" t="s">
        <v>85</v>
      </c>
      <c r="E28" s="235">
        <v>14000</v>
      </c>
      <c r="F28" s="236"/>
      <c r="G28" s="237"/>
      <c r="H28" s="272">
        <f>SUM(E28:G28)</f>
        <v>14000</v>
      </c>
      <c r="I28" s="240">
        <v>14000</v>
      </c>
      <c r="J28" s="237"/>
      <c r="K28" s="237"/>
      <c r="L28" s="273">
        <f>SUM(I28:K28)</f>
        <v>14000</v>
      </c>
      <c r="M28" s="235">
        <v>11443.46</v>
      </c>
      <c r="N28" s="237"/>
      <c r="O28" s="237"/>
      <c r="P28" s="274">
        <f>SUM(M28:O28)</f>
        <v>11443.46</v>
      </c>
    </row>
    <row r="29" spans="1:16" ht="12.75">
      <c r="A29" s="570"/>
      <c r="B29" s="573"/>
      <c r="C29" s="233">
        <v>2</v>
      </c>
      <c r="D29" s="234" t="s">
        <v>263</v>
      </c>
      <c r="E29" s="235">
        <v>18000</v>
      </c>
      <c r="F29" s="236"/>
      <c r="G29" s="237"/>
      <c r="H29" s="272">
        <f>SUM(E29:G29)</f>
        <v>18000</v>
      </c>
      <c r="I29" s="240">
        <v>18000</v>
      </c>
      <c r="J29" s="237"/>
      <c r="K29" s="237"/>
      <c r="L29" s="273">
        <f>SUM(I29:K29)</f>
        <v>18000</v>
      </c>
      <c r="M29" s="235">
        <v>18000</v>
      </c>
      <c r="N29" s="237"/>
      <c r="O29" s="237"/>
      <c r="P29" s="274">
        <f>SUM(M29:O29)</f>
        <v>18000</v>
      </c>
    </row>
    <row r="30" spans="1:16" ht="12.75">
      <c r="A30" s="570"/>
      <c r="B30" s="574"/>
      <c r="C30" s="233">
        <v>3</v>
      </c>
      <c r="D30" s="234" t="s">
        <v>264</v>
      </c>
      <c r="E30" s="235">
        <v>11000</v>
      </c>
      <c r="F30" s="236"/>
      <c r="G30" s="237"/>
      <c r="H30" s="272">
        <f>SUM(E30:G30)</f>
        <v>11000</v>
      </c>
      <c r="I30" s="240">
        <v>11000</v>
      </c>
      <c r="J30" s="237"/>
      <c r="K30" s="237"/>
      <c r="L30" s="273">
        <f>SUM(I30:K30)</f>
        <v>11000</v>
      </c>
      <c r="M30" s="235">
        <v>11000</v>
      </c>
      <c r="N30" s="237" t="s">
        <v>265</v>
      </c>
      <c r="O30" s="237"/>
      <c r="P30" s="274">
        <f>SUM(M30:O30)</f>
        <v>11000</v>
      </c>
    </row>
    <row r="31" spans="1:16" ht="12.75">
      <c r="A31" s="570"/>
      <c r="B31" s="572">
        <v>8</v>
      </c>
      <c r="C31" s="565" t="s">
        <v>266</v>
      </c>
      <c r="D31" s="566"/>
      <c r="E31" s="287">
        <f aca="true" t="shared" si="11" ref="E31:P31">SUM(E32:E32)</f>
        <v>3000</v>
      </c>
      <c r="F31" s="289">
        <f t="shared" si="11"/>
        <v>0</v>
      </c>
      <c r="G31" s="289">
        <f t="shared" si="11"/>
        <v>0</v>
      </c>
      <c r="H31" s="291">
        <f t="shared" si="11"/>
        <v>3000</v>
      </c>
      <c r="I31" s="290">
        <f t="shared" si="11"/>
        <v>3360</v>
      </c>
      <c r="J31" s="289">
        <f t="shared" si="11"/>
        <v>0</v>
      </c>
      <c r="K31" s="289">
        <f t="shared" si="11"/>
        <v>0</v>
      </c>
      <c r="L31" s="288">
        <f t="shared" si="11"/>
        <v>3360</v>
      </c>
      <c r="M31" s="287">
        <f t="shared" si="11"/>
        <v>3246</v>
      </c>
      <c r="N31" s="289">
        <f t="shared" si="11"/>
        <v>0</v>
      </c>
      <c r="O31" s="289">
        <f t="shared" si="11"/>
        <v>0</v>
      </c>
      <c r="P31" s="291">
        <f t="shared" si="11"/>
        <v>3246</v>
      </c>
    </row>
    <row r="32" spans="1:16" ht="13.5" thickBot="1">
      <c r="A32" s="570"/>
      <c r="B32" s="573"/>
      <c r="C32" s="233">
        <v>1</v>
      </c>
      <c r="D32" s="234" t="s">
        <v>74</v>
      </c>
      <c r="E32" s="235">
        <v>3000</v>
      </c>
      <c r="F32" s="236"/>
      <c r="G32" s="237"/>
      <c r="H32" s="272">
        <f>SUM(E32:G32)</f>
        <v>3000</v>
      </c>
      <c r="I32" s="240">
        <v>3360</v>
      </c>
      <c r="J32" s="237"/>
      <c r="K32" s="237"/>
      <c r="L32" s="273">
        <f>SUM(I32:K32)</f>
        <v>3360</v>
      </c>
      <c r="M32" s="235">
        <v>3246</v>
      </c>
      <c r="N32" s="237"/>
      <c r="O32" s="237"/>
      <c r="P32" s="274">
        <f>SUM(M32:O32)</f>
        <v>3246</v>
      </c>
    </row>
    <row r="33" spans="1:16" ht="14.25">
      <c r="A33" s="567" t="s">
        <v>267</v>
      </c>
      <c r="B33" s="568"/>
      <c r="C33" s="568"/>
      <c r="D33" s="568"/>
      <c r="E33" s="219">
        <f aca="true" t="shared" si="12" ref="E33:P33">SUM(E34:E35)</f>
        <v>4160</v>
      </c>
      <c r="F33" s="220">
        <f t="shared" si="12"/>
        <v>0</v>
      </c>
      <c r="G33" s="221">
        <f t="shared" si="12"/>
        <v>0</v>
      </c>
      <c r="H33" s="222">
        <f t="shared" si="12"/>
        <v>4160</v>
      </c>
      <c r="I33" s="461">
        <f t="shared" si="12"/>
        <v>5660</v>
      </c>
      <c r="J33" s="462">
        <f t="shared" si="12"/>
        <v>0</v>
      </c>
      <c r="K33" s="221">
        <f t="shared" si="12"/>
        <v>0</v>
      </c>
      <c r="L33" s="220">
        <f t="shared" si="12"/>
        <v>5660</v>
      </c>
      <c r="M33" s="219">
        <f t="shared" si="12"/>
        <v>5248.24</v>
      </c>
      <c r="N33" s="221">
        <f t="shared" si="12"/>
        <v>0</v>
      </c>
      <c r="O33" s="221">
        <f t="shared" si="12"/>
        <v>0</v>
      </c>
      <c r="P33" s="226">
        <f t="shared" si="12"/>
        <v>5248.24</v>
      </c>
    </row>
    <row r="34" spans="1:16" ht="12.75">
      <c r="A34" s="570">
        <v>3</v>
      </c>
      <c r="B34" s="293">
        <v>1</v>
      </c>
      <c r="C34" s="588" t="s">
        <v>268</v>
      </c>
      <c r="D34" s="589"/>
      <c r="E34" s="251">
        <v>4000</v>
      </c>
      <c r="F34" s="252"/>
      <c r="G34" s="256"/>
      <c r="H34" s="294">
        <f>SUM(E34:G34)</f>
        <v>4000</v>
      </c>
      <c r="I34" s="411">
        <v>5500</v>
      </c>
      <c r="J34" s="457"/>
      <c r="K34" s="256"/>
      <c r="L34" s="252">
        <f>SUM(I34:K34)</f>
        <v>5500</v>
      </c>
      <c r="M34" s="251">
        <v>5088.24</v>
      </c>
      <c r="N34" s="256"/>
      <c r="O34" s="256"/>
      <c r="P34" s="295">
        <f>SUM(M34:O34)</f>
        <v>5088.24</v>
      </c>
    </row>
    <row r="35" spans="1:16" ht="13.5" thickBot="1">
      <c r="A35" s="570"/>
      <c r="B35" s="241">
        <v>2</v>
      </c>
      <c r="C35" s="565" t="s">
        <v>75</v>
      </c>
      <c r="D35" s="566"/>
      <c r="E35" s="287">
        <v>160</v>
      </c>
      <c r="F35" s="288"/>
      <c r="G35" s="289"/>
      <c r="H35" s="296">
        <f>SUM(E35:G35)</f>
        <v>160</v>
      </c>
      <c r="I35" s="290">
        <v>160</v>
      </c>
      <c r="J35" s="289"/>
      <c r="K35" s="289"/>
      <c r="L35" s="279">
        <f>SUM(I35:K35)</f>
        <v>160</v>
      </c>
      <c r="M35" s="287">
        <v>160</v>
      </c>
      <c r="N35" s="289"/>
      <c r="O35" s="289"/>
      <c r="P35" s="229">
        <f>SUM(M35:O35)</f>
        <v>160</v>
      </c>
    </row>
    <row r="36" spans="1:16" ht="14.25">
      <c r="A36" s="567" t="s">
        <v>269</v>
      </c>
      <c r="B36" s="568"/>
      <c r="C36" s="568"/>
      <c r="D36" s="568"/>
      <c r="E36" s="219">
        <f aca="true" t="shared" si="13" ref="E36:P36">SUM(E37:E37)</f>
        <v>15000</v>
      </c>
      <c r="F36" s="220">
        <f t="shared" si="13"/>
        <v>0</v>
      </c>
      <c r="G36" s="221">
        <f t="shared" si="13"/>
        <v>0</v>
      </c>
      <c r="H36" s="222">
        <f t="shared" si="13"/>
        <v>15000</v>
      </c>
      <c r="I36" s="461">
        <f t="shared" si="13"/>
        <v>18670</v>
      </c>
      <c r="J36" s="462">
        <f t="shared" si="13"/>
        <v>0</v>
      </c>
      <c r="K36" s="221">
        <f t="shared" si="13"/>
        <v>0</v>
      </c>
      <c r="L36" s="220">
        <f t="shared" si="13"/>
        <v>18670</v>
      </c>
      <c r="M36" s="219">
        <f t="shared" si="13"/>
        <v>15729.26</v>
      </c>
      <c r="N36" s="221">
        <f t="shared" si="13"/>
        <v>0</v>
      </c>
      <c r="O36" s="221">
        <f t="shared" si="13"/>
        <v>0</v>
      </c>
      <c r="P36" s="226">
        <f t="shared" si="13"/>
        <v>15729.26</v>
      </c>
    </row>
    <row r="37" spans="1:16" ht="13.5" thickBot="1">
      <c r="A37" s="232">
        <v>4</v>
      </c>
      <c r="B37" s="293">
        <v>1</v>
      </c>
      <c r="C37" s="588" t="s">
        <v>270</v>
      </c>
      <c r="D37" s="589"/>
      <c r="E37" s="251">
        <v>15000</v>
      </c>
      <c r="F37" s="252"/>
      <c r="G37" s="256"/>
      <c r="H37" s="294">
        <f>SUM(E37:G37)</f>
        <v>15000</v>
      </c>
      <c r="I37" s="411">
        <v>18670</v>
      </c>
      <c r="J37" s="457"/>
      <c r="K37" s="256"/>
      <c r="L37" s="252">
        <f>SUM(I37:K37)</f>
        <v>18670</v>
      </c>
      <c r="M37" s="251">
        <v>15729.26</v>
      </c>
      <c r="N37" s="256"/>
      <c r="O37" s="256"/>
      <c r="P37" s="295">
        <f>SUM(M37:O37)</f>
        <v>15729.26</v>
      </c>
    </row>
    <row r="38" spans="1:16" ht="14.25">
      <c r="A38" s="567" t="s">
        <v>271</v>
      </c>
      <c r="B38" s="568"/>
      <c r="C38" s="568"/>
      <c r="D38" s="568"/>
      <c r="E38" s="219">
        <f aca="true" t="shared" si="14" ref="E38:P38">SUM(E39:E41)</f>
        <v>88700</v>
      </c>
      <c r="F38" s="220">
        <f t="shared" si="14"/>
        <v>30000</v>
      </c>
      <c r="G38" s="221">
        <f t="shared" si="14"/>
        <v>0</v>
      </c>
      <c r="H38" s="222">
        <f t="shared" si="14"/>
        <v>118700</v>
      </c>
      <c r="I38" s="461">
        <f t="shared" si="14"/>
        <v>108819</v>
      </c>
      <c r="J38" s="462">
        <f t="shared" si="14"/>
        <v>428108</v>
      </c>
      <c r="K38" s="221">
        <f t="shared" si="14"/>
        <v>0</v>
      </c>
      <c r="L38" s="220">
        <f t="shared" si="14"/>
        <v>536927</v>
      </c>
      <c r="M38" s="219">
        <f t="shared" si="14"/>
        <v>63520.24</v>
      </c>
      <c r="N38" s="221">
        <f t="shared" si="14"/>
        <v>78598.8</v>
      </c>
      <c r="O38" s="221">
        <f t="shared" si="14"/>
        <v>0</v>
      </c>
      <c r="P38" s="226">
        <f t="shared" si="14"/>
        <v>142119.03999999998</v>
      </c>
    </row>
    <row r="39" spans="1:16" ht="12.75">
      <c r="A39" s="569">
        <v>5</v>
      </c>
      <c r="B39" s="241">
        <v>1</v>
      </c>
      <c r="C39" s="565" t="s">
        <v>272</v>
      </c>
      <c r="D39" s="566"/>
      <c r="E39" s="242">
        <v>23700</v>
      </c>
      <c r="F39" s="243"/>
      <c r="G39" s="244"/>
      <c r="H39" s="245">
        <f aca="true" t="shared" si="15" ref="H39:H46">SUM(E39:G39)</f>
        <v>23700</v>
      </c>
      <c r="I39" s="382">
        <v>23700</v>
      </c>
      <c r="J39" s="228"/>
      <c r="K39" s="244"/>
      <c r="L39" s="243">
        <f aca="true" t="shared" si="16" ref="L39:L46">SUM(I39:K39)</f>
        <v>23700</v>
      </c>
      <c r="M39" s="242">
        <v>21004.61</v>
      </c>
      <c r="N39" s="244"/>
      <c r="O39" s="244"/>
      <c r="P39" s="247">
        <f aca="true" t="shared" si="17" ref="P39:P46">SUM(M39:O39)</f>
        <v>21004.61</v>
      </c>
    </row>
    <row r="40" spans="1:16" ht="12.75">
      <c r="A40" s="570"/>
      <c r="B40" s="298">
        <v>2</v>
      </c>
      <c r="C40" s="565" t="s">
        <v>273</v>
      </c>
      <c r="D40" s="566"/>
      <c r="E40" s="299">
        <v>64900</v>
      </c>
      <c r="F40" s="300">
        <v>30000</v>
      </c>
      <c r="G40" s="301"/>
      <c r="H40" s="245">
        <f t="shared" si="15"/>
        <v>94900</v>
      </c>
      <c r="I40" s="463">
        <v>60500</v>
      </c>
      <c r="J40" s="464">
        <v>85900</v>
      </c>
      <c r="K40" s="301"/>
      <c r="L40" s="243">
        <f t="shared" si="16"/>
        <v>146400</v>
      </c>
      <c r="M40" s="299">
        <v>42494.84</v>
      </c>
      <c r="N40" s="301">
        <v>25518.65</v>
      </c>
      <c r="O40" s="301"/>
      <c r="P40" s="247">
        <f t="shared" si="17"/>
        <v>68013.48999999999</v>
      </c>
    </row>
    <row r="41" spans="1:16" ht="13.5" thickBot="1">
      <c r="A41" s="571"/>
      <c r="B41" s="303">
        <v>3</v>
      </c>
      <c r="C41" s="578" t="s">
        <v>274</v>
      </c>
      <c r="D41" s="579"/>
      <c r="E41" s="304">
        <v>100</v>
      </c>
      <c r="F41" s="263">
        <v>0</v>
      </c>
      <c r="G41" s="305"/>
      <c r="H41" s="261">
        <f t="shared" si="15"/>
        <v>100</v>
      </c>
      <c r="I41" s="465">
        <v>24619</v>
      </c>
      <c r="J41" s="466">
        <v>342208</v>
      </c>
      <c r="K41" s="305"/>
      <c r="L41" s="263">
        <f t="shared" si="16"/>
        <v>366827</v>
      </c>
      <c r="M41" s="304">
        <v>20.79</v>
      </c>
      <c r="N41" s="305">
        <v>53080.15</v>
      </c>
      <c r="O41" s="305"/>
      <c r="P41" s="264">
        <f t="shared" si="17"/>
        <v>53100.94</v>
      </c>
    </row>
    <row r="42" spans="1:16" ht="15.75" customHeight="1">
      <c r="A42" s="586" t="s">
        <v>125</v>
      </c>
      <c r="B42" s="587"/>
      <c r="C42" s="587"/>
      <c r="D42" s="587"/>
      <c r="E42" s="307">
        <f>SUM(E43:E46)</f>
        <v>258520</v>
      </c>
      <c r="F42" s="308">
        <f>SUM(F43:F46)</f>
        <v>0</v>
      </c>
      <c r="G42" s="309">
        <f>SUM(G43:G46)</f>
        <v>0</v>
      </c>
      <c r="H42" s="310">
        <f t="shared" si="15"/>
        <v>258520</v>
      </c>
      <c r="I42" s="467">
        <f>SUM(I43:I46)</f>
        <v>261320</v>
      </c>
      <c r="J42" s="468">
        <f>SUM(J43:J46)</f>
        <v>0</v>
      </c>
      <c r="K42" s="309">
        <f>SUM(K43:K46)</f>
        <v>0</v>
      </c>
      <c r="L42" s="308">
        <f t="shared" si="16"/>
        <v>261320</v>
      </c>
      <c r="M42" s="307">
        <f>SUM(M43:M46)</f>
        <v>257105.24000000002</v>
      </c>
      <c r="N42" s="309">
        <f>SUM(N43:N46)</f>
        <v>0</v>
      </c>
      <c r="O42" s="309">
        <f>SUM(O43:O46)</f>
        <v>0</v>
      </c>
      <c r="P42" s="312">
        <f t="shared" si="17"/>
        <v>257105.24000000002</v>
      </c>
    </row>
    <row r="43" spans="1:16" ht="12.75">
      <c r="A43" s="569">
        <v>6</v>
      </c>
      <c r="B43" s="241">
        <v>1</v>
      </c>
      <c r="C43" s="565" t="s">
        <v>407</v>
      </c>
      <c r="D43" s="566"/>
      <c r="E43" s="242">
        <v>0</v>
      </c>
      <c r="F43" s="243"/>
      <c r="G43" s="244"/>
      <c r="H43" s="245">
        <f t="shared" si="15"/>
        <v>0</v>
      </c>
      <c r="I43" s="382">
        <v>0</v>
      </c>
      <c r="J43" s="228"/>
      <c r="K43" s="244"/>
      <c r="L43" s="243">
        <f t="shared" si="16"/>
        <v>0</v>
      </c>
      <c r="M43" s="242">
        <v>0</v>
      </c>
      <c r="N43" s="244">
        <v>0</v>
      </c>
      <c r="O43" s="244"/>
      <c r="P43" s="247">
        <f t="shared" si="17"/>
        <v>0</v>
      </c>
    </row>
    <row r="44" spans="1:16" ht="12.75">
      <c r="A44" s="570"/>
      <c r="B44" s="241">
        <v>2</v>
      </c>
      <c r="C44" s="565" t="s">
        <v>276</v>
      </c>
      <c r="D44" s="566"/>
      <c r="E44" s="242">
        <v>90000</v>
      </c>
      <c r="F44" s="243"/>
      <c r="G44" s="244"/>
      <c r="H44" s="245">
        <f t="shared" si="15"/>
        <v>90000</v>
      </c>
      <c r="I44" s="382">
        <v>90000</v>
      </c>
      <c r="J44" s="228"/>
      <c r="K44" s="244"/>
      <c r="L44" s="243">
        <f t="shared" si="16"/>
        <v>90000</v>
      </c>
      <c r="M44" s="242">
        <v>88171.05</v>
      </c>
      <c r="N44" s="244"/>
      <c r="O44" s="244"/>
      <c r="P44" s="247">
        <f t="shared" si="17"/>
        <v>88171.05</v>
      </c>
    </row>
    <row r="45" spans="1:16" ht="12.75">
      <c r="A45" s="570"/>
      <c r="B45" s="241">
        <v>3</v>
      </c>
      <c r="C45" s="565" t="s">
        <v>277</v>
      </c>
      <c r="D45" s="566"/>
      <c r="E45" s="242">
        <v>121340</v>
      </c>
      <c r="F45" s="243"/>
      <c r="G45" s="244"/>
      <c r="H45" s="245">
        <f t="shared" si="15"/>
        <v>121340</v>
      </c>
      <c r="I45" s="382">
        <v>124140</v>
      </c>
      <c r="J45" s="228"/>
      <c r="K45" s="244"/>
      <c r="L45" s="243">
        <f t="shared" si="16"/>
        <v>124140</v>
      </c>
      <c r="M45" s="242">
        <v>124069.4</v>
      </c>
      <c r="N45" s="244"/>
      <c r="O45" s="244"/>
      <c r="P45" s="247">
        <f t="shared" si="17"/>
        <v>124069.4</v>
      </c>
    </row>
    <row r="46" spans="1:16" ht="13.5" thickBot="1">
      <c r="A46" s="571"/>
      <c r="B46" s="241">
        <v>4</v>
      </c>
      <c r="C46" s="565" t="s">
        <v>278</v>
      </c>
      <c r="D46" s="566"/>
      <c r="E46" s="242">
        <v>47180</v>
      </c>
      <c r="F46" s="243">
        <v>0</v>
      </c>
      <c r="G46" s="244"/>
      <c r="H46" s="245">
        <f t="shared" si="15"/>
        <v>47180</v>
      </c>
      <c r="I46" s="382">
        <v>47180</v>
      </c>
      <c r="J46" s="228">
        <v>0</v>
      </c>
      <c r="K46" s="244"/>
      <c r="L46" s="243">
        <f t="shared" si="16"/>
        <v>47180</v>
      </c>
      <c r="M46" s="242">
        <v>44864.79</v>
      </c>
      <c r="N46" s="244">
        <v>0</v>
      </c>
      <c r="O46" s="244"/>
      <c r="P46" s="247">
        <f t="shared" si="17"/>
        <v>44864.79</v>
      </c>
    </row>
    <row r="47" spans="1:16" ht="14.25">
      <c r="A47" s="567" t="s">
        <v>279</v>
      </c>
      <c r="B47" s="568"/>
      <c r="C47" s="568"/>
      <c r="D47" s="568"/>
      <c r="E47" s="219">
        <f aca="true" t="shared" si="18" ref="E47:P47">SUM(E48:E49)</f>
        <v>11300</v>
      </c>
      <c r="F47" s="220">
        <f t="shared" si="18"/>
        <v>0</v>
      </c>
      <c r="G47" s="221">
        <f t="shared" si="18"/>
        <v>0</v>
      </c>
      <c r="H47" s="222">
        <f t="shared" si="18"/>
        <v>11300</v>
      </c>
      <c r="I47" s="461">
        <f t="shared" si="18"/>
        <v>13220</v>
      </c>
      <c r="J47" s="462">
        <f t="shared" si="18"/>
        <v>0</v>
      </c>
      <c r="K47" s="221">
        <f t="shared" si="18"/>
        <v>0</v>
      </c>
      <c r="L47" s="220">
        <f t="shared" si="18"/>
        <v>13220</v>
      </c>
      <c r="M47" s="219">
        <f t="shared" si="18"/>
        <v>12784.5</v>
      </c>
      <c r="N47" s="221">
        <f t="shared" si="18"/>
        <v>0</v>
      </c>
      <c r="O47" s="221">
        <f t="shared" si="18"/>
        <v>0</v>
      </c>
      <c r="P47" s="226">
        <f t="shared" si="18"/>
        <v>12784.5</v>
      </c>
    </row>
    <row r="48" spans="1:16" ht="12.75">
      <c r="A48" s="570">
        <v>7</v>
      </c>
      <c r="B48" s="293">
        <v>1</v>
      </c>
      <c r="C48" s="588" t="s">
        <v>280</v>
      </c>
      <c r="D48" s="589"/>
      <c r="E48" s="251">
        <v>7500</v>
      </c>
      <c r="F48" s="252"/>
      <c r="G48" s="256"/>
      <c r="H48" s="294">
        <f>SUM(E48:G48)</f>
        <v>7500</v>
      </c>
      <c r="I48" s="411">
        <v>7000</v>
      </c>
      <c r="J48" s="457"/>
      <c r="K48" s="256"/>
      <c r="L48" s="252">
        <f>SUM(I48:K48)</f>
        <v>7000</v>
      </c>
      <c r="M48" s="251">
        <v>7000</v>
      </c>
      <c r="N48" s="256"/>
      <c r="O48" s="256"/>
      <c r="P48" s="295">
        <f>SUM(M48:O48)</f>
        <v>7000</v>
      </c>
    </row>
    <row r="49" spans="1:16" ht="13.5" thickBot="1">
      <c r="A49" s="570"/>
      <c r="B49" s="241">
        <v>2</v>
      </c>
      <c r="C49" s="565" t="s">
        <v>281</v>
      </c>
      <c r="D49" s="566"/>
      <c r="E49" s="287">
        <v>3800</v>
      </c>
      <c r="F49" s="288"/>
      <c r="G49" s="289"/>
      <c r="H49" s="314">
        <f>SUM(E49:G49)</f>
        <v>3800</v>
      </c>
      <c r="I49" s="290">
        <v>6220</v>
      </c>
      <c r="J49" s="289"/>
      <c r="K49" s="289"/>
      <c r="L49" s="315">
        <f>SUM(I49:K49)</f>
        <v>6220</v>
      </c>
      <c r="M49" s="287">
        <v>5784.5</v>
      </c>
      <c r="N49" s="289"/>
      <c r="O49" s="289"/>
      <c r="P49" s="316">
        <f>SUM(M49:O49)</f>
        <v>5784.5</v>
      </c>
    </row>
    <row r="50" spans="1:16" ht="14.25">
      <c r="A50" s="567" t="s">
        <v>282</v>
      </c>
      <c r="B50" s="568"/>
      <c r="C50" s="568"/>
      <c r="D50" s="568"/>
      <c r="E50" s="219">
        <f>E51+E59+E60+E61</f>
        <v>42800</v>
      </c>
      <c r="F50" s="220">
        <f>SUM(F51:F61)</f>
        <v>0</v>
      </c>
      <c r="G50" s="221">
        <f>SUM(G51:G61)</f>
        <v>0</v>
      </c>
      <c r="H50" s="310">
        <f>SUM(E50:G50)</f>
        <v>42800</v>
      </c>
      <c r="I50" s="461">
        <f>I51+I59+I60+I61</f>
        <v>58676</v>
      </c>
      <c r="J50" s="462">
        <f>SUM(J51:J61)</f>
        <v>0</v>
      </c>
      <c r="K50" s="221">
        <f>SUM(K51:K61)</f>
        <v>0</v>
      </c>
      <c r="L50" s="308">
        <f>SUM(I50:K50)</f>
        <v>58676</v>
      </c>
      <c r="M50" s="219">
        <f>M51+M59+M60+M61</f>
        <v>57164.61</v>
      </c>
      <c r="N50" s="221">
        <f>SUM(N51:N61)</f>
        <v>0</v>
      </c>
      <c r="O50" s="221">
        <f>SUM(O51:O61)</f>
        <v>0</v>
      </c>
      <c r="P50" s="312">
        <f>SUM(M50:O50)</f>
        <v>57164.61</v>
      </c>
    </row>
    <row r="51" spans="1:16" ht="12.75">
      <c r="A51" s="569">
        <v>8</v>
      </c>
      <c r="B51" s="572">
        <v>1</v>
      </c>
      <c r="C51" s="565" t="s">
        <v>283</v>
      </c>
      <c r="D51" s="566"/>
      <c r="E51" s="242">
        <f aca="true" t="shared" si="19" ref="E51:P51">SUM(E52:E58)</f>
        <v>39300</v>
      </c>
      <c r="F51" s="242">
        <f t="shared" si="19"/>
        <v>0</v>
      </c>
      <c r="G51" s="242">
        <f t="shared" si="19"/>
        <v>0</v>
      </c>
      <c r="H51" s="242">
        <f t="shared" si="19"/>
        <v>39300</v>
      </c>
      <c r="I51" s="382">
        <f t="shared" si="19"/>
        <v>54506</v>
      </c>
      <c r="J51" s="382">
        <f t="shared" si="19"/>
        <v>0</v>
      </c>
      <c r="K51" s="246">
        <f t="shared" si="19"/>
        <v>0</v>
      </c>
      <c r="L51" s="246">
        <f t="shared" si="19"/>
        <v>54506</v>
      </c>
      <c r="M51" s="242">
        <f t="shared" si="19"/>
        <v>53472.9</v>
      </c>
      <c r="N51" s="242">
        <f t="shared" si="19"/>
        <v>0</v>
      </c>
      <c r="O51" s="242">
        <f t="shared" si="19"/>
        <v>0</v>
      </c>
      <c r="P51" s="242">
        <f t="shared" si="19"/>
        <v>52190.060000000005</v>
      </c>
    </row>
    <row r="52" spans="1:16" ht="12.75">
      <c r="A52" s="570"/>
      <c r="B52" s="573"/>
      <c r="C52" s="280">
        <v>1</v>
      </c>
      <c r="D52" s="317" t="s">
        <v>284</v>
      </c>
      <c r="E52" s="282">
        <v>15000</v>
      </c>
      <c r="F52" s="283"/>
      <c r="G52" s="284"/>
      <c r="H52" s="272">
        <f aca="true" t="shared" si="20" ref="H52:H61">SUM(E52:G52)</f>
        <v>15000</v>
      </c>
      <c r="I52" s="285">
        <v>15800</v>
      </c>
      <c r="J52" s="284"/>
      <c r="K52" s="284"/>
      <c r="L52" s="273">
        <f aca="true" t="shared" si="21" ref="L52:L61">SUM(I52:K52)</f>
        <v>15800</v>
      </c>
      <c r="M52" s="282">
        <v>15610.15</v>
      </c>
      <c r="N52" s="284"/>
      <c r="O52" s="284"/>
      <c r="P52" s="274">
        <f aca="true" t="shared" si="22" ref="P52:P57">SUM(M52:O52)</f>
        <v>15610.15</v>
      </c>
    </row>
    <row r="53" spans="1:16" ht="12.75">
      <c r="A53" s="570"/>
      <c r="B53" s="573"/>
      <c r="C53" s="280">
        <v>2</v>
      </c>
      <c r="D53" s="317" t="s">
        <v>113</v>
      </c>
      <c r="E53" s="282">
        <v>1000</v>
      </c>
      <c r="F53" s="283"/>
      <c r="G53" s="284"/>
      <c r="H53" s="272">
        <f t="shared" si="20"/>
        <v>1000</v>
      </c>
      <c r="I53" s="285">
        <v>1000</v>
      </c>
      <c r="J53" s="284"/>
      <c r="K53" s="284"/>
      <c r="L53" s="273">
        <f t="shared" si="21"/>
        <v>1000</v>
      </c>
      <c r="M53" s="282">
        <v>986.21</v>
      </c>
      <c r="N53" s="284"/>
      <c r="O53" s="284"/>
      <c r="P53" s="274">
        <f t="shared" si="22"/>
        <v>986.21</v>
      </c>
    </row>
    <row r="54" spans="1:16" ht="12.75">
      <c r="A54" s="570"/>
      <c r="B54" s="573"/>
      <c r="C54" s="280">
        <v>3</v>
      </c>
      <c r="D54" s="317" t="s">
        <v>114</v>
      </c>
      <c r="E54" s="282">
        <v>2500</v>
      </c>
      <c r="F54" s="283"/>
      <c r="G54" s="284"/>
      <c r="H54" s="272">
        <f t="shared" si="20"/>
        <v>2500</v>
      </c>
      <c r="I54" s="285">
        <v>2000</v>
      </c>
      <c r="J54" s="284"/>
      <c r="K54" s="284"/>
      <c r="L54" s="273">
        <f t="shared" si="21"/>
        <v>2000</v>
      </c>
      <c r="M54" s="282">
        <v>2000</v>
      </c>
      <c r="N54" s="284"/>
      <c r="O54" s="284"/>
      <c r="P54" s="274">
        <f t="shared" si="22"/>
        <v>2000</v>
      </c>
    </row>
    <row r="55" spans="1:16" ht="12.75">
      <c r="A55" s="570"/>
      <c r="B55" s="573"/>
      <c r="C55" s="280">
        <v>4</v>
      </c>
      <c r="D55" s="317" t="s">
        <v>285</v>
      </c>
      <c r="E55" s="282">
        <v>20000</v>
      </c>
      <c r="F55" s="283"/>
      <c r="G55" s="284"/>
      <c r="H55" s="272">
        <f t="shared" si="20"/>
        <v>20000</v>
      </c>
      <c r="I55" s="285">
        <v>31406</v>
      </c>
      <c r="J55" s="284"/>
      <c r="K55" s="284"/>
      <c r="L55" s="273">
        <f t="shared" si="21"/>
        <v>31406</v>
      </c>
      <c r="M55" s="282">
        <v>31406</v>
      </c>
      <c r="N55" s="284"/>
      <c r="O55" s="284"/>
      <c r="P55" s="274">
        <f t="shared" si="22"/>
        <v>31406</v>
      </c>
    </row>
    <row r="56" spans="1:16" ht="12.75">
      <c r="A56" s="570"/>
      <c r="B56" s="573"/>
      <c r="C56" s="280">
        <v>5</v>
      </c>
      <c r="D56" s="317" t="s">
        <v>286</v>
      </c>
      <c r="E56" s="282">
        <v>100</v>
      </c>
      <c r="F56" s="283"/>
      <c r="G56" s="284"/>
      <c r="H56" s="272">
        <f t="shared" si="20"/>
        <v>100</v>
      </c>
      <c r="I56" s="285">
        <v>1100</v>
      </c>
      <c r="J56" s="284"/>
      <c r="K56" s="284"/>
      <c r="L56" s="273">
        <f t="shared" si="21"/>
        <v>1100</v>
      </c>
      <c r="M56" s="282">
        <v>1002.26</v>
      </c>
      <c r="N56" s="284"/>
      <c r="O56" s="284"/>
      <c r="P56" s="274">
        <f t="shared" si="22"/>
        <v>1002.26</v>
      </c>
    </row>
    <row r="57" spans="1:16" ht="12.75">
      <c r="A57" s="570"/>
      <c r="B57" s="573"/>
      <c r="C57" s="280">
        <v>6</v>
      </c>
      <c r="D57" s="317" t="s">
        <v>287</v>
      </c>
      <c r="E57" s="282">
        <v>700</v>
      </c>
      <c r="F57" s="283"/>
      <c r="G57" s="284"/>
      <c r="H57" s="272">
        <f t="shared" si="20"/>
        <v>700</v>
      </c>
      <c r="I57" s="285">
        <v>1200</v>
      </c>
      <c r="J57" s="284"/>
      <c r="K57" s="284"/>
      <c r="L57" s="273">
        <f t="shared" si="21"/>
        <v>1200</v>
      </c>
      <c r="M57" s="282">
        <v>1185.44</v>
      </c>
      <c r="N57" s="284"/>
      <c r="O57" s="284"/>
      <c r="P57" s="274">
        <f t="shared" si="22"/>
        <v>1185.44</v>
      </c>
    </row>
    <row r="58" spans="1:16" ht="12.75">
      <c r="A58" s="570"/>
      <c r="B58" s="445"/>
      <c r="C58" s="446">
        <v>7</v>
      </c>
      <c r="D58" s="447" t="s">
        <v>409</v>
      </c>
      <c r="E58" s="282">
        <v>0</v>
      </c>
      <c r="F58" s="283"/>
      <c r="G58" s="284"/>
      <c r="H58" s="272">
        <f t="shared" si="20"/>
        <v>0</v>
      </c>
      <c r="I58" s="285">
        <v>2000</v>
      </c>
      <c r="J58" s="284"/>
      <c r="K58" s="284"/>
      <c r="L58" s="273">
        <f t="shared" si="21"/>
        <v>2000</v>
      </c>
      <c r="M58" s="282">
        <v>1282.84</v>
      </c>
      <c r="N58" s="284"/>
      <c r="O58" s="284"/>
      <c r="P58" s="274">
        <v>0</v>
      </c>
    </row>
    <row r="59" spans="1:16" ht="12.75">
      <c r="A59" s="570"/>
      <c r="B59" s="298">
        <v>2</v>
      </c>
      <c r="C59" s="565" t="s">
        <v>108</v>
      </c>
      <c r="D59" s="566"/>
      <c r="E59" s="299">
        <v>1000</v>
      </c>
      <c r="F59" s="300"/>
      <c r="G59" s="301"/>
      <c r="H59" s="245">
        <f t="shared" si="20"/>
        <v>1000</v>
      </c>
      <c r="I59" s="463">
        <v>1000</v>
      </c>
      <c r="J59" s="464"/>
      <c r="K59" s="301"/>
      <c r="L59" s="243">
        <f t="shared" si="21"/>
        <v>1000</v>
      </c>
      <c r="M59" s="299">
        <v>728</v>
      </c>
      <c r="N59" s="301"/>
      <c r="O59" s="301"/>
      <c r="P59" s="247">
        <f>SUM(M59:O59)</f>
        <v>728</v>
      </c>
    </row>
    <row r="60" spans="1:16" ht="12.75">
      <c r="A60" s="570"/>
      <c r="B60" s="298">
        <v>3</v>
      </c>
      <c r="C60" s="565" t="s">
        <v>110</v>
      </c>
      <c r="D60" s="566"/>
      <c r="E60" s="299">
        <v>1000</v>
      </c>
      <c r="F60" s="300"/>
      <c r="G60" s="301"/>
      <c r="H60" s="245">
        <f t="shared" si="20"/>
        <v>1000</v>
      </c>
      <c r="I60" s="463">
        <v>1370</v>
      </c>
      <c r="J60" s="464"/>
      <c r="K60" s="301"/>
      <c r="L60" s="243">
        <f t="shared" si="21"/>
        <v>1370</v>
      </c>
      <c r="M60" s="299">
        <v>1173.87</v>
      </c>
      <c r="N60" s="301"/>
      <c r="O60" s="301"/>
      <c r="P60" s="247">
        <f>SUM(M60:O60)</f>
        <v>1173.87</v>
      </c>
    </row>
    <row r="61" spans="1:16" ht="13.5" thickBot="1">
      <c r="A61" s="571"/>
      <c r="B61" s="298">
        <v>4</v>
      </c>
      <c r="C61" s="578" t="s">
        <v>288</v>
      </c>
      <c r="D61" s="579"/>
      <c r="E61" s="304">
        <v>1500</v>
      </c>
      <c r="F61" s="263"/>
      <c r="G61" s="305"/>
      <c r="H61" s="261">
        <f t="shared" si="20"/>
        <v>1500</v>
      </c>
      <c r="I61" s="465">
        <v>1800</v>
      </c>
      <c r="J61" s="466"/>
      <c r="K61" s="305"/>
      <c r="L61" s="263">
        <f t="shared" si="21"/>
        <v>1800</v>
      </c>
      <c r="M61" s="304">
        <v>1789.84</v>
      </c>
      <c r="N61" s="305"/>
      <c r="O61" s="305"/>
      <c r="P61" s="264">
        <f>SUM(M61:O61)</f>
        <v>1789.84</v>
      </c>
    </row>
    <row r="62" spans="1:16" ht="14.25">
      <c r="A62" s="567" t="s">
        <v>289</v>
      </c>
      <c r="B62" s="568"/>
      <c r="C62" s="568"/>
      <c r="D62" s="568"/>
      <c r="E62" s="307">
        <f aca="true" t="shared" si="23" ref="E62:P62">SUM(E63:E67)</f>
        <v>21340</v>
      </c>
      <c r="F62" s="307">
        <f t="shared" si="23"/>
        <v>189870</v>
      </c>
      <c r="G62" s="307">
        <f t="shared" si="23"/>
        <v>0</v>
      </c>
      <c r="H62" s="307">
        <f t="shared" si="23"/>
        <v>211210</v>
      </c>
      <c r="I62" s="307">
        <f t="shared" si="23"/>
        <v>21540</v>
      </c>
      <c r="J62" s="307">
        <f t="shared" si="23"/>
        <v>189870</v>
      </c>
      <c r="K62" s="307">
        <f t="shared" si="23"/>
        <v>0</v>
      </c>
      <c r="L62" s="307">
        <f t="shared" si="23"/>
        <v>211410</v>
      </c>
      <c r="M62" s="307">
        <f t="shared" si="23"/>
        <v>19399.46</v>
      </c>
      <c r="N62" s="307">
        <f t="shared" si="23"/>
        <v>0</v>
      </c>
      <c r="O62" s="307">
        <f t="shared" si="23"/>
        <v>0</v>
      </c>
      <c r="P62" s="307">
        <f t="shared" si="23"/>
        <v>19399.46</v>
      </c>
    </row>
    <row r="63" spans="1:16" ht="12.75">
      <c r="A63" s="590">
        <v>9</v>
      </c>
      <c r="B63" s="241">
        <v>1</v>
      </c>
      <c r="C63" s="565" t="s">
        <v>100</v>
      </c>
      <c r="D63" s="566"/>
      <c r="E63" s="242">
        <v>15100</v>
      </c>
      <c r="F63" s="243">
        <v>189870</v>
      </c>
      <c r="G63" s="244"/>
      <c r="H63" s="245">
        <f>SUM(E63:G63)</f>
        <v>204970</v>
      </c>
      <c r="I63" s="382">
        <v>15200</v>
      </c>
      <c r="J63" s="228">
        <v>189870</v>
      </c>
      <c r="K63" s="244"/>
      <c r="L63" s="243">
        <f>SUM(I63:K63)</f>
        <v>205070</v>
      </c>
      <c r="M63" s="242">
        <v>15151</v>
      </c>
      <c r="N63" s="244"/>
      <c r="O63" s="244"/>
      <c r="P63" s="247">
        <f>SUM(M63:O63)</f>
        <v>15151</v>
      </c>
    </row>
    <row r="64" spans="1:16" ht="12.75">
      <c r="A64" s="591"/>
      <c r="B64" s="298">
        <v>2</v>
      </c>
      <c r="C64" s="565" t="s">
        <v>290</v>
      </c>
      <c r="D64" s="566"/>
      <c r="E64" s="299">
        <v>5840</v>
      </c>
      <c r="F64" s="300"/>
      <c r="G64" s="301"/>
      <c r="H64" s="245">
        <f>SUM(E64:G64)</f>
        <v>5840</v>
      </c>
      <c r="I64" s="463">
        <v>5840</v>
      </c>
      <c r="J64" s="464"/>
      <c r="K64" s="301"/>
      <c r="L64" s="243">
        <f>SUM(I64:K64)</f>
        <v>5840</v>
      </c>
      <c r="M64" s="299">
        <v>4202.46</v>
      </c>
      <c r="N64" s="301"/>
      <c r="O64" s="301"/>
      <c r="P64" s="247">
        <f>SUM(M64:O64)</f>
        <v>4202.46</v>
      </c>
    </row>
    <row r="65" spans="1:16" ht="12.75">
      <c r="A65" s="591"/>
      <c r="B65" s="298">
        <v>3</v>
      </c>
      <c r="C65" s="565" t="s">
        <v>291</v>
      </c>
      <c r="D65" s="566"/>
      <c r="E65" s="299">
        <v>0</v>
      </c>
      <c r="F65" s="300">
        <v>0</v>
      </c>
      <c r="G65" s="301">
        <v>0</v>
      </c>
      <c r="H65" s="245">
        <f>SUM(E65:G65)</f>
        <v>0</v>
      </c>
      <c r="I65" s="463">
        <v>0</v>
      </c>
      <c r="J65" s="464">
        <v>0</v>
      </c>
      <c r="K65" s="301"/>
      <c r="L65" s="243">
        <f>SUM(I65:K65)</f>
        <v>0</v>
      </c>
      <c r="M65" s="299">
        <v>0</v>
      </c>
      <c r="N65" s="301">
        <v>0</v>
      </c>
      <c r="O65" s="301"/>
      <c r="P65" s="247">
        <f>SUM(M65:O65)</f>
        <v>0</v>
      </c>
    </row>
    <row r="66" spans="1:16" ht="12.75">
      <c r="A66" s="591"/>
      <c r="B66" s="241">
        <v>4</v>
      </c>
      <c r="C66" s="565" t="s">
        <v>292</v>
      </c>
      <c r="D66" s="566"/>
      <c r="E66" s="242">
        <v>400</v>
      </c>
      <c r="F66" s="243">
        <v>0</v>
      </c>
      <c r="G66" s="244"/>
      <c r="H66" s="245">
        <f>SUM(E66:G66)</f>
        <v>400</v>
      </c>
      <c r="I66" s="382">
        <v>400</v>
      </c>
      <c r="J66" s="228"/>
      <c r="K66" s="244"/>
      <c r="L66" s="243">
        <f>SUM(I66:K66)</f>
        <v>400</v>
      </c>
      <c r="M66" s="242">
        <v>0</v>
      </c>
      <c r="N66" s="244"/>
      <c r="O66" s="244"/>
      <c r="P66" s="247">
        <f>SUM(M66:O66)</f>
        <v>0</v>
      </c>
    </row>
    <row r="67" spans="1:16" ht="13.5" thickBot="1">
      <c r="A67" s="592"/>
      <c r="B67" s="321">
        <v>5</v>
      </c>
      <c r="C67" s="578" t="s">
        <v>445</v>
      </c>
      <c r="D67" s="593"/>
      <c r="E67" s="477">
        <v>0</v>
      </c>
      <c r="F67" s="478"/>
      <c r="G67" s="479"/>
      <c r="H67" s="294"/>
      <c r="I67" s="480">
        <v>100</v>
      </c>
      <c r="J67" s="481"/>
      <c r="K67" s="479"/>
      <c r="L67" s="252">
        <f>SUM(I67:K67)</f>
        <v>100</v>
      </c>
      <c r="M67" s="477">
        <v>46</v>
      </c>
      <c r="N67" s="479"/>
      <c r="O67" s="479"/>
      <c r="P67" s="295">
        <f>SUM(M67:O67)</f>
        <v>46</v>
      </c>
    </row>
    <row r="68" spans="1:16" ht="14.25">
      <c r="A68" s="567" t="s">
        <v>293</v>
      </c>
      <c r="B68" s="568"/>
      <c r="C68" s="568"/>
      <c r="D68" s="568"/>
      <c r="E68" s="219">
        <f aca="true" t="shared" si="24" ref="E68:P68">SUM(E69:E70)</f>
        <v>1390</v>
      </c>
      <c r="F68" s="220">
        <f t="shared" si="24"/>
        <v>0</v>
      </c>
      <c r="G68" s="221">
        <f t="shared" si="24"/>
        <v>0</v>
      </c>
      <c r="H68" s="222">
        <f t="shared" si="24"/>
        <v>1390</v>
      </c>
      <c r="I68" s="461">
        <f t="shared" si="24"/>
        <v>2890</v>
      </c>
      <c r="J68" s="462">
        <f t="shared" si="24"/>
        <v>0</v>
      </c>
      <c r="K68" s="221">
        <f t="shared" si="24"/>
        <v>0</v>
      </c>
      <c r="L68" s="220">
        <f t="shared" si="24"/>
        <v>2890</v>
      </c>
      <c r="M68" s="219">
        <f t="shared" si="24"/>
        <v>1292.18</v>
      </c>
      <c r="N68" s="221">
        <f t="shared" si="24"/>
        <v>0</v>
      </c>
      <c r="O68" s="221">
        <f t="shared" si="24"/>
        <v>0</v>
      </c>
      <c r="P68" s="226">
        <f t="shared" si="24"/>
        <v>1292.18</v>
      </c>
    </row>
    <row r="69" spans="1:16" ht="12.75">
      <c r="A69" s="594">
        <v>10</v>
      </c>
      <c r="B69" s="286">
        <v>1</v>
      </c>
      <c r="C69" s="566" t="s">
        <v>294</v>
      </c>
      <c r="D69" s="566"/>
      <c r="E69" s="242">
        <f>850+540</f>
        <v>1390</v>
      </c>
      <c r="F69" s="243"/>
      <c r="G69" s="244"/>
      <c r="H69" s="245">
        <f>SUM(E69:G69)</f>
        <v>1390</v>
      </c>
      <c r="I69" s="382">
        <f>850+2040</f>
        <v>2890</v>
      </c>
      <c r="J69" s="228"/>
      <c r="K69" s="244"/>
      <c r="L69" s="243">
        <f>SUM(I69:K69)</f>
        <v>2890</v>
      </c>
      <c r="M69" s="242">
        <f>827+465.18</f>
        <v>1292.18</v>
      </c>
      <c r="N69" s="244"/>
      <c r="O69" s="244"/>
      <c r="P69" s="247">
        <f>SUM(M69:O69)</f>
        <v>1292.18</v>
      </c>
    </row>
    <row r="70" spans="1:16" ht="13.5" thickBot="1">
      <c r="A70" s="595"/>
      <c r="B70" s="321">
        <v>2</v>
      </c>
      <c r="C70" s="579" t="s">
        <v>295</v>
      </c>
      <c r="D70" s="579"/>
      <c r="E70" s="258">
        <v>0</v>
      </c>
      <c r="F70" s="322">
        <v>0</v>
      </c>
      <c r="G70" s="323"/>
      <c r="H70" s="261">
        <f>SUM(E70:G70)</f>
        <v>0</v>
      </c>
      <c r="I70" s="458">
        <v>0</v>
      </c>
      <c r="J70" s="262">
        <v>0</v>
      </c>
      <c r="K70" s="323"/>
      <c r="L70" s="263">
        <f>SUM(I70:K70)</f>
        <v>0</v>
      </c>
      <c r="M70" s="258">
        <v>0</v>
      </c>
      <c r="N70" s="323">
        <v>0</v>
      </c>
      <c r="O70" s="323"/>
      <c r="P70" s="264">
        <f>SUM(M70:O70)</f>
        <v>0</v>
      </c>
    </row>
    <row r="71" spans="1:16" ht="14.25">
      <c r="A71" s="586" t="s">
        <v>296</v>
      </c>
      <c r="B71" s="587"/>
      <c r="C71" s="587"/>
      <c r="D71" s="587"/>
      <c r="E71" s="307">
        <f>E72+E73+E79</f>
        <v>89390</v>
      </c>
      <c r="F71" s="308">
        <f>SUM(F72:F79)</f>
        <v>0</v>
      </c>
      <c r="G71" s="309">
        <f>SUM(G72:G79)</f>
        <v>0</v>
      </c>
      <c r="H71" s="310">
        <f>SUM(E71:G71)</f>
        <v>89390</v>
      </c>
      <c r="I71" s="461">
        <f>I72+I73+I79</f>
        <v>89390</v>
      </c>
      <c r="J71" s="462">
        <f>SUM(J72:J79)</f>
        <v>0</v>
      </c>
      <c r="K71" s="221">
        <f>SUM(K72:K79)</f>
        <v>0</v>
      </c>
      <c r="L71" s="220">
        <f>SUM(I71:K71)</f>
        <v>89390</v>
      </c>
      <c r="M71" s="307">
        <f>M72+M73+M79</f>
        <v>77891.14000000001</v>
      </c>
      <c r="N71" s="309">
        <f>SUM(N72:N79)</f>
        <v>0</v>
      </c>
      <c r="O71" s="309">
        <f>SUM(O72:O79)</f>
        <v>0</v>
      </c>
      <c r="P71" s="312">
        <f>SUM(M71:O71)</f>
        <v>77891.14000000001</v>
      </c>
    </row>
    <row r="72" spans="1:16" ht="12.75">
      <c r="A72" s="569">
        <v>11</v>
      </c>
      <c r="B72" s="241">
        <v>1</v>
      </c>
      <c r="C72" s="565" t="s">
        <v>297</v>
      </c>
      <c r="D72" s="566"/>
      <c r="E72" s="242">
        <v>61100</v>
      </c>
      <c r="F72" s="243"/>
      <c r="G72" s="244"/>
      <c r="H72" s="245">
        <f>SUM(E72:G72)</f>
        <v>61100</v>
      </c>
      <c r="I72" s="382">
        <v>61100</v>
      </c>
      <c r="J72" s="228"/>
      <c r="K72" s="244"/>
      <c r="L72" s="243">
        <f>SUM(I72:K72)</f>
        <v>61100</v>
      </c>
      <c r="M72" s="242">
        <v>59802.73</v>
      </c>
      <c r="N72" s="244"/>
      <c r="O72" s="244"/>
      <c r="P72" s="247">
        <f>SUM(M72:O72)</f>
        <v>59802.73</v>
      </c>
    </row>
    <row r="73" spans="1:16" ht="12.75">
      <c r="A73" s="570"/>
      <c r="B73" s="572">
        <v>2</v>
      </c>
      <c r="C73" s="565" t="s">
        <v>298</v>
      </c>
      <c r="D73" s="566"/>
      <c r="E73" s="242">
        <f aca="true" t="shared" si="25" ref="E73:P73">SUM(E74:E78)</f>
        <v>24940</v>
      </c>
      <c r="F73" s="244">
        <f t="shared" si="25"/>
        <v>0</v>
      </c>
      <c r="G73" s="244">
        <f t="shared" si="25"/>
        <v>0</v>
      </c>
      <c r="H73" s="247">
        <f t="shared" si="25"/>
        <v>24940</v>
      </c>
      <c r="I73" s="382">
        <f t="shared" si="25"/>
        <v>24940</v>
      </c>
      <c r="J73" s="228">
        <f t="shared" si="25"/>
        <v>0</v>
      </c>
      <c r="K73" s="244">
        <f t="shared" si="25"/>
        <v>0</v>
      </c>
      <c r="L73" s="243">
        <f t="shared" si="25"/>
        <v>24940</v>
      </c>
      <c r="M73" s="242">
        <f t="shared" si="25"/>
        <v>15730.09</v>
      </c>
      <c r="N73" s="244">
        <f t="shared" si="25"/>
        <v>0</v>
      </c>
      <c r="O73" s="244">
        <f t="shared" si="25"/>
        <v>0</v>
      </c>
      <c r="P73" s="247">
        <f t="shared" si="25"/>
        <v>15730.09</v>
      </c>
    </row>
    <row r="74" spans="1:16" ht="12.75">
      <c r="A74" s="570"/>
      <c r="B74" s="573"/>
      <c r="C74" s="325">
        <v>1</v>
      </c>
      <c r="D74" s="326" t="s">
        <v>299</v>
      </c>
      <c r="E74" s="327">
        <v>7200</v>
      </c>
      <c r="F74" s="328"/>
      <c r="G74" s="329"/>
      <c r="H74" s="272">
        <f>SUM(E74:G74)</f>
        <v>7200</v>
      </c>
      <c r="I74" s="469">
        <v>7200</v>
      </c>
      <c r="J74" s="329"/>
      <c r="K74" s="329"/>
      <c r="L74" s="273">
        <f>SUM(I74:K74)</f>
        <v>7200</v>
      </c>
      <c r="M74" s="327">
        <v>7025.43</v>
      </c>
      <c r="N74" s="329"/>
      <c r="O74" s="329"/>
      <c r="P74" s="274">
        <f>SUM(M74:O74)</f>
        <v>7025.43</v>
      </c>
    </row>
    <row r="75" spans="1:16" ht="12.75">
      <c r="A75" s="570"/>
      <c r="B75" s="573"/>
      <c r="C75" s="325">
        <v>2</v>
      </c>
      <c r="D75" s="317" t="s">
        <v>300</v>
      </c>
      <c r="E75" s="327">
        <v>0</v>
      </c>
      <c r="F75" s="328"/>
      <c r="G75" s="329"/>
      <c r="H75" s="272">
        <f>SUM(E75:G75)</f>
        <v>0</v>
      </c>
      <c r="I75" s="469">
        <v>0</v>
      </c>
      <c r="J75" s="329"/>
      <c r="K75" s="329"/>
      <c r="L75" s="273">
        <f>SUM(I75:K75)</f>
        <v>0</v>
      </c>
      <c r="M75" s="327">
        <v>0</v>
      </c>
      <c r="N75" s="329"/>
      <c r="O75" s="329"/>
      <c r="P75" s="274">
        <f>SUM(M75:O75)</f>
        <v>0</v>
      </c>
    </row>
    <row r="76" spans="1:16" ht="12.75">
      <c r="A76" s="570"/>
      <c r="B76" s="573"/>
      <c r="C76" s="325">
        <v>3</v>
      </c>
      <c r="D76" s="317" t="s">
        <v>301</v>
      </c>
      <c r="E76" s="327">
        <v>3000</v>
      </c>
      <c r="F76" s="328"/>
      <c r="G76" s="329"/>
      <c r="H76" s="272">
        <f>SUM(E76:G76)</f>
        <v>3000</v>
      </c>
      <c r="I76" s="469">
        <v>3000</v>
      </c>
      <c r="J76" s="329"/>
      <c r="K76" s="329"/>
      <c r="L76" s="273">
        <f>SUM(I76:K76)</f>
        <v>3000</v>
      </c>
      <c r="M76" s="327">
        <v>2042.11</v>
      </c>
      <c r="N76" s="329"/>
      <c r="O76" s="329"/>
      <c r="P76" s="274">
        <f>SUM(M76:O76)</f>
        <v>2042.11</v>
      </c>
    </row>
    <row r="77" spans="1:16" ht="12.75">
      <c r="A77" s="570"/>
      <c r="B77" s="573"/>
      <c r="C77" s="325">
        <v>4</v>
      </c>
      <c r="D77" s="317" t="s">
        <v>302</v>
      </c>
      <c r="E77" s="327">
        <f>400+300</f>
        <v>700</v>
      </c>
      <c r="F77" s="328"/>
      <c r="G77" s="329"/>
      <c r="H77" s="272">
        <f>SUM(E77:G77)</f>
        <v>700</v>
      </c>
      <c r="I77" s="469">
        <f>400+300</f>
        <v>700</v>
      </c>
      <c r="J77" s="329"/>
      <c r="K77" s="329"/>
      <c r="L77" s="273">
        <f>SUM(I77:K77)</f>
        <v>700</v>
      </c>
      <c r="M77" s="327">
        <v>0</v>
      </c>
      <c r="N77" s="329"/>
      <c r="O77" s="329"/>
      <c r="P77" s="274">
        <f>SUM(M77:O77)</f>
        <v>0</v>
      </c>
    </row>
    <row r="78" spans="1:16" ht="12.75">
      <c r="A78" s="570"/>
      <c r="B78" s="574"/>
      <c r="C78" s="325">
        <v>5</v>
      </c>
      <c r="D78" s="317" t="s">
        <v>303</v>
      </c>
      <c r="E78" s="327">
        <v>14040</v>
      </c>
      <c r="F78" s="328"/>
      <c r="G78" s="329"/>
      <c r="H78" s="272">
        <f>SUM(E78:G78)</f>
        <v>14040</v>
      </c>
      <c r="I78" s="469">
        <v>14040</v>
      </c>
      <c r="J78" s="329"/>
      <c r="K78" s="329"/>
      <c r="L78" s="273">
        <f>SUM(I78:K78)</f>
        <v>14040</v>
      </c>
      <c r="M78" s="327">
        <v>6662.55</v>
      </c>
      <c r="N78" s="329"/>
      <c r="O78" s="329"/>
      <c r="P78" s="274">
        <f>SUM(M78:O78)</f>
        <v>6662.55</v>
      </c>
    </row>
    <row r="79" spans="1:16" ht="12.75">
      <c r="A79" s="570"/>
      <c r="B79" s="602">
        <v>3</v>
      </c>
      <c r="C79" s="565" t="s">
        <v>304</v>
      </c>
      <c r="D79" s="566"/>
      <c r="E79" s="299">
        <f aca="true" t="shared" si="26" ref="E79:P79">SUM(E80:E81)</f>
        <v>3350</v>
      </c>
      <c r="F79" s="301">
        <f t="shared" si="26"/>
        <v>0</v>
      </c>
      <c r="G79" s="301">
        <f t="shared" si="26"/>
        <v>0</v>
      </c>
      <c r="H79" s="330">
        <f t="shared" si="26"/>
        <v>3350</v>
      </c>
      <c r="I79" s="463">
        <f t="shared" si="26"/>
        <v>3350</v>
      </c>
      <c r="J79" s="464">
        <f t="shared" si="26"/>
        <v>0</v>
      </c>
      <c r="K79" s="301">
        <f t="shared" si="26"/>
        <v>0</v>
      </c>
      <c r="L79" s="300">
        <f t="shared" si="26"/>
        <v>3350</v>
      </c>
      <c r="M79" s="300">
        <f t="shared" si="26"/>
        <v>2358.32</v>
      </c>
      <c r="N79" s="301">
        <f t="shared" si="26"/>
        <v>0</v>
      </c>
      <c r="O79" s="301">
        <f t="shared" si="26"/>
        <v>0</v>
      </c>
      <c r="P79" s="330">
        <f t="shared" si="26"/>
        <v>2358.32</v>
      </c>
    </row>
    <row r="80" spans="1:16" ht="12.75">
      <c r="A80" s="570"/>
      <c r="B80" s="603"/>
      <c r="C80" s="331">
        <v>1</v>
      </c>
      <c r="D80" s="332" t="s">
        <v>305</v>
      </c>
      <c r="E80" s="282">
        <v>1800</v>
      </c>
      <c r="F80" s="283"/>
      <c r="G80" s="284"/>
      <c r="H80" s="272">
        <f>SUM(E80:G80)</f>
        <v>1800</v>
      </c>
      <c r="I80" s="285">
        <v>1800</v>
      </c>
      <c r="J80" s="284"/>
      <c r="K80" s="284"/>
      <c r="L80" s="273">
        <f>SUM(I80:K80)</f>
        <v>1800</v>
      </c>
      <c r="M80" s="282">
        <v>1649.22</v>
      </c>
      <c r="N80" s="284"/>
      <c r="O80" s="284"/>
      <c r="P80" s="274">
        <f>SUM(M80:O80)</f>
        <v>1649.22</v>
      </c>
    </row>
    <row r="81" spans="1:16" ht="13.5" thickBot="1">
      <c r="A81" s="571"/>
      <c r="B81" s="604"/>
      <c r="C81" s="333">
        <v>2</v>
      </c>
      <c r="D81" s="334" t="s">
        <v>306</v>
      </c>
      <c r="E81" s="335">
        <v>1550</v>
      </c>
      <c r="F81" s="336"/>
      <c r="G81" s="337"/>
      <c r="H81" s="338">
        <f>SUM(E81:G81)</f>
        <v>1550</v>
      </c>
      <c r="I81" s="470">
        <v>1550</v>
      </c>
      <c r="J81" s="337"/>
      <c r="K81" s="337"/>
      <c r="L81" s="336">
        <f>SUM(I81:K81)</f>
        <v>1550</v>
      </c>
      <c r="M81" s="335">
        <v>709.1</v>
      </c>
      <c r="N81" s="337"/>
      <c r="O81" s="337"/>
      <c r="P81" s="339">
        <f>SUM(M81:O81)</f>
        <v>709.1</v>
      </c>
    </row>
    <row r="82" spans="1:16" ht="15" thickBot="1">
      <c r="A82" s="596" t="s">
        <v>307</v>
      </c>
      <c r="B82" s="597"/>
      <c r="C82" s="597"/>
      <c r="D82" s="597"/>
      <c r="E82" s="340">
        <f aca="true" t="shared" si="27" ref="E82:P82">SUM(E83:E84)</f>
        <v>351000</v>
      </c>
      <c r="F82" s="341">
        <f t="shared" si="27"/>
        <v>0</v>
      </c>
      <c r="G82" s="342">
        <f t="shared" si="27"/>
        <v>0</v>
      </c>
      <c r="H82" s="343">
        <f t="shared" si="27"/>
        <v>351000</v>
      </c>
      <c r="I82" s="471">
        <f t="shared" si="27"/>
        <v>388761</v>
      </c>
      <c r="J82" s="472">
        <f t="shared" si="27"/>
        <v>0</v>
      </c>
      <c r="K82" s="342">
        <f t="shared" si="27"/>
        <v>0</v>
      </c>
      <c r="L82" s="341">
        <f t="shared" si="27"/>
        <v>388761</v>
      </c>
      <c r="M82" s="340">
        <f t="shared" si="27"/>
        <v>388719</v>
      </c>
      <c r="N82" s="342">
        <f t="shared" si="27"/>
        <v>0</v>
      </c>
      <c r="O82" s="342">
        <f t="shared" si="27"/>
        <v>0</v>
      </c>
      <c r="P82" s="345">
        <f t="shared" si="27"/>
        <v>388719</v>
      </c>
    </row>
    <row r="83" spans="1:16" ht="12.75">
      <c r="A83" s="598"/>
      <c r="B83" s="346">
        <v>1</v>
      </c>
      <c r="C83" s="600" t="s">
        <v>308</v>
      </c>
      <c r="D83" s="600"/>
      <c r="E83" s="347">
        <v>334000</v>
      </c>
      <c r="F83" s="348"/>
      <c r="G83" s="349"/>
      <c r="H83" s="350">
        <f>SUM(E83:G83)</f>
        <v>334000</v>
      </c>
      <c r="I83" s="473">
        <v>371161</v>
      </c>
      <c r="J83" s="474"/>
      <c r="K83" s="349"/>
      <c r="L83" s="348">
        <f>SUM(I83:K83)</f>
        <v>371161</v>
      </c>
      <c r="M83" s="416">
        <v>371119</v>
      </c>
      <c r="N83" s="418"/>
      <c r="O83" s="349"/>
      <c r="P83" s="352">
        <f>SUM(M83:O83)</f>
        <v>371119</v>
      </c>
    </row>
    <row r="84" spans="1:16" ht="13.5" thickBot="1">
      <c r="A84" s="599"/>
      <c r="B84" s="353">
        <v>2</v>
      </c>
      <c r="C84" s="601" t="s">
        <v>309</v>
      </c>
      <c r="D84" s="601"/>
      <c r="E84" s="354">
        <v>17000</v>
      </c>
      <c r="F84" s="355"/>
      <c r="G84" s="356"/>
      <c r="H84" s="357">
        <f>SUM(E84:G84)</f>
        <v>17000</v>
      </c>
      <c r="I84" s="475">
        <v>17600</v>
      </c>
      <c r="J84" s="476"/>
      <c r="K84" s="356"/>
      <c r="L84" s="358">
        <f>SUM(I84:K84)</f>
        <v>17600</v>
      </c>
      <c r="M84" s="417">
        <v>17600</v>
      </c>
      <c r="N84" s="356"/>
      <c r="O84" s="356"/>
      <c r="P84" s="359">
        <f>SUM(M84:O84)</f>
        <v>17600</v>
      </c>
    </row>
    <row r="85" spans="1:16" ht="13.5" thickBot="1">
      <c r="A85" s="360"/>
      <c r="B85" s="131"/>
      <c r="C85" s="131"/>
      <c r="D85" s="131"/>
      <c r="E85" s="131"/>
      <c r="F85" s="131"/>
      <c r="G85" s="361"/>
      <c r="H85" s="131"/>
      <c r="I85" s="131"/>
      <c r="J85" s="131"/>
      <c r="K85" s="131"/>
      <c r="L85" s="131"/>
      <c r="M85" s="360"/>
      <c r="N85" s="131"/>
      <c r="O85" s="131"/>
      <c r="P85" s="362"/>
    </row>
    <row r="86" spans="1:16" ht="45" customHeight="1" thickBot="1">
      <c r="A86" s="605" t="s">
        <v>310</v>
      </c>
      <c r="B86" s="606"/>
      <c r="C86" s="606"/>
      <c r="D86" s="606"/>
      <c r="E86" s="363" t="s">
        <v>311</v>
      </c>
      <c r="F86" s="364" t="s">
        <v>312</v>
      </c>
      <c r="G86" s="365" t="s">
        <v>313</v>
      </c>
      <c r="H86" s="366" t="s">
        <v>238</v>
      </c>
      <c r="I86" s="367" t="s">
        <v>311</v>
      </c>
      <c r="J86" s="365" t="s">
        <v>312</v>
      </c>
      <c r="K86" s="364" t="s">
        <v>313</v>
      </c>
      <c r="L86" s="364" t="s">
        <v>238</v>
      </c>
      <c r="M86" s="363" t="s">
        <v>311</v>
      </c>
      <c r="N86" s="365" t="s">
        <v>312</v>
      </c>
      <c r="O86" s="364" t="s">
        <v>313</v>
      </c>
      <c r="P86" s="368" t="s">
        <v>238</v>
      </c>
    </row>
    <row r="87" spans="1:16" ht="15.75" thickBot="1">
      <c r="A87" s="607" t="s">
        <v>314</v>
      </c>
      <c r="B87" s="608"/>
      <c r="C87" s="608"/>
      <c r="D87" s="608"/>
      <c r="E87" s="369">
        <v>1266364</v>
      </c>
      <c r="F87" s="370">
        <v>210370</v>
      </c>
      <c r="G87" s="371">
        <v>30427</v>
      </c>
      <c r="H87" s="372">
        <f>SUM(E87:G87)</f>
        <v>1507161</v>
      </c>
      <c r="I87" s="373">
        <v>1438109</v>
      </c>
      <c r="J87" s="370">
        <v>593259</v>
      </c>
      <c r="K87" s="371">
        <v>7382</v>
      </c>
      <c r="L87" s="370">
        <f>SUM(I87:K87)</f>
        <v>2038750</v>
      </c>
      <c r="M87" s="369">
        <v>1333776</v>
      </c>
      <c r="N87" s="370">
        <v>106863</v>
      </c>
      <c r="O87" s="371">
        <v>3342</v>
      </c>
      <c r="P87" s="372">
        <f>SUM(M87:O87)</f>
        <v>1443981</v>
      </c>
    </row>
    <row r="88" spans="1:16" ht="15.75" thickBot="1">
      <c r="A88" s="607" t="s">
        <v>315</v>
      </c>
      <c r="B88" s="608"/>
      <c r="C88" s="608"/>
      <c r="D88" s="608"/>
      <c r="E88" s="374">
        <f aca="true" t="shared" si="28" ref="E88:P88">E5+E82</f>
        <v>1209041</v>
      </c>
      <c r="F88" s="374">
        <f t="shared" si="28"/>
        <v>257420</v>
      </c>
      <c r="G88" s="374">
        <f t="shared" si="28"/>
        <v>40700</v>
      </c>
      <c r="H88" s="374">
        <f t="shared" si="28"/>
        <v>1507161</v>
      </c>
      <c r="I88" s="374">
        <f t="shared" si="28"/>
        <v>1338841</v>
      </c>
      <c r="J88" s="374">
        <f t="shared" si="28"/>
        <v>659209</v>
      </c>
      <c r="K88" s="374">
        <f t="shared" si="28"/>
        <v>40700</v>
      </c>
      <c r="L88" s="374">
        <f t="shared" si="28"/>
        <v>2038750</v>
      </c>
      <c r="M88" s="374">
        <f t="shared" si="28"/>
        <v>1215985.5</v>
      </c>
      <c r="N88" s="374">
        <f t="shared" si="28"/>
        <v>88409.64</v>
      </c>
      <c r="O88" s="374">
        <f t="shared" si="28"/>
        <v>30422.6</v>
      </c>
      <c r="P88" s="374">
        <f t="shared" si="28"/>
        <v>1334817.74</v>
      </c>
    </row>
    <row r="89" spans="1:16" ht="13.5" thickBot="1">
      <c r="A89" s="609" t="s">
        <v>316</v>
      </c>
      <c r="B89" s="610"/>
      <c r="C89" s="610"/>
      <c r="D89" s="610"/>
      <c r="E89" s="375">
        <f aca="true" t="shared" si="29" ref="E89:P89">E87-E88</f>
        <v>57323</v>
      </c>
      <c r="F89" s="376">
        <f t="shared" si="29"/>
        <v>-47050</v>
      </c>
      <c r="G89" s="377">
        <f t="shared" si="29"/>
        <v>-10273</v>
      </c>
      <c r="H89" s="378">
        <f t="shared" si="29"/>
        <v>0</v>
      </c>
      <c r="I89" s="379">
        <f t="shared" si="29"/>
        <v>99268</v>
      </c>
      <c r="J89" s="380">
        <f t="shared" si="29"/>
        <v>-65950</v>
      </c>
      <c r="K89" s="380">
        <f t="shared" si="29"/>
        <v>-33318</v>
      </c>
      <c r="L89" s="376">
        <f t="shared" si="29"/>
        <v>0</v>
      </c>
      <c r="M89" s="375">
        <f t="shared" si="29"/>
        <v>117790.5</v>
      </c>
      <c r="N89" s="380">
        <f t="shared" si="29"/>
        <v>18453.36</v>
      </c>
      <c r="O89" s="380">
        <f t="shared" si="29"/>
        <v>-27080.6</v>
      </c>
      <c r="P89" s="444">
        <f t="shared" si="29"/>
        <v>109163.26000000001</v>
      </c>
    </row>
  </sheetData>
  <sheetProtection/>
  <mergeCells count="83">
    <mergeCell ref="A1:P1"/>
    <mergeCell ref="A2:H2"/>
    <mergeCell ref="A3:D4"/>
    <mergeCell ref="E3:H3"/>
    <mergeCell ref="I3:L3"/>
    <mergeCell ref="M3:P3"/>
    <mergeCell ref="C25:D25"/>
    <mergeCell ref="A6:D6"/>
    <mergeCell ref="A7:A13"/>
    <mergeCell ref="B7:B9"/>
    <mergeCell ref="C7:D7"/>
    <mergeCell ref="C10:D10"/>
    <mergeCell ref="C11:D11"/>
    <mergeCell ref="C12:D12"/>
    <mergeCell ref="C13:D13"/>
    <mergeCell ref="C35:D35"/>
    <mergeCell ref="A14:D14"/>
    <mergeCell ref="A15:A32"/>
    <mergeCell ref="B15:B17"/>
    <mergeCell ref="C15:D15"/>
    <mergeCell ref="C18:D18"/>
    <mergeCell ref="B19:B21"/>
    <mergeCell ref="C19:D19"/>
    <mergeCell ref="B22:B24"/>
    <mergeCell ref="C22:D22"/>
    <mergeCell ref="A42:D42"/>
    <mergeCell ref="A43:A46"/>
    <mergeCell ref="C26:D26"/>
    <mergeCell ref="B27:B30"/>
    <mergeCell ref="C27:D27"/>
    <mergeCell ref="B31:B32"/>
    <mergeCell ref="C31:D31"/>
    <mergeCell ref="A33:D33"/>
    <mergeCell ref="A34:A35"/>
    <mergeCell ref="C34:D34"/>
    <mergeCell ref="A36:D36"/>
    <mergeCell ref="C37:D37"/>
    <mergeCell ref="A38:D38"/>
    <mergeCell ref="A39:A41"/>
    <mergeCell ref="C39:D39"/>
    <mergeCell ref="C40:D40"/>
    <mergeCell ref="C41:D41"/>
    <mergeCell ref="C43:D43"/>
    <mergeCell ref="C44:D44"/>
    <mergeCell ref="C45:D45"/>
    <mergeCell ref="A62:D62"/>
    <mergeCell ref="C61:D61"/>
    <mergeCell ref="A47:D47"/>
    <mergeCell ref="A48:A49"/>
    <mergeCell ref="C48:D48"/>
    <mergeCell ref="C49:D49"/>
    <mergeCell ref="C46:D46"/>
    <mergeCell ref="C69:D69"/>
    <mergeCell ref="A50:D50"/>
    <mergeCell ref="A51:A61"/>
    <mergeCell ref="B51:B57"/>
    <mergeCell ref="C51:D51"/>
    <mergeCell ref="C59:D59"/>
    <mergeCell ref="C60:D60"/>
    <mergeCell ref="C79:D79"/>
    <mergeCell ref="A71:D71"/>
    <mergeCell ref="C66:D66"/>
    <mergeCell ref="A63:A67"/>
    <mergeCell ref="C67:D67"/>
    <mergeCell ref="A68:D68"/>
    <mergeCell ref="C63:D63"/>
    <mergeCell ref="C64:D64"/>
    <mergeCell ref="C65:D65"/>
    <mergeCell ref="A69:A70"/>
    <mergeCell ref="C70:D70"/>
    <mergeCell ref="A82:D82"/>
    <mergeCell ref="A83:A84"/>
    <mergeCell ref="C83:D83"/>
    <mergeCell ref="C84:D84"/>
    <mergeCell ref="A72:A81"/>
    <mergeCell ref="C72:D72"/>
    <mergeCell ref="B73:B78"/>
    <mergeCell ref="C73:D73"/>
    <mergeCell ref="B79:B81"/>
    <mergeCell ref="A86:D86"/>
    <mergeCell ref="A87:D87"/>
    <mergeCell ref="A88:D88"/>
    <mergeCell ref="A89:D8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TkacikovaA</dc:creator>
  <cp:keywords/>
  <dc:description/>
  <cp:lastModifiedBy>TkacikovaA</cp:lastModifiedBy>
  <cp:lastPrinted>2014-02-25T13:20:07Z</cp:lastPrinted>
  <dcterms:created xsi:type="dcterms:W3CDTF">2013-02-11T08:36:00Z</dcterms:created>
  <dcterms:modified xsi:type="dcterms:W3CDTF">2014-02-25T13:20:38Z</dcterms:modified>
  <cp:category/>
  <cp:version/>
  <cp:contentType/>
  <cp:contentStatus/>
</cp:coreProperties>
</file>