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240" activeTab="2"/>
  </bookViews>
  <sheets>
    <sheet name="opatrenia" sheetId="1" r:id="rId1"/>
    <sheet name="úpravy" sheetId="2" r:id="rId2"/>
    <sheet name="zmena 4" sheetId="3" r:id="rId3"/>
    <sheet name="zmena 3" sheetId="4" r:id="rId4"/>
    <sheet name="zmena2" sheetId="5" r:id="rId5"/>
    <sheet name="zmena1" sheetId="6" r:id="rId6"/>
    <sheet name="Rozpočet2014-16" sheetId="7" r:id="rId7"/>
  </sheets>
  <definedNames/>
  <calcPr fullCalcOnLoad="1"/>
</workbook>
</file>

<file path=xl/comments2.xml><?xml version="1.0" encoding="utf-8"?>
<comments xmlns="http://schemas.openxmlformats.org/spreadsheetml/2006/main">
  <authors>
    <author>TkacikovaA</author>
  </authors>
  <commentList>
    <comment ref="A19" authorId="0">
      <text>
        <r>
          <rPr>
            <b/>
            <sz val="9"/>
            <rFont val="Tahoma"/>
            <family val="0"/>
          </rPr>
          <t>TkacikovaA:</t>
        </r>
        <r>
          <rPr>
            <sz val="9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9"/>
            <rFont val="Tahoma"/>
            <family val="0"/>
          </rPr>
          <t>TkacikovaA:</t>
        </r>
        <r>
          <rPr>
            <sz val="9"/>
            <rFont val="Tahoma"/>
            <family val="0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0"/>
          </rPr>
          <t>TkacikovaA:</t>
        </r>
        <r>
          <rPr>
            <sz val="9"/>
            <rFont val="Tahoma"/>
            <family val="0"/>
          </rPr>
          <t xml:space="preserve">
</t>
        </r>
      </text>
    </comment>
    <comment ref="T17" authorId="0">
      <text>
        <r>
          <rPr>
            <b/>
            <sz val="9"/>
            <rFont val="Tahoma"/>
            <family val="0"/>
          </rPr>
          <t>TkacikovaA: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<sst xmlns="http://schemas.openxmlformats.org/spreadsheetml/2006/main" count="1492" uniqueCount="388">
  <si>
    <t>Bežný rozpočet - príjmy</t>
  </si>
  <si>
    <t>Názov položky</t>
  </si>
  <si>
    <t>daňové príjmy</t>
  </si>
  <si>
    <t>výnos dane pre územnú samosprávu</t>
  </si>
  <si>
    <t>daň za psa</t>
  </si>
  <si>
    <t>daň za nevýherné hracie prístroje</t>
  </si>
  <si>
    <t>daň z ubytovania</t>
  </si>
  <si>
    <t>daň za užívanie verejného priestranstva</t>
  </si>
  <si>
    <t>MP za zber a odvoz odpadu</t>
  </si>
  <si>
    <t>nedaňové príjmy</t>
  </si>
  <si>
    <t>prenájom pozemkov</t>
  </si>
  <si>
    <t>prenájom hrobového miesta</t>
  </si>
  <si>
    <t>prenájom bytov</t>
  </si>
  <si>
    <t xml:space="preserve">správne poplatky </t>
  </si>
  <si>
    <t>pokuty, sankcie</t>
  </si>
  <si>
    <t>ostatné príjmy /relácie,kopírovanie,fax,.../</t>
  </si>
  <si>
    <t>príjem za opatrovateľskú službu</t>
  </si>
  <si>
    <t>príjmy zo vstupného, kult.činnosti, HDST</t>
  </si>
  <si>
    <t>príjmy za separovaný zber, Recyklačný fond</t>
  </si>
  <si>
    <t>poplatky za dom smútku</t>
  </si>
  <si>
    <t>poplatky za stočné</t>
  </si>
  <si>
    <t>poplatky za služby - užívanie obec.nebyt.priestorov</t>
  </si>
  <si>
    <t>ZUŠ - príspevok rodičov na náklady zariadenia</t>
  </si>
  <si>
    <t>MŠ - príspevok rodičov na náklady zariadenia</t>
  </si>
  <si>
    <t>predaj prebytočného majetku</t>
  </si>
  <si>
    <t>úroky</t>
  </si>
  <si>
    <t>úroky z bankových účtov</t>
  </si>
  <si>
    <t>ostatné príjmy</t>
  </si>
  <si>
    <t>príjem z výťažkov lotérií a hazardných hier</t>
  </si>
  <si>
    <t>príjem z dobropisov a vratiek</t>
  </si>
  <si>
    <t>príjem za cintorínske služby</t>
  </si>
  <si>
    <t>príjmy z refundácii služieb nebytových priestorov</t>
  </si>
  <si>
    <t>príjmy z ostatných refundácii</t>
  </si>
  <si>
    <t>príjmy z náhrad priestupkového konania</t>
  </si>
  <si>
    <t>granty, dotácie, transfery</t>
  </si>
  <si>
    <t>Granty</t>
  </si>
  <si>
    <t>Dotácia na projekt ZŠ - MRK</t>
  </si>
  <si>
    <t>Dotácia na deti v hm.núdzi /strava,šk.potreby/</t>
  </si>
  <si>
    <t>Dotácia na aktivačnú činnosť, PRMZ</t>
  </si>
  <si>
    <t>Transfer od obcí na SpU opatr.služby</t>
  </si>
  <si>
    <t>Transfer od ZŠ na SpU školstva</t>
  </si>
  <si>
    <t>Transfer od obcí na SpU stavebný</t>
  </si>
  <si>
    <t>Dotácia na výchovu,vzdelávanie MŠ</t>
  </si>
  <si>
    <t>Transfer pre ZŠ - právny subjekt</t>
  </si>
  <si>
    <t>BEŽNÉ PRÍJMY obce:</t>
  </si>
  <si>
    <t>Vlastný príjem ZŠ</t>
  </si>
  <si>
    <t>BEŽNÉ PRÍJMY CELKOM:</t>
  </si>
  <si>
    <t>Bežný rozpočet - výdavky</t>
  </si>
  <si>
    <t>Všeobecné verejné služby</t>
  </si>
  <si>
    <t>01116</t>
  </si>
  <si>
    <t>Výdavky verejnej správy - samospráva</t>
  </si>
  <si>
    <t>0112</t>
  </si>
  <si>
    <t>Fin.a rozpoč.oblasť /HKON,OZ,audit,poplatky/</t>
  </si>
  <si>
    <t>0133</t>
  </si>
  <si>
    <t>Matričný úrad a REGOB</t>
  </si>
  <si>
    <t>0160</t>
  </si>
  <si>
    <t>Voľby</t>
  </si>
  <si>
    <t>Civilná ochrana</t>
  </si>
  <si>
    <t>0220</t>
  </si>
  <si>
    <t>Skladník CO</t>
  </si>
  <si>
    <t xml:space="preserve">Požiarna ochrana </t>
  </si>
  <si>
    <t>0320</t>
  </si>
  <si>
    <t>Obecný hasičský zbor</t>
  </si>
  <si>
    <t>Všeobecná ekonomická oblasť</t>
  </si>
  <si>
    <t>0411</t>
  </si>
  <si>
    <t>Členské príspevky združeniam, organizáciám</t>
  </si>
  <si>
    <t>0443</t>
  </si>
  <si>
    <t>Spoločný stavebný úrad</t>
  </si>
  <si>
    <t>04513</t>
  </si>
  <si>
    <t>Miestne komunikácie-údržba ciest,zimná údržba</t>
  </si>
  <si>
    <t>0490</t>
  </si>
  <si>
    <t>Ochrana životného prostredia</t>
  </si>
  <si>
    <t>0510</t>
  </si>
  <si>
    <t>0520</t>
  </si>
  <si>
    <t>Prevádzka ČOV</t>
  </si>
  <si>
    <t>0560</t>
  </si>
  <si>
    <t>Starostlivosť o ŽP, ver.zeleň, potoky</t>
  </si>
  <si>
    <t>Občianska vybavenosť</t>
  </si>
  <si>
    <t>0640</t>
  </si>
  <si>
    <t>Verejné osvetlenie</t>
  </si>
  <si>
    <t>Rekreácia, šport, kultúra, náboženstvo</t>
  </si>
  <si>
    <t>0810</t>
  </si>
  <si>
    <t>Údržba športového areálu</t>
  </si>
  <si>
    <t>Príspevok pre Športový klub</t>
  </si>
  <si>
    <t>0820</t>
  </si>
  <si>
    <t>Riadenie kultúrnych činností,propagácia obce</t>
  </si>
  <si>
    <t>08203</t>
  </si>
  <si>
    <t>Amfiteáter</t>
  </si>
  <si>
    <t>08205</t>
  </si>
  <si>
    <t>Miestna ľudová knižnica</t>
  </si>
  <si>
    <t>08209</t>
  </si>
  <si>
    <t>Svadby</t>
  </si>
  <si>
    <t>Fašiangová veselica</t>
  </si>
  <si>
    <t>Kolovrátok</t>
  </si>
  <si>
    <t>Horehronské dni spevu a tanca - obec</t>
  </si>
  <si>
    <t>Kultúrne podujatia</t>
  </si>
  <si>
    <t>Mikuláš</t>
  </si>
  <si>
    <t>0830</t>
  </si>
  <si>
    <t>Údržba miest.rozhlasu, SOZA,RTVS,noviny</t>
  </si>
  <si>
    <t>0840</t>
  </si>
  <si>
    <t>Prevádzka Domu smútku a cintorína</t>
  </si>
  <si>
    <t>0860</t>
  </si>
  <si>
    <t>Vzdelávanie</t>
  </si>
  <si>
    <t>09111</t>
  </si>
  <si>
    <t>MŠ, vzdel.program</t>
  </si>
  <si>
    <t>09121</t>
  </si>
  <si>
    <t>09501</t>
  </si>
  <si>
    <t>ZUŠ</t>
  </si>
  <si>
    <t>09601</t>
  </si>
  <si>
    <t>Školská kuchyňa a jedáleň</t>
  </si>
  <si>
    <t>09607</t>
  </si>
  <si>
    <t>Spoločný školský úrad</t>
  </si>
  <si>
    <t>Sociálne zabezpečenie</t>
  </si>
  <si>
    <t>10202</t>
  </si>
  <si>
    <t>Opatrovateľská služba</t>
  </si>
  <si>
    <t>Mesiac úcty k starším</t>
  </si>
  <si>
    <t>10203</t>
  </si>
  <si>
    <t>Spoločný úrad sociálnej pomoci</t>
  </si>
  <si>
    <t>Uvítanie detí do života</t>
  </si>
  <si>
    <t>1050</t>
  </si>
  <si>
    <t>Aktivačná činnosť a podpora region.zamestnávania</t>
  </si>
  <si>
    <t>10701</t>
  </si>
  <si>
    <t>Príspevok deťom v hm.núdzi -strava,šk.potreby</t>
  </si>
  <si>
    <t>10703</t>
  </si>
  <si>
    <t>Sociálna pomoc  občanom v núdzi</t>
  </si>
  <si>
    <t>1090</t>
  </si>
  <si>
    <t>Soc. pomoc pri živelných pohromách</t>
  </si>
  <si>
    <t>BEŽNÉ VÝDAVKY obce:</t>
  </si>
  <si>
    <t>Transfer pre ZŠ</t>
  </si>
  <si>
    <t>09502</t>
  </si>
  <si>
    <t>Transfer pre ŠKD</t>
  </si>
  <si>
    <t>Transfer pre ZŠ :</t>
  </si>
  <si>
    <t>BEŽNÉ VÝDAVKY CELKOM:</t>
  </si>
  <si>
    <t>Kapitálový rozpočet</t>
  </si>
  <si>
    <t>Kapitálové príjmy</t>
  </si>
  <si>
    <t>predaj pozemkov, budov</t>
  </si>
  <si>
    <t>KT Zberný dvor</t>
  </si>
  <si>
    <t>KT ČOV</t>
  </si>
  <si>
    <t>KT Modernizácia osvetlenia</t>
  </si>
  <si>
    <t>Kapitálové výdavky</t>
  </si>
  <si>
    <t>nákup pozemkov st.obvod Teplica II.</t>
  </si>
  <si>
    <t>nákup budov, objektov na ver. účely</t>
  </si>
  <si>
    <t>Zberný dvor - výstavba</t>
  </si>
  <si>
    <t>Kanalizácia</t>
  </si>
  <si>
    <t>Modernizácia osvetlenia</t>
  </si>
  <si>
    <t>Finančné operácie</t>
  </si>
  <si>
    <t>príjmové</t>
  </si>
  <si>
    <t xml:space="preserve">splácanie výpomocí </t>
  </si>
  <si>
    <t>prevod z FRO - investičné akcie</t>
  </si>
  <si>
    <t>návratné zdroje financovania</t>
  </si>
  <si>
    <t>výdavkové</t>
  </si>
  <si>
    <t>splácanie inv. úveru na projekty</t>
  </si>
  <si>
    <t>splácanie úveru ŠFRB</t>
  </si>
  <si>
    <t>REKAPITULÁCIA ROZPOČTU</t>
  </si>
  <si>
    <t>príjmy bežného rozpočtu</t>
  </si>
  <si>
    <t>výdavky bežného rozpočtu</t>
  </si>
  <si>
    <t>prebytok bežného rozpočtu</t>
  </si>
  <si>
    <t>príjmy kapitálového rozpočtu</t>
  </si>
  <si>
    <t>výdavky kapitálového rozpočtu</t>
  </si>
  <si>
    <t>schodok kapitálového rozpočtu</t>
  </si>
  <si>
    <t>finančné operácie príjmové</t>
  </si>
  <si>
    <t>finančné operácie výdavkové</t>
  </si>
  <si>
    <t>rozdiel finančných operácií</t>
  </si>
  <si>
    <t>CELKOVÝ  STAV  ROZPOČTU:</t>
  </si>
  <si>
    <t>Príjmy celkom:</t>
  </si>
  <si>
    <t>Výdavky celkom:</t>
  </si>
  <si>
    <t>plnenie rozpočtu</t>
  </si>
  <si>
    <t>čerpanie rozpočtu</t>
  </si>
  <si>
    <t>Externý projektový manažment  Zb.dvor</t>
  </si>
  <si>
    <t>Obec Heľpa, Farská 588/2, 976 68 Heľpa</t>
  </si>
  <si>
    <t>Operatívna evidencia</t>
  </si>
  <si>
    <t>Por.č.</t>
  </si>
  <si>
    <t>Uz.č.</t>
  </si>
  <si>
    <t>zo dňa</t>
  </si>
  <si>
    <t>Zmena vo výdavkoch v Eur</t>
  </si>
  <si>
    <t>1.</t>
  </si>
  <si>
    <t>Vypracovala: A.Tkáčiková</t>
  </si>
  <si>
    <t>Schválil: Jozef Fillo - starosta obce</t>
  </si>
  <si>
    <t>a) presun rozpočtovaných prostriedkov v rámci schváleného rozpočtu, pričom sa nemenia celkové príjmy a celkové výdavky,</t>
  </si>
  <si>
    <t>Rozpočet obce Heľpa na roky 2014 - 2016</t>
  </si>
  <si>
    <t>rozpočtových opatrení za rok 2014</t>
  </si>
  <si>
    <t>daň z nehnuteľností - pozemky, stavby, byty</t>
  </si>
  <si>
    <t>príjem z náhrad poistného plnenia</t>
  </si>
  <si>
    <t>príjmy z refundácie za skladníka CO z MV SR</t>
  </si>
  <si>
    <t>príjmy z refundácie - zam.strava</t>
  </si>
  <si>
    <t xml:space="preserve">príjem z refundácie projektu MRK </t>
  </si>
  <si>
    <t>Réžia ŠKJ</t>
  </si>
  <si>
    <t>príjmy z refundácie zo SF</t>
  </si>
  <si>
    <t>NFP na Zberný dvor</t>
  </si>
  <si>
    <t>Dotácia BBSK (Kolovrátok)</t>
  </si>
  <si>
    <t>Dotácia MV SR na matričnú činnosť a REGOB</t>
  </si>
  <si>
    <t>obstaranie ver.osvetlenia</t>
  </si>
  <si>
    <t>Správa obecných objektov a majetku+aut.zastávka</t>
  </si>
  <si>
    <t>Dedina roka a filmovanie</t>
  </si>
  <si>
    <t>HDST - prevod vstupného SOS</t>
  </si>
  <si>
    <t>Minigranty, kul.šport.rozvoj, Komprax</t>
  </si>
  <si>
    <t>Vypracovala. A. Tkáčiková</t>
  </si>
  <si>
    <t>10403</t>
  </si>
  <si>
    <t xml:space="preserve">prenájom budov </t>
  </si>
  <si>
    <t xml:space="preserve">prenájom strojov,prístrojov,zariadení </t>
  </si>
  <si>
    <t>Dotácia MV SR - voľby</t>
  </si>
  <si>
    <t>Nakladanie s odpadmi + zberný dvor</t>
  </si>
  <si>
    <t>Dotácia  OkU na stavebný úrad</t>
  </si>
  <si>
    <t>projektová dokumentácia</t>
  </si>
  <si>
    <t>Strecha MŠ</t>
  </si>
  <si>
    <t>Rozpočet obce Heľpa na rok 2014 schválilo OZ uz.č.290/2013 dňa 13.12.2013</t>
  </si>
  <si>
    <t>Rozpočet obce Heľpa na roky 2015 - 2016  OZ uz.č.302/2013 dňa 13.12.2013</t>
  </si>
  <si>
    <t>Schválený</t>
  </si>
  <si>
    <t>Upravený</t>
  </si>
  <si>
    <t xml:space="preserve">Dotácia BBSK </t>
  </si>
  <si>
    <t>Rozpočet obce Heľpa na rok 2014</t>
  </si>
  <si>
    <t>Zmeny uskutočnené v týchto položkách:</t>
  </si>
  <si>
    <t>PRÍJMY</t>
  </si>
  <si>
    <t xml:space="preserve">Položka </t>
  </si>
  <si>
    <t>Názov</t>
  </si>
  <si>
    <t>Suma</t>
  </si>
  <si>
    <t>MP KO</t>
  </si>
  <si>
    <t>Obec:</t>
  </si>
  <si>
    <t>RO</t>
  </si>
  <si>
    <t>Obec spolu:</t>
  </si>
  <si>
    <t>VÝDAVKY</t>
  </si>
  <si>
    <t>FRK</t>
  </si>
  <si>
    <t>BT- Školský klub detí</t>
  </si>
  <si>
    <t xml:space="preserve">1. úprava rozpočtu </t>
  </si>
  <si>
    <t>Príjem z predaja pozemkov</t>
  </si>
  <si>
    <t>Vratky</t>
  </si>
  <si>
    <t>Príjem z refundácií služieb min.r.</t>
  </si>
  <si>
    <t>Dot. na Voľby prezidenta, NR SR</t>
  </si>
  <si>
    <t>Transfer na matriku, REGOB</t>
  </si>
  <si>
    <t>Transfer na MŠ</t>
  </si>
  <si>
    <t>Transfer na ZŠ</t>
  </si>
  <si>
    <t>Matrika os.prípl.</t>
  </si>
  <si>
    <t>Voľby odmeny</t>
  </si>
  <si>
    <t>Elektrina ver.osvetlenie</t>
  </si>
  <si>
    <t>Materská škola + vzdel.program</t>
  </si>
  <si>
    <t>Základná umelecká škola</t>
  </si>
  <si>
    <t>Dotácia z UPSVR na AČ, PRMZ</t>
  </si>
  <si>
    <t>príjem z refundácie UPSVR na PRMZ</t>
  </si>
  <si>
    <t>Bankový úver</t>
  </si>
  <si>
    <t>ČOV el.energia</t>
  </si>
  <si>
    <t>Príjem za služby nebyt.priestorov</t>
  </si>
  <si>
    <t>Poistné majetok</t>
  </si>
  <si>
    <t>Fašiangy, STV</t>
  </si>
  <si>
    <t>Prevody fondov</t>
  </si>
  <si>
    <t>Príspevok Recyklačného fondu</t>
  </si>
  <si>
    <t>Nájomné objektov +STV + Komprax</t>
  </si>
  <si>
    <t>Projekty Komprax</t>
  </si>
  <si>
    <t>Zber.dvor PHM stroje, materiál, vrecia, fotopasce</t>
  </si>
  <si>
    <t>PHM štiepk, traktor, poistky, oprava traktora</t>
  </si>
  <si>
    <t>Kultúrne podujatia + filmovanie</t>
  </si>
  <si>
    <t>Skutočnosť 3</t>
  </si>
  <si>
    <t>319/2014</t>
  </si>
  <si>
    <t>11.4.2014</t>
  </si>
  <si>
    <t>§ 14 ods. 2  písm.:</t>
  </si>
  <si>
    <t>V Heľpe 11.4.2014</t>
  </si>
  <si>
    <t>b) povolené prekročenie a viazanie príjmov,</t>
  </si>
  <si>
    <t>c) povolené prekročenie a viazanie výdavkov,</t>
  </si>
  <si>
    <t>d) povolené prekročenie a viazanie finančných operácií.</t>
  </si>
  <si>
    <t>§14 ods.2 písm.b), c), d)</t>
  </si>
  <si>
    <t>Rozpočtové opatrenie</t>
  </si>
  <si>
    <t>Zmena v príjmoch      v Eur</t>
  </si>
  <si>
    <t xml:space="preserve">Poznámka: </t>
  </si>
  <si>
    <t>BT - Základná škola + projekt MRK</t>
  </si>
  <si>
    <t>Upravený rozpočet obce Heľpa na rok 2014 schválilo OZ uz.č.319/2014 dňa 11.4.2014</t>
  </si>
  <si>
    <t xml:space="preserve">2. úprava rozpočtu </t>
  </si>
  <si>
    <t>Vstupné "Na skle..."</t>
  </si>
  <si>
    <t>BT voľby prezidenta</t>
  </si>
  <si>
    <t>BT voľby do Europarlamentu</t>
  </si>
  <si>
    <t>Dotácia BBSK na Kolovrátok</t>
  </si>
  <si>
    <t>Voľby prezidenta</t>
  </si>
  <si>
    <t>Voľby do Europarlamentu</t>
  </si>
  <si>
    <t>Šport.potreby z grantu Nadácie Pontis</t>
  </si>
  <si>
    <t>Vypracovala: Mgr. A.Tkáčiková</t>
  </si>
  <si>
    <t>V Heľpe 13.6.2014</t>
  </si>
  <si>
    <t>2.</t>
  </si>
  <si>
    <t>13.6.2014</t>
  </si>
  <si>
    <t>Zmena1</t>
  </si>
  <si>
    <t>Zmena2</t>
  </si>
  <si>
    <t>Vypracovala: Mgr. A. Tkáčiková</t>
  </si>
  <si>
    <t>BT voľby do samosprávy obcí</t>
  </si>
  <si>
    <t>Voľby do samosprávy obcí</t>
  </si>
  <si>
    <t>BT skladník CO</t>
  </si>
  <si>
    <t>Výťažky z haz.hier, lotérií</t>
  </si>
  <si>
    <t>OÚ archívna skriňa</t>
  </si>
  <si>
    <t>Kolovrátok z dot. BBSK</t>
  </si>
  <si>
    <t>Kult. podujatie "Na skle..."</t>
  </si>
  <si>
    <t>Poistenie nákladných vozidiel</t>
  </si>
  <si>
    <t>MD z ubytovania</t>
  </si>
  <si>
    <t>Údržba športového areálu+ dot. z Nadácie</t>
  </si>
  <si>
    <t>Kolovrátok + BBSK</t>
  </si>
  <si>
    <t>Nájomné objektov Komprax + RTVS</t>
  </si>
  <si>
    <t>Vstupné HDST</t>
  </si>
  <si>
    <t>Úroky z vkladov</t>
  </si>
  <si>
    <t>Granty (nadácia + HDST)</t>
  </si>
  <si>
    <t>MATR archívna skriňa</t>
  </si>
  <si>
    <t>Grant Nadácia Pontis pre ŠK</t>
  </si>
  <si>
    <t xml:space="preserve">Grant na HDST </t>
  </si>
  <si>
    <t>Klub dôchodcov (RTVS)</t>
  </si>
  <si>
    <t>BT ZŠ odchodné</t>
  </si>
  <si>
    <t>Vyúčt. služieb štadión bar</t>
  </si>
  <si>
    <t>DFF Heľpančok z účinkovania</t>
  </si>
  <si>
    <t>MŠ - mzdy, odvody</t>
  </si>
  <si>
    <t xml:space="preserve">BT na PRMZ </t>
  </si>
  <si>
    <t>HDST prevod vstupného + z grantu</t>
  </si>
  <si>
    <t>Živ.prostredie- mzdy, odvody</t>
  </si>
  <si>
    <t>Aktivačné práce - nová dohoda</t>
  </si>
  <si>
    <t>Skutočnosť 6</t>
  </si>
  <si>
    <t>Upravený rozpočet obce Heľpa na rok 2014 schválilo OZ uz.č.327/2014 dňa 13.6.2014</t>
  </si>
  <si>
    <t>Kolovrátok obec</t>
  </si>
  <si>
    <t>8209</t>
  </si>
  <si>
    <t>HDST obec</t>
  </si>
  <si>
    <t>Nákup pozemkov</t>
  </si>
  <si>
    <t>MP kom.odpad</t>
  </si>
  <si>
    <t>projektová dokumentácia+ PPD kanalizácia</t>
  </si>
  <si>
    <t>Zberný dvor</t>
  </si>
  <si>
    <t>Zb.dvor exter.proj.manažment</t>
  </si>
  <si>
    <t>STV filmovanie</t>
  </si>
  <si>
    <t>PPD Zb.dvor + PPD kanalizácia</t>
  </si>
  <si>
    <t>327/2014</t>
  </si>
  <si>
    <t>Vypracovala: Mgr. Tkáčiková</t>
  </si>
  <si>
    <t>Naklad. s odpadmi PHM</t>
  </si>
  <si>
    <t xml:space="preserve">3. úprava rozpočtu </t>
  </si>
  <si>
    <t>BT matrika</t>
  </si>
  <si>
    <t>Matričný úrad</t>
  </si>
  <si>
    <t>Cintorín - plat</t>
  </si>
  <si>
    <t>Zmena3</t>
  </si>
  <si>
    <t>Požiarna ochrana</t>
  </si>
  <si>
    <t>Dotácia na osob.príjemcu prídavkov na deti</t>
  </si>
  <si>
    <t>BT osobitný príjemca</t>
  </si>
  <si>
    <t>10405</t>
  </si>
  <si>
    <t>Prídavky na deti</t>
  </si>
  <si>
    <t>Kultúrne podujatia, HDST</t>
  </si>
  <si>
    <t>BT - Základná škola + projekty</t>
  </si>
  <si>
    <t>VH - plat</t>
  </si>
  <si>
    <t>Aktivačná činnosť, PRMZ - plat</t>
  </si>
  <si>
    <t>KV - vrátenie za stav. pozemok</t>
  </si>
  <si>
    <t>3.</t>
  </si>
  <si>
    <t>5.9.2014</t>
  </si>
  <si>
    <t>§14 ods.2 písm.b), c)</t>
  </si>
  <si>
    <t>V Heľpe 5.9.2014</t>
  </si>
  <si>
    <t>MŠ údržba</t>
  </si>
  <si>
    <t>ZŠ rekonštrukcia el.inštalácie, PPD</t>
  </si>
  <si>
    <t>Rekonštrukcia strechy MŠ</t>
  </si>
  <si>
    <t>Rekonštrukcia el.inštalácie ZŠ</t>
  </si>
  <si>
    <t>Upravený rozpočet obce Heľpa na rok 2014 RO č.2  schválilo OZ uz.č.327/2014 dňa 13.6.2014</t>
  </si>
  <si>
    <t>Upravený rozpočet obce Heľpa na rok 2014 RO č1 schválilo OZ uz.č.319/2014 dňa 11.4.2014</t>
  </si>
  <si>
    <t>Príspevok na Dobrovoľný hasičský zbor -popl.</t>
  </si>
  <si>
    <t>Minigrant pre 3xP, SZZP, rezervu</t>
  </si>
  <si>
    <t>MŠ rekonštr. strechy</t>
  </si>
  <si>
    <t>Odvod vstupného "Na skle..."</t>
  </si>
  <si>
    <t>Prídavky na deti - osobitný príjemca</t>
  </si>
  <si>
    <t>Upravený rozpočet obce Heľpa na rok 2014 RO č.3 schválilo OZ uz.č.339/2014 dňa 5.9.2014</t>
  </si>
  <si>
    <t>339/2014</t>
  </si>
  <si>
    <t>MD za ubytovanie</t>
  </si>
  <si>
    <t>ČOV - prevádz.služby</t>
  </si>
  <si>
    <t>Komprax</t>
  </si>
  <si>
    <t>Skutočnosť 9</t>
  </si>
  <si>
    <t xml:space="preserve">4. úprava rozpočtu </t>
  </si>
  <si>
    <t>Nájom bytov</t>
  </si>
  <si>
    <t>Refundácia čerp.SF</t>
  </si>
  <si>
    <t>Zmena4</t>
  </si>
  <si>
    <t>Popl. za Dom smútku</t>
  </si>
  <si>
    <t>Výnos dane</t>
  </si>
  <si>
    <t>Popl. za MŠ</t>
  </si>
  <si>
    <t>Príspevok na deti - osobitný príjemca</t>
  </si>
  <si>
    <t>Transfer obcí na SpU STA</t>
  </si>
  <si>
    <t>Spu stavebný - služby</t>
  </si>
  <si>
    <t>VH výmena pece v nájomnom byte</t>
  </si>
  <si>
    <t>Transfer obcí na opatr.službu</t>
  </si>
  <si>
    <t>Prevádzka škol.jedálne</t>
  </si>
  <si>
    <t>Kanalizácia k stanici</t>
  </si>
  <si>
    <t>MŠ rekonštrukcia</t>
  </si>
  <si>
    <t>Zber.dvor vozidlo</t>
  </si>
  <si>
    <t>OU čerpanie SF</t>
  </si>
  <si>
    <t>VH- servis,údržba vozidiel</t>
  </si>
  <si>
    <t>4.</t>
  </si>
  <si>
    <t>12.12.2014</t>
  </si>
  <si>
    <t>Materská škola uč.pomôcky</t>
  </si>
  <si>
    <t>MŠ uč. pomôcky</t>
  </si>
  <si>
    <t>Skutočnosť 11</t>
  </si>
  <si>
    <t>OU reprezentačné</t>
  </si>
  <si>
    <t>Silvester na nám.</t>
  </si>
  <si>
    <t>Mikuláš na nám.</t>
  </si>
  <si>
    <t xml:space="preserve">OZ reprezentačné </t>
  </si>
  <si>
    <t>363/2014</t>
  </si>
  <si>
    <t>V Heľpe 12.12.2014</t>
  </si>
  <si>
    <t>Mikuláš, Silvester</t>
  </si>
  <si>
    <t>Upravený rozpočet obce Heľpa na rok 2014 RO č.4 schválilo OZ uz.č. 363/2014 dňa 12.12.2014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</si>
</sst>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b/>
      <sz val="16"/>
      <name val="Arial CE"/>
      <family val="2"/>
    </font>
    <font>
      <sz val="10"/>
      <name val="Arial CE"/>
      <family val="2"/>
    </font>
    <font>
      <b/>
      <sz val="14"/>
      <name val="Bookman Old Styl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color indexed="10"/>
      <name val="Bookman Old Style"/>
      <family val="1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color indexed="10"/>
      <name val="Arial"/>
      <family val="2"/>
    </font>
    <font>
      <b/>
      <sz val="12"/>
      <color indexed="10"/>
      <name val="Arial CE"/>
      <family val="2"/>
    </font>
    <font>
      <b/>
      <sz val="14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3" fontId="2" fillId="0" borderId="27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28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4" fillId="7" borderId="25" xfId="0" applyFont="1" applyFill="1" applyBorder="1" applyAlignment="1">
      <alignment/>
    </xf>
    <xf numFmtId="0" fontId="2" fillId="7" borderId="2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5" fillId="7" borderId="25" xfId="0" applyFont="1" applyFill="1" applyBorder="1" applyAlignment="1">
      <alignment/>
    </xf>
    <xf numFmtId="0" fontId="0" fillId="7" borderId="26" xfId="0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4" fillId="4" borderId="25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49" fontId="0" fillId="0" borderId="16" xfId="0" applyNumberFormat="1" applyBorder="1" applyAlignment="1">
      <alignment horizontal="right"/>
    </xf>
    <xf numFmtId="3" fontId="2" fillId="0" borderId="18" xfId="0" applyNumberFormat="1" applyFont="1" applyBorder="1" applyAlignment="1">
      <alignment/>
    </xf>
    <xf numFmtId="49" fontId="0" fillId="0" borderId="16" xfId="0" applyNumberFormat="1" applyFill="1" applyBorder="1" applyAlignment="1">
      <alignment horizontal="right"/>
    </xf>
    <xf numFmtId="49" fontId="0" fillId="0" borderId="32" xfId="0" applyNumberFormat="1" applyFill="1" applyBorder="1" applyAlignment="1">
      <alignment horizontal="right"/>
    </xf>
    <xf numFmtId="0" fontId="2" fillId="0" borderId="31" xfId="0" applyFont="1" applyFill="1" applyBorder="1" applyAlignment="1">
      <alignment/>
    </xf>
    <xf numFmtId="49" fontId="0" fillId="0" borderId="30" xfId="0" applyNumberFormat="1" applyFill="1" applyBorder="1" applyAlignment="1">
      <alignment horizontal="right"/>
    </xf>
    <xf numFmtId="49" fontId="2" fillId="0" borderId="3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right"/>
    </xf>
    <xf numFmtId="0" fontId="0" fillId="4" borderId="26" xfId="0" applyFill="1" applyBorder="1" applyAlignment="1">
      <alignment/>
    </xf>
    <xf numFmtId="49" fontId="2" fillId="0" borderId="13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49" fontId="0" fillId="0" borderId="33" xfId="0" applyNumberFormat="1" applyFill="1" applyBorder="1" applyAlignment="1">
      <alignment horizontal="right"/>
    </xf>
    <xf numFmtId="0" fontId="2" fillId="0" borderId="34" xfId="0" applyFont="1" applyBorder="1" applyAlignment="1">
      <alignment/>
    </xf>
    <xf numFmtId="49" fontId="0" fillId="0" borderId="22" xfId="0" applyNumberFormat="1" applyFill="1" applyBorder="1" applyAlignment="1">
      <alignment horizontal="right"/>
    </xf>
    <xf numFmtId="0" fontId="2" fillId="0" borderId="23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31" xfId="0" applyFont="1" applyBorder="1" applyAlignment="1">
      <alignment/>
    </xf>
    <xf numFmtId="49" fontId="0" fillId="0" borderId="19" xfId="0" applyNumberFormat="1" applyFill="1" applyBorder="1" applyAlignment="1">
      <alignment horizontal="right"/>
    </xf>
    <xf numFmtId="0" fontId="2" fillId="0" borderId="20" xfId="0" applyFont="1" applyBorder="1" applyAlignment="1">
      <alignment/>
    </xf>
    <xf numFmtId="49" fontId="2" fillId="0" borderId="33" xfId="0" applyNumberFormat="1" applyFont="1" applyFill="1" applyBorder="1" applyAlignment="1">
      <alignment horizontal="right"/>
    </xf>
    <xf numFmtId="49" fontId="4" fillId="4" borderId="25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35" xfId="0" applyFont="1" applyBorder="1" applyAlignment="1">
      <alignment/>
    </xf>
    <xf numFmtId="49" fontId="2" fillId="0" borderId="36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3" fontId="2" fillId="0" borderId="24" xfId="0" applyNumberFormat="1" applyFont="1" applyFill="1" applyBorder="1" applyAlignment="1">
      <alignment horizontal="right"/>
    </xf>
    <xf numFmtId="49" fontId="2" fillId="0" borderId="29" xfId="0" applyNumberFormat="1" applyFont="1" applyFill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0" fontId="5" fillId="4" borderId="38" xfId="0" applyFont="1" applyFill="1" applyBorder="1" applyAlignment="1">
      <alignment/>
    </xf>
    <xf numFmtId="0" fontId="0" fillId="4" borderId="39" xfId="0" applyFill="1" applyBorder="1" applyAlignment="1">
      <alignment/>
    </xf>
    <xf numFmtId="49" fontId="2" fillId="0" borderId="22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right"/>
    </xf>
    <xf numFmtId="0" fontId="5" fillId="4" borderId="25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49" fontId="0" fillId="0" borderId="29" xfId="0" applyNumberForma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2" fillId="0" borderId="28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right"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0" fillId="0" borderId="34" xfId="0" applyFill="1" applyBorder="1" applyAlignment="1">
      <alignment/>
    </xf>
    <xf numFmtId="0" fontId="2" fillId="0" borderId="36" xfId="0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6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11" fillId="24" borderId="27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49" fontId="4" fillId="4" borderId="26" xfId="0" applyNumberFormat="1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3" fontId="0" fillId="0" borderId="20" xfId="0" applyNumberForma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3" fontId="4" fillId="7" borderId="44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horizontal="right"/>
    </xf>
    <xf numFmtId="3" fontId="4" fillId="7" borderId="27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17" fillId="0" borderId="14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5" fillId="7" borderId="27" xfId="0" applyNumberFormat="1" applyFont="1" applyFill="1" applyBorder="1" applyAlignment="1">
      <alignment horizontal="right"/>
    </xf>
    <xf numFmtId="3" fontId="5" fillId="0" borderId="45" xfId="0" applyNumberFormat="1" applyFont="1" applyFill="1" applyBorder="1" applyAlignment="1">
      <alignment horizontal="right"/>
    </xf>
    <xf numFmtId="3" fontId="4" fillId="4" borderId="27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45" xfId="0" applyNumberFormat="1" applyFont="1" applyBorder="1" applyAlignment="1">
      <alignment horizontal="right"/>
    </xf>
    <xf numFmtId="3" fontId="2" fillId="0" borderId="46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5" fillId="4" borderId="46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17" borderId="45" xfId="0" applyNumberFormat="1" applyFont="1" applyFill="1" applyBorder="1" applyAlignment="1">
      <alignment horizontal="right"/>
    </xf>
    <xf numFmtId="3" fontId="5" fillId="4" borderId="27" xfId="0" applyNumberFormat="1" applyFont="1" applyFill="1" applyBorder="1" applyAlignment="1">
      <alignment horizontal="right"/>
    </xf>
    <xf numFmtId="3" fontId="5" fillId="8" borderId="47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5" fillId="17" borderId="27" xfId="0" applyNumberFormat="1" applyFon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37" xfId="0" applyNumberForma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3" fontId="18" fillId="0" borderId="18" xfId="0" applyNumberFormat="1" applyFont="1" applyBorder="1" applyAlignment="1">
      <alignment horizontal="right"/>
    </xf>
    <xf numFmtId="3" fontId="19" fillId="0" borderId="18" xfId="0" applyNumberFormat="1" applyFont="1" applyFill="1" applyBorder="1" applyAlignment="1">
      <alignment horizontal="right"/>
    </xf>
    <xf numFmtId="3" fontId="20" fillId="0" borderId="18" xfId="0" applyNumberFormat="1" applyFont="1" applyFill="1" applyBorder="1" applyAlignment="1">
      <alignment horizontal="right"/>
    </xf>
    <xf numFmtId="3" fontId="19" fillId="0" borderId="18" xfId="0" applyNumberFormat="1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7" xfId="0" applyFont="1" applyFill="1" applyBorder="1" applyAlignment="1">
      <alignment horizontal="left"/>
    </xf>
    <xf numFmtId="3" fontId="17" fillId="4" borderId="44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19" fillId="0" borderId="18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0" fontId="0" fillId="0" borderId="17" xfId="0" applyFont="1" applyFill="1" applyBorder="1" applyAlignment="1">
      <alignment/>
    </xf>
    <xf numFmtId="3" fontId="19" fillId="0" borderId="24" xfId="0" applyNumberFormat="1" applyFont="1" applyBorder="1" applyAlignment="1">
      <alignment horizontal="right"/>
    </xf>
    <xf numFmtId="3" fontId="19" fillId="0" borderId="37" xfId="0" applyNumberFormat="1" applyFont="1" applyFill="1" applyBorder="1" applyAlignment="1">
      <alignment horizontal="right"/>
    </xf>
    <xf numFmtId="3" fontId="19" fillId="0" borderId="37" xfId="0" applyNumberFormat="1" applyFont="1" applyBorder="1" applyAlignment="1">
      <alignment horizontal="right"/>
    </xf>
    <xf numFmtId="3" fontId="20" fillId="0" borderId="24" xfId="0" applyNumberFormat="1" applyFont="1" applyFill="1" applyBorder="1" applyAlignment="1">
      <alignment horizontal="right"/>
    </xf>
    <xf numFmtId="3" fontId="19" fillId="0" borderId="27" xfId="0" applyNumberFormat="1" applyFont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18" fillId="0" borderId="37" xfId="0" applyNumberFormat="1" applyFont="1" applyFill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19" fillId="0" borderId="18" xfId="0" applyNumberFormat="1" applyFont="1" applyBorder="1" applyAlignment="1">
      <alignment horizontal="right"/>
    </xf>
    <xf numFmtId="3" fontId="18" fillId="0" borderId="18" xfId="0" applyNumberFormat="1" applyFont="1" applyFill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0" fontId="0" fillId="17" borderId="36" xfId="0" applyFill="1" applyBorder="1" applyAlignment="1">
      <alignment horizontal="center"/>
    </xf>
    <xf numFmtId="0" fontId="0" fillId="17" borderId="23" xfId="0" applyFill="1" applyBorder="1" applyAlignment="1">
      <alignment/>
    </xf>
    <xf numFmtId="3" fontId="0" fillId="17" borderId="24" xfId="0" applyNumberFormat="1" applyFill="1" applyBorder="1" applyAlignment="1">
      <alignment/>
    </xf>
    <xf numFmtId="0" fontId="0" fillId="17" borderId="48" xfId="0" applyFill="1" applyBorder="1" applyAlignment="1">
      <alignment horizontal="center"/>
    </xf>
    <xf numFmtId="0" fontId="0" fillId="17" borderId="20" xfId="0" applyFill="1" applyBorder="1" applyAlignment="1">
      <alignment/>
    </xf>
    <xf numFmtId="3" fontId="0" fillId="17" borderId="21" xfId="0" applyNumberFormat="1" applyFill="1" applyBorder="1" applyAlignment="1">
      <alignment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0" xfId="0" applyFill="1" applyBorder="1" applyAlignment="1">
      <alignment horizontal="center"/>
    </xf>
    <xf numFmtId="3" fontId="0" fillId="0" borderId="37" xfId="0" applyNumberFormat="1" applyFill="1" applyBorder="1" applyAlignment="1">
      <alignment/>
    </xf>
    <xf numFmtId="3" fontId="2" fillId="4" borderId="15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7" xfId="0" applyNumberFormat="1" applyBorder="1" applyAlignment="1">
      <alignment/>
    </xf>
    <xf numFmtId="3" fontId="4" fillId="4" borderId="24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3" fontId="2" fillId="4" borderId="18" xfId="0" applyNumberFormat="1" applyFon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33" xfId="0" applyNumberFormat="1" applyFill="1" applyBorder="1" applyAlignment="1">
      <alignment/>
    </xf>
    <xf numFmtId="3" fontId="19" fillId="0" borderId="18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3" fontId="19" fillId="0" borderId="37" xfId="0" applyNumberFormat="1" applyFont="1" applyFill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37" xfId="0" applyNumberFormat="1" applyFont="1" applyBorder="1" applyAlignment="1">
      <alignment horizontal="right"/>
    </xf>
    <xf numFmtId="3" fontId="20" fillId="0" borderId="24" xfId="0" applyNumberFormat="1" applyFont="1" applyFill="1" applyBorder="1" applyAlignment="1">
      <alignment horizontal="right"/>
    </xf>
    <xf numFmtId="3" fontId="19" fillId="0" borderId="27" xfId="0" applyNumberFormat="1" applyFont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3" fontId="19" fillId="0" borderId="46" xfId="0" applyNumberFormat="1" applyFont="1" applyFill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24" borderId="29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left"/>
    </xf>
    <xf numFmtId="3" fontId="2" fillId="24" borderId="18" xfId="0" applyNumberFormat="1" applyFont="1" applyFill="1" applyBorder="1" applyAlignment="1">
      <alignment horizontal="right"/>
    </xf>
    <xf numFmtId="3" fontId="19" fillId="0" borderId="24" xfId="0" applyNumberFormat="1" applyFont="1" applyFill="1" applyBorder="1" applyAlignment="1">
      <alignment horizontal="right"/>
    </xf>
    <xf numFmtId="3" fontId="18" fillId="0" borderId="15" xfId="0" applyNumberFormat="1" applyFont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18" fillId="0" borderId="18" xfId="0" applyNumberFormat="1" applyFont="1" applyBorder="1" applyAlignment="1">
      <alignment/>
    </xf>
    <xf numFmtId="49" fontId="0" fillId="24" borderId="16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/>
    </xf>
    <xf numFmtId="3" fontId="0" fillId="24" borderId="18" xfId="0" applyNumberForma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45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49" fontId="2" fillId="24" borderId="16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/>
    </xf>
    <xf numFmtId="0" fontId="2" fillId="0" borderId="15" xfId="0" applyFont="1" applyFill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17" fillId="4" borderId="0" xfId="0" applyFont="1" applyFill="1" applyBorder="1" applyAlignment="1">
      <alignment horizontal="center"/>
    </xf>
    <xf numFmtId="3" fontId="17" fillId="4" borderId="0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 horizontal="right"/>
    </xf>
    <xf numFmtId="9" fontId="4" fillId="7" borderId="49" xfId="45" applyFont="1" applyFill="1" applyBorder="1" applyAlignment="1">
      <alignment horizontal="right"/>
    </xf>
    <xf numFmtId="9" fontId="4" fillId="4" borderId="45" xfId="45" applyFont="1" applyFill="1" applyBorder="1" applyAlignment="1">
      <alignment horizontal="right"/>
    </xf>
    <xf numFmtId="9" fontId="4" fillId="8" borderId="50" xfId="45" applyFont="1" applyFill="1" applyBorder="1" applyAlignment="1">
      <alignment/>
    </xf>
    <xf numFmtId="9" fontId="4" fillId="17" borderId="45" xfId="45" applyFont="1" applyFill="1" applyBorder="1" applyAlignment="1">
      <alignment horizontal="right"/>
    </xf>
    <xf numFmtId="0" fontId="15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51" xfId="0" applyFont="1" applyFill="1" applyBorder="1" applyAlignment="1">
      <alignment horizontal="center"/>
    </xf>
    <xf numFmtId="0" fontId="17" fillId="4" borderId="52" xfId="0" applyFont="1" applyFill="1" applyBorder="1" applyAlignment="1">
      <alignment horizontal="center"/>
    </xf>
    <xf numFmtId="0" fontId="17" fillId="4" borderId="4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5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7" borderId="52" xfId="0" applyFont="1" applyFill="1" applyBorder="1" applyAlignment="1">
      <alignment horizontal="center"/>
    </xf>
    <xf numFmtId="0" fontId="3" fillId="7" borderId="54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4" fillId="19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19" borderId="57" xfId="0" applyFont="1" applyFill="1" applyBorder="1" applyAlignment="1">
      <alignment horizontal="center" vertical="center"/>
    </xf>
    <xf numFmtId="0" fontId="4" fillId="19" borderId="58" xfId="0" applyFont="1" applyFill="1" applyBorder="1" applyAlignment="1">
      <alignment horizontal="center" vertical="center"/>
    </xf>
    <xf numFmtId="0" fontId="4" fillId="19" borderId="24" xfId="0" applyFont="1" applyFill="1" applyBorder="1" applyAlignment="1">
      <alignment horizontal="center" vertical="center" wrapText="1"/>
    </xf>
    <xf numFmtId="0" fontId="4" fillId="19" borderId="2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/>
    </xf>
    <xf numFmtId="0" fontId="3" fillId="4" borderId="54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4" fillId="7" borderId="52" xfId="0" applyFont="1" applyFill="1" applyBorder="1" applyAlignment="1">
      <alignment horizontal="left"/>
    </xf>
    <xf numFmtId="0" fontId="4" fillId="7" borderId="54" xfId="0" applyFont="1" applyFill="1" applyBorder="1" applyAlignment="1">
      <alignment horizontal="left"/>
    </xf>
    <xf numFmtId="0" fontId="4" fillId="4" borderId="52" xfId="0" applyFont="1" applyFill="1" applyBorder="1" applyAlignment="1">
      <alignment horizontal="left"/>
    </xf>
    <xf numFmtId="0" fontId="4" fillId="4" borderId="54" xfId="0" applyFont="1" applyFill="1" applyBorder="1" applyAlignment="1">
      <alignment horizontal="left"/>
    </xf>
    <xf numFmtId="49" fontId="4" fillId="17" borderId="57" xfId="0" applyNumberFormat="1" applyFont="1" applyFill="1" applyBorder="1" applyAlignment="1">
      <alignment horizontal="left"/>
    </xf>
    <xf numFmtId="49" fontId="4" fillId="17" borderId="59" xfId="0" applyNumberFormat="1" applyFont="1" applyFill="1" applyBorder="1" applyAlignment="1">
      <alignment horizontal="left"/>
    </xf>
    <xf numFmtId="0" fontId="6" fillId="8" borderId="52" xfId="0" applyFont="1" applyFill="1" applyBorder="1" applyAlignment="1">
      <alignment horizontal="left"/>
    </xf>
    <xf numFmtId="0" fontId="6" fillId="8" borderId="60" xfId="0" applyFont="1" applyFill="1" applyBorder="1" applyAlignment="1">
      <alignment horizontal="left"/>
    </xf>
    <xf numFmtId="0" fontId="3" fillId="17" borderId="52" xfId="0" applyFont="1" applyFill="1" applyBorder="1" applyAlignment="1">
      <alignment horizontal="center"/>
    </xf>
    <xf numFmtId="0" fontId="3" fillId="17" borderId="54" xfId="0" applyFont="1" applyFill="1" applyBorder="1" applyAlignment="1">
      <alignment horizontal="center"/>
    </xf>
    <xf numFmtId="0" fontId="3" fillId="17" borderId="47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17" borderId="52" xfId="0" applyFont="1" applyFill="1" applyBorder="1" applyAlignment="1">
      <alignment horizontal="left"/>
    </xf>
    <xf numFmtId="0" fontId="5" fillId="17" borderId="54" xfId="0" applyFont="1" applyFill="1" applyBorder="1" applyAlignment="1">
      <alignment horizontal="left"/>
    </xf>
    <xf numFmtId="0" fontId="7" fillId="24" borderId="52" xfId="0" applyFont="1" applyFill="1" applyBorder="1" applyAlignment="1">
      <alignment horizontal="center"/>
    </xf>
    <xf numFmtId="0" fontId="7" fillId="24" borderId="54" xfId="0" applyFont="1" applyFill="1" applyBorder="1" applyAlignment="1">
      <alignment horizontal="center"/>
    </xf>
    <xf numFmtId="0" fontId="7" fillId="24" borderId="47" xfId="0" applyFont="1" applyFill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10" fillId="24" borderId="52" xfId="0" applyFont="1" applyFill="1" applyBorder="1" applyAlignment="1">
      <alignment/>
    </xf>
    <xf numFmtId="0" fontId="0" fillId="0" borderId="54" xfId="0" applyFont="1" applyBorder="1" applyAlignment="1">
      <alignment/>
    </xf>
    <xf numFmtId="0" fontId="3" fillId="8" borderId="52" xfId="0" applyFont="1" applyFill="1" applyBorder="1" applyAlignment="1">
      <alignment horizontal="center"/>
    </xf>
    <xf numFmtId="0" fontId="3" fillId="8" borderId="54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6.57421875" style="0" customWidth="1"/>
    <col min="3" max="3" width="10.140625" style="0" customWidth="1"/>
    <col min="4" max="4" width="22.8515625" style="0" customWidth="1"/>
    <col min="5" max="5" width="11.28125" style="0" customWidth="1"/>
    <col min="6" max="6" width="11.7109375" style="0" customWidth="1"/>
  </cols>
  <sheetData>
    <row r="1" spans="1:6" ht="18">
      <c r="A1" s="287" t="s">
        <v>169</v>
      </c>
      <c r="B1" s="287"/>
      <c r="C1" s="287"/>
      <c r="D1" s="287"/>
      <c r="E1" s="287"/>
      <c r="F1" s="287"/>
    </row>
    <row r="4" spans="1:6" ht="15.75">
      <c r="A4" s="288" t="s">
        <v>170</v>
      </c>
      <c r="B4" s="288"/>
      <c r="C4" s="288"/>
      <c r="D4" s="288"/>
      <c r="E4" s="288"/>
      <c r="F4" s="288"/>
    </row>
    <row r="5" spans="1:6" ht="15.75">
      <c r="A5" s="288" t="s">
        <v>180</v>
      </c>
      <c r="B5" s="288"/>
      <c r="C5" s="288"/>
      <c r="D5" s="288"/>
      <c r="E5" s="288"/>
      <c r="F5" s="288"/>
    </row>
    <row r="6" ht="13.5" thickBot="1"/>
    <row r="7" spans="1:6" ht="39" thickBot="1">
      <c r="A7" s="115" t="s">
        <v>171</v>
      </c>
      <c r="B7" s="116" t="s">
        <v>172</v>
      </c>
      <c r="C7" s="116" t="s">
        <v>173</v>
      </c>
      <c r="D7" s="117" t="s">
        <v>259</v>
      </c>
      <c r="E7" s="118" t="s">
        <v>260</v>
      </c>
      <c r="F7" s="119" t="s">
        <v>174</v>
      </c>
    </row>
    <row r="8" spans="1:6" ht="12.75">
      <c r="A8" s="120" t="s">
        <v>175</v>
      </c>
      <c r="B8" s="121" t="s">
        <v>251</v>
      </c>
      <c r="C8" s="121" t="s">
        <v>252</v>
      </c>
      <c r="D8" s="122" t="s">
        <v>258</v>
      </c>
      <c r="E8" s="123">
        <v>24587</v>
      </c>
      <c r="F8" s="6">
        <v>24587</v>
      </c>
    </row>
    <row r="9" spans="1:6" ht="12.75">
      <c r="A9" s="124" t="s">
        <v>274</v>
      </c>
      <c r="B9" s="125" t="s">
        <v>318</v>
      </c>
      <c r="C9" s="125" t="s">
        <v>275</v>
      </c>
      <c r="D9" s="122" t="s">
        <v>258</v>
      </c>
      <c r="E9" s="126">
        <v>112081</v>
      </c>
      <c r="F9" s="9">
        <v>112081</v>
      </c>
    </row>
    <row r="10" spans="1:6" ht="12.75">
      <c r="A10" s="124" t="s">
        <v>336</v>
      </c>
      <c r="B10" s="125" t="s">
        <v>352</v>
      </c>
      <c r="C10" s="125" t="s">
        <v>337</v>
      </c>
      <c r="D10" s="122" t="s">
        <v>338</v>
      </c>
      <c r="E10" s="126">
        <v>11260</v>
      </c>
      <c r="F10" s="9">
        <v>11260</v>
      </c>
    </row>
    <row r="11" spans="1:6" ht="12.75">
      <c r="A11" s="124" t="s">
        <v>375</v>
      </c>
      <c r="B11" s="125" t="s">
        <v>384</v>
      </c>
      <c r="C11" s="125" t="s">
        <v>376</v>
      </c>
      <c r="D11" s="122" t="s">
        <v>338</v>
      </c>
      <c r="E11" s="126">
        <v>6390</v>
      </c>
      <c r="F11" s="9">
        <v>6390</v>
      </c>
    </row>
    <row r="12" spans="1:6" ht="12.75">
      <c r="A12" s="124"/>
      <c r="B12" s="125"/>
      <c r="C12" s="125"/>
      <c r="D12" s="127"/>
      <c r="E12" s="126"/>
      <c r="F12" s="9"/>
    </row>
    <row r="13" spans="1:6" ht="12.75">
      <c r="A13" s="124"/>
      <c r="B13" s="125"/>
      <c r="C13" s="125"/>
      <c r="D13" s="127"/>
      <c r="E13" s="126"/>
      <c r="F13" s="9"/>
    </row>
    <row r="14" spans="1:6" ht="12.75">
      <c r="A14" s="124"/>
      <c r="B14" s="125"/>
      <c r="C14" s="125"/>
      <c r="D14" s="127"/>
      <c r="E14" s="126"/>
      <c r="F14" s="9"/>
    </row>
    <row r="15" spans="1:6" ht="13.5" thickBot="1">
      <c r="A15" s="128"/>
      <c r="B15" s="129"/>
      <c r="C15" s="129"/>
      <c r="D15" s="130"/>
      <c r="E15" s="131"/>
      <c r="F15" s="12"/>
    </row>
    <row r="17" spans="1:3" ht="15.75">
      <c r="A17" s="132" t="s">
        <v>261</v>
      </c>
      <c r="C17" s="133" t="s">
        <v>253</v>
      </c>
    </row>
    <row r="18" spans="1:6" ht="27.75" customHeight="1">
      <c r="A18" s="286" t="s">
        <v>178</v>
      </c>
      <c r="B18" s="286"/>
      <c r="C18" s="286"/>
      <c r="D18" s="286"/>
      <c r="E18" s="286"/>
      <c r="F18" s="286"/>
    </row>
    <row r="19" spans="1:6" ht="15" customHeight="1">
      <c r="A19" s="286" t="s">
        <v>255</v>
      </c>
      <c r="B19" s="286"/>
      <c r="C19" s="286"/>
      <c r="D19" s="286"/>
      <c r="E19" s="286"/>
      <c r="F19" s="286"/>
    </row>
    <row r="20" spans="1:6" ht="12.75">
      <c r="A20" s="286" t="s">
        <v>256</v>
      </c>
      <c r="B20" s="286"/>
      <c r="C20" s="286"/>
      <c r="D20" s="286"/>
      <c r="E20" s="286"/>
      <c r="F20" s="286"/>
    </row>
    <row r="21" spans="1:6" ht="12.75">
      <c r="A21" s="286" t="s">
        <v>257</v>
      </c>
      <c r="B21" s="286"/>
      <c r="C21" s="286"/>
      <c r="D21" s="286"/>
      <c r="E21" s="286"/>
      <c r="F21" s="286"/>
    </row>
    <row r="24" spans="1:4" ht="12.75">
      <c r="A24" t="s">
        <v>319</v>
      </c>
      <c r="D24" t="s">
        <v>177</v>
      </c>
    </row>
    <row r="25" ht="12.75">
      <c r="A25" t="s">
        <v>385</v>
      </c>
    </row>
  </sheetData>
  <sheetProtection/>
  <mergeCells count="7">
    <mergeCell ref="A20:F20"/>
    <mergeCell ref="A19:F19"/>
    <mergeCell ref="A21:F21"/>
    <mergeCell ref="A1:F1"/>
    <mergeCell ref="A4:F4"/>
    <mergeCell ref="A5:F5"/>
    <mergeCell ref="A18:F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D1">
      <selection activeCell="V34" sqref="V34"/>
    </sheetView>
  </sheetViews>
  <sheetFormatPr defaultColWidth="9.140625" defaultRowHeight="12.75"/>
  <cols>
    <col min="2" max="2" width="42.57421875" style="0" customWidth="1"/>
    <col min="3" max="3" width="9.7109375" style="0" customWidth="1"/>
    <col min="8" max="8" width="34.8515625" style="0" customWidth="1"/>
    <col min="9" max="9" width="11.28125" style="0" customWidth="1"/>
    <col min="14" max="14" width="41.57421875" style="0" customWidth="1"/>
    <col min="21" max="21" width="37.140625" style="0" customWidth="1"/>
  </cols>
  <sheetData>
    <row r="1" spans="1:22" ht="18">
      <c r="A1" s="287" t="s">
        <v>223</v>
      </c>
      <c r="B1" s="287"/>
      <c r="C1" s="287"/>
      <c r="G1" s="287" t="s">
        <v>264</v>
      </c>
      <c r="H1" s="287"/>
      <c r="I1" s="287"/>
      <c r="M1" s="287" t="s">
        <v>321</v>
      </c>
      <c r="N1" s="287"/>
      <c r="O1" s="287"/>
      <c r="T1" s="287" t="s">
        <v>357</v>
      </c>
      <c r="U1" s="287"/>
      <c r="V1" s="287"/>
    </row>
    <row r="2" spans="1:22" ht="12.75">
      <c r="A2" s="187"/>
      <c r="B2" s="187"/>
      <c r="C2" s="187"/>
      <c r="G2" s="187"/>
      <c r="H2" s="187"/>
      <c r="I2" s="187"/>
      <c r="M2" s="187"/>
      <c r="N2" s="187"/>
      <c r="O2" s="187"/>
      <c r="T2" s="187"/>
      <c r="U2" s="187"/>
      <c r="V2" s="187"/>
    </row>
    <row r="3" spans="1:22" ht="12.75">
      <c r="A3" s="293" t="s">
        <v>211</v>
      </c>
      <c r="B3" s="293"/>
      <c r="C3" s="293"/>
      <c r="G3" s="293" t="s">
        <v>211</v>
      </c>
      <c r="H3" s="293"/>
      <c r="I3" s="293"/>
      <c r="M3" s="293" t="s">
        <v>211</v>
      </c>
      <c r="N3" s="293"/>
      <c r="O3" s="293"/>
      <c r="T3" s="293" t="s">
        <v>211</v>
      </c>
      <c r="U3" s="293"/>
      <c r="V3" s="293"/>
    </row>
    <row r="4" spans="1:20" ht="13.5" thickBot="1">
      <c r="A4" s="188" t="s">
        <v>212</v>
      </c>
      <c r="G4" s="188" t="s">
        <v>212</v>
      </c>
      <c r="M4" s="188" t="s">
        <v>212</v>
      </c>
      <c r="T4" s="188" t="s">
        <v>212</v>
      </c>
    </row>
    <row r="5" spans="1:22" ht="12.75">
      <c r="A5" s="214" t="s">
        <v>213</v>
      </c>
      <c r="B5" s="215" t="s">
        <v>214</v>
      </c>
      <c r="C5" s="216" t="s">
        <v>215</v>
      </c>
      <c r="G5" s="214" t="s">
        <v>213</v>
      </c>
      <c r="H5" s="215" t="s">
        <v>214</v>
      </c>
      <c r="I5" s="216" t="s">
        <v>215</v>
      </c>
      <c r="M5" s="214" t="s">
        <v>213</v>
      </c>
      <c r="N5" s="215" t="s">
        <v>214</v>
      </c>
      <c r="O5" s="216" t="s">
        <v>215</v>
      </c>
      <c r="T5" s="214" t="s">
        <v>213</v>
      </c>
      <c r="U5" s="215" t="s">
        <v>214</v>
      </c>
      <c r="V5" s="216" t="s">
        <v>215</v>
      </c>
    </row>
    <row r="6" spans="1:22" ht="12.75">
      <c r="A6" s="217">
        <v>133</v>
      </c>
      <c r="B6" s="189" t="s">
        <v>216</v>
      </c>
      <c r="C6" s="218">
        <v>1000</v>
      </c>
      <c r="G6" s="217">
        <v>133</v>
      </c>
      <c r="H6" s="189" t="s">
        <v>287</v>
      </c>
      <c r="I6" s="218">
        <v>300</v>
      </c>
      <c r="M6" s="254">
        <v>133</v>
      </c>
      <c r="N6" s="255" t="s">
        <v>353</v>
      </c>
      <c r="O6" s="276">
        <v>500</v>
      </c>
      <c r="T6" s="254">
        <v>111</v>
      </c>
      <c r="U6" s="255" t="s">
        <v>362</v>
      </c>
      <c r="V6" s="276">
        <v>5000</v>
      </c>
    </row>
    <row r="7" spans="1:22" ht="12.75">
      <c r="A7" s="217">
        <v>212</v>
      </c>
      <c r="B7" s="189" t="s">
        <v>245</v>
      </c>
      <c r="C7" s="218">
        <f>932+100+300</f>
        <v>1332</v>
      </c>
      <c r="D7">
        <f>100+300</f>
        <v>400</v>
      </c>
      <c r="G7" s="217">
        <v>133</v>
      </c>
      <c r="H7" s="189" t="s">
        <v>312</v>
      </c>
      <c r="I7" s="218">
        <v>1000</v>
      </c>
      <c r="M7" s="220">
        <v>223</v>
      </c>
      <c r="N7" s="189" t="s">
        <v>265</v>
      </c>
      <c r="O7" s="219">
        <v>6720</v>
      </c>
      <c r="T7" s="254">
        <v>212</v>
      </c>
      <c r="U7" s="255" t="s">
        <v>358</v>
      </c>
      <c r="V7" s="276">
        <v>48</v>
      </c>
    </row>
    <row r="8" spans="1:22" ht="12.75">
      <c r="A8" s="217">
        <v>223</v>
      </c>
      <c r="B8" s="189" t="s">
        <v>240</v>
      </c>
      <c r="C8" s="219">
        <v>100</v>
      </c>
      <c r="G8" s="217">
        <v>212</v>
      </c>
      <c r="H8" s="189" t="s">
        <v>290</v>
      </c>
      <c r="I8" s="218">
        <f>1700+500</f>
        <v>2200</v>
      </c>
      <c r="M8" s="220">
        <v>312</v>
      </c>
      <c r="N8" s="189" t="s">
        <v>322</v>
      </c>
      <c r="O8" s="219">
        <v>62</v>
      </c>
      <c r="T8" s="220">
        <v>223</v>
      </c>
      <c r="U8" s="189" t="s">
        <v>361</v>
      </c>
      <c r="V8" s="219">
        <v>50</v>
      </c>
    </row>
    <row r="9" spans="1:22" ht="12.75">
      <c r="A9" s="220">
        <v>223</v>
      </c>
      <c r="B9" s="189" t="s">
        <v>244</v>
      </c>
      <c r="C9" s="219">
        <v>2630</v>
      </c>
      <c r="D9">
        <v>2630</v>
      </c>
      <c r="G9" s="217">
        <v>223</v>
      </c>
      <c r="H9" s="189" t="s">
        <v>265</v>
      </c>
      <c r="I9" s="219">
        <v>6000</v>
      </c>
      <c r="M9" s="220">
        <v>312</v>
      </c>
      <c r="N9" s="189" t="s">
        <v>328</v>
      </c>
      <c r="O9" s="219">
        <v>72</v>
      </c>
      <c r="T9" s="220">
        <v>223</v>
      </c>
      <c r="U9" s="189" t="s">
        <v>363</v>
      </c>
      <c r="V9" s="219">
        <v>50</v>
      </c>
    </row>
    <row r="10" spans="1:22" ht="13.5" thickBot="1">
      <c r="A10" s="220">
        <v>233</v>
      </c>
      <c r="B10" s="189" t="s">
        <v>224</v>
      </c>
      <c r="C10" s="219">
        <v>1000</v>
      </c>
      <c r="G10" s="220">
        <v>223</v>
      </c>
      <c r="H10" s="189" t="s">
        <v>291</v>
      </c>
      <c r="I10" s="219">
        <v>3000</v>
      </c>
      <c r="M10" s="220">
        <v>312</v>
      </c>
      <c r="N10" s="189" t="s">
        <v>128</v>
      </c>
      <c r="O10" s="219">
        <v>3906</v>
      </c>
      <c r="T10" s="220">
        <v>292</v>
      </c>
      <c r="U10" s="189" t="s">
        <v>359</v>
      </c>
      <c r="V10" s="219">
        <v>1000</v>
      </c>
    </row>
    <row r="11" spans="1:22" ht="12.75">
      <c r="A11" s="220">
        <v>292</v>
      </c>
      <c r="B11" s="189" t="s">
        <v>225</v>
      </c>
      <c r="C11" s="219">
        <v>25</v>
      </c>
      <c r="G11" s="256">
        <v>233</v>
      </c>
      <c r="H11" s="257" t="s">
        <v>224</v>
      </c>
      <c r="I11" s="258">
        <v>2000</v>
      </c>
      <c r="M11" s="208">
        <v>454</v>
      </c>
      <c r="N11" s="209" t="s">
        <v>243</v>
      </c>
      <c r="O11" s="210">
        <v>0</v>
      </c>
      <c r="T11" s="220">
        <v>312</v>
      </c>
      <c r="U11" s="189" t="s">
        <v>368</v>
      </c>
      <c r="V11" s="219">
        <v>50</v>
      </c>
    </row>
    <row r="12" spans="1:22" ht="13.5" thickBot="1">
      <c r="A12" s="220">
        <v>292</v>
      </c>
      <c r="B12" s="189" t="s">
        <v>226</v>
      </c>
      <c r="C12" s="219">
        <f>-120+1587+1527-1509+1400-794</f>
        <v>2091</v>
      </c>
      <c r="D12">
        <v>-794</v>
      </c>
      <c r="G12" s="220">
        <v>240</v>
      </c>
      <c r="H12" s="189" t="s">
        <v>292</v>
      </c>
      <c r="I12" s="219">
        <v>210</v>
      </c>
      <c r="M12" s="211">
        <v>513</v>
      </c>
      <c r="N12" s="212" t="s">
        <v>238</v>
      </c>
      <c r="O12" s="213">
        <v>0</v>
      </c>
      <c r="T12" s="220">
        <v>312</v>
      </c>
      <c r="U12" s="189" t="s">
        <v>365</v>
      </c>
      <c r="V12" s="219">
        <v>1000</v>
      </c>
    </row>
    <row r="13" spans="1:22" ht="12.75">
      <c r="A13" s="221">
        <v>312</v>
      </c>
      <c r="B13" s="38" t="s">
        <v>227</v>
      </c>
      <c r="C13" s="39">
        <v>-2000</v>
      </c>
      <c r="G13" s="220">
        <v>292</v>
      </c>
      <c r="H13" s="189" t="s">
        <v>282</v>
      </c>
      <c r="I13" s="219">
        <v>100</v>
      </c>
      <c r="M13" s="294" t="s">
        <v>217</v>
      </c>
      <c r="N13" s="295"/>
      <c r="O13" s="225">
        <f>SUM(O6:O12)</f>
        <v>11260</v>
      </c>
      <c r="T13" s="220">
        <v>312</v>
      </c>
      <c r="U13" s="189" t="s">
        <v>364</v>
      </c>
      <c r="V13" s="219">
        <v>69</v>
      </c>
    </row>
    <row r="14" spans="1:22" ht="13.5" thickBot="1">
      <c r="A14" s="220">
        <v>312</v>
      </c>
      <c r="B14" s="189" t="s">
        <v>236</v>
      </c>
      <c r="C14" s="219">
        <v>794</v>
      </c>
      <c r="D14">
        <v>794</v>
      </c>
      <c r="G14" s="220">
        <v>292</v>
      </c>
      <c r="H14" s="189" t="s">
        <v>281</v>
      </c>
      <c r="I14" s="219">
        <v>12</v>
      </c>
      <c r="M14" s="226" t="s">
        <v>218</v>
      </c>
      <c r="N14" s="104" t="s">
        <v>45</v>
      </c>
      <c r="O14" s="227">
        <v>0</v>
      </c>
      <c r="T14" s="220">
        <v>312</v>
      </c>
      <c r="U14" s="189" t="s">
        <v>377</v>
      </c>
      <c r="V14" s="219">
        <v>325</v>
      </c>
    </row>
    <row r="15" spans="1:22" ht="13.5" thickBot="1">
      <c r="A15" s="220">
        <v>312</v>
      </c>
      <c r="B15" s="189" t="s">
        <v>228</v>
      </c>
      <c r="C15" s="219">
        <v>20</v>
      </c>
      <c r="G15" s="220">
        <v>292</v>
      </c>
      <c r="H15" s="189" t="s">
        <v>299</v>
      </c>
      <c r="I15" s="219">
        <v>2000</v>
      </c>
      <c r="M15" s="291" t="s">
        <v>219</v>
      </c>
      <c r="N15" s="292"/>
      <c r="O15" s="190">
        <f>SUM(O13:O14)</f>
        <v>11260</v>
      </c>
      <c r="T15" s="220">
        <v>312</v>
      </c>
      <c r="U15" s="189" t="s">
        <v>128</v>
      </c>
      <c r="V15" s="219">
        <v>-1334</v>
      </c>
    </row>
    <row r="16" spans="1:22" ht="12.75">
      <c r="A16" s="222">
        <v>312</v>
      </c>
      <c r="B16" s="8" t="s">
        <v>229</v>
      </c>
      <c r="C16" s="9">
        <v>116</v>
      </c>
      <c r="G16" s="220">
        <v>311</v>
      </c>
      <c r="H16" s="189" t="s">
        <v>295</v>
      </c>
      <c r="I16" s="219">
        <v>2000</v>
      </c>
      <c r="N16" s="90"/>
      <c r="O16" s="114"/>
      <c r="T16" s="208">
        <v>454</v>
      </c>
      <c r="U16" s="209" t="s">
        <v>243</v>
      </c>
      <c r="V16" s="210">
        <v>0</v>
      </c>
    </row>
    <row r="17" spans="1:22" ht="13.5" thickBot="1">
      <c r="A17" s="223">
        <v>312</v>
      </c>
      <c r="B17" s="104" t="s">
        <v>230</v>
      </c>
      <c r="C17" s="224">
        <v>24479</v>
      </c>
      <c r="G17" s="220">
        <v>311</v>
      </c>
      <c r="H17" s="189" t="s">
        <v>296</v>
      </c>
      <c r="I17" s="219">
        <v>200</v>
      </c>
      <c r="O17" s="114"/>
      <c r="T17" s="211">
        <v>513</v>
      </c>
      <c r="U17" s="212" t="s">
        <v>238</v>
      </c>
      <c r="V17" s="213">
        <v>0</v>
      </c>
    </row>
    <row r="18" spans="1:22" ht="13.5" thickBot="1">
      <c r="A18" s="208">
        <v>454</v>
      </c>
      <c r="B18" s="209" t="s">
        <v>243</v>
      </c>
      <c r="C18" s="210">
        <f>2100+900</f>
        <v>3000</v>
      </c>
      <c r="D18">
        <f>2100+900</f>
        <v>3000</v>
      </c>
      <c r="G18" s="220">
        <v>312</v>
      </c>
      <c r="H18" s="189" t="s">
        <v>266</v>
      </c>
      <c r="I18" s="219">
        <v>500</v>
      </c>
      <c r="M18" s="188" t="s">
        <v>220</v>
      </c>
      <c r="N18" s="188"/>
      <c r="O18" s="191"/>
      <c r="T18" s="294" t="s">
        <v>217</v>
      </c>
      <c r="U18" s="295"/>
      <c r="V18" s="225">
        <f>SUM(V6:V17)</f>
        <v>6258</v>
      </c>
    </row>
    <row r="19" spans="1:22" ht="13.5" thickBot="1">
      <c r="A19" s="211">
        <v>513</v>
      </c>
      <c r="B19" s="212" t="s">
        <v>238</v>
      </c>
      <c r="C19" s="213">
        <f>-10000</f>
        <v>-10000</v>
      </c>
      <c r="G19" s="220">
        <v>312</v>
      </c>
      <c r="H19" s="189" t="s">
        <v>267</v>
      </c>
      <c r="I19" s="219">
        <v>400</v>
      </c>
      <c r="M19" s="214" t="s">
        <v>221</v>
      </c>
      <c r="N19" s="215" t="s">
        <v>214</v>
      </c>
      <c r="O19" s="228" t="s">
        <v>215</v>
      </c>
      <c r="T19" s="226" t="s">
        <v>218</v>
      </c>
      <c r="U19" s="104" t="s">
        <v>45</v>
      </c>
      <c r="V19" s="227">
        <v>132</v>
      </c>
    </row>
    <row r="20" spans="1:22" ht="13.5" thickBot="1">
      <c r="A20" s="294" t="s">
        <v>217</v>
      </c>
      <c r="B20" s="295"/>
      <c r="C20" s="225">
        <f>SUM(C6:C19)</f>
        <v>24587</v>
      </c>
      <c r="D20">
        <f>SUM(D7:D19)</f>
        <v>6030</v>
      </c>
      <c r="G20" s="220">
        <v>312</v>
      </c>
      <c r="H20" s="189" t="s">
        <v>279</v>
      </c>
      <c r="I20" s="219">
        <v>500</v>
      </c>
      <c r="M20" s="241" t="s">
        <v>53</v>
      </c>
      <c r="N20" s="189" t="s">
        <v>323</v>
      </c>
      <c r="O20" s="219">
        <v>62</v>
      </c>
      <c r="T20" s="291" t="s">
        <v>219</v>
      </c>
      <c r="U20" s="292"/>
      <c r="V20" s="190">
        <f>SUM(V18:V19)</f>
        <v>6390</v>
      </c>
    </row>
    <row r="21" spans="1:22" ht="13.5" thickBot="1">
      <c r="A21" s="226" t="s">
        <v>218</v>
      </c>
      <c r="B21" s="104" t="s">
        <v>45</v>
      </c>
      <c r="C21" s="227">
        <v>0</v>
      </c>
      <c r="G21" s="220">
        <v>312</v>
      </c>
      <c r="H21" s="189" t="s">
        <v>302</v>
      </c>
      <c r="I21" s="219">
        <v>12000</v>
      </c>
      <c r="M21" s="241" t="s">
        <v>61</v>
      </c>
      <c r="N21" s="189" t="s">
        <v>326</v>
      </c>
      <c r="O21" s="219">
        <v>-130</v>
      </c>
      <c r="U21" s="90"/>
      <c r="V21" s="114"/>
    </row>
    <row r="22" spans="1:22" ht="13.5" thickBot="1">
      <c r="A22" s="291" t="s">
        <v>219</v>
      </c>
      <c r="B22" s="292"/>
      <c r="C22" s="190">
        <f>SUM(C20:C21)</f>
        <v>24587</v>
      </c>
      <c r="G22" s="220">
        <v>312</v>
      </c>
      <c r="H22" s="189" t="s">
        <v>268</v>
      </c>
      <c r="I22" s="219">
        <v>600</v>
      </c>
      <c r="M22" s="241" t="s">
        <v>61</v>
      </c>
      <c r="N22" s="189" t="s">
        <v>346</v>
      </c>
      <c r="O22" s="219">
        <v>130</v>
      </c>
      <c r="V22" s="114"/>
    </row>
    <row r="23" spans="2:22" ht="13.5" thickBot="1">
      <c r="B23" s="90"/>
      <c r="C23" s="114"/>
      <c r="G23" s="254">
        <v>312</v>
      </c>
      <c r="H23" s="255" t="s">
        <v>298</v>
      </c>
      <c r="I23" s="244">
        <v>59</v>
      </c>
      <c r="M23" s="274" t="s">
        <v>66</v>
      </c>
      <c r="N23" s="257" t="s">
        <v>335</v>
      </c>
      <c r="O23" s="258">
        <v>2600</v>
      </c>
      <c r="T23" s="188" t="s">
        <v>220</v>
      </c>
      <c r="U23" s="188"/>
      <c r="V23" s="191"/>
    </row>
    <row r="24" spans="3:22" ht="12.75">
      <c r="C24" s="114"/>
      <c r="G24" s="208">
        <v>454</v>
      </c>
      <c r="H24" s="209" t="s">
        <v>243</v>
      </c>
      <c r="I24" s="210">
        <v>79000</v>
      </c>
      <c r="M24" s="241" t="s">
        <v>70</v>
      </c>
      <c r="N24" s="189" t="s">
        <v>333</v>
      </c>
      <c r="O24" s="219">
        <v>-4000</v>
      </c>
      <c r="T24" s="214" t="s">
        <v>221</v>
      </c>
      <c r="U24" s="215" t="s">
        <v>214</v>
      </c>
      <c r="V24" s="228" t="s">
        <v>215</v>
      </c>
    </row>
    <row r="25" spans="1:22" ht="13.5" thickBot="1">
      <c r="A25" s="188" t="s">
        <v>220</v>
      </c>
      <c r="B25" s="188"/>
      <c r="C25" s="191"/>
      <c r="G25" s="211">
        <v>513</v>
      </c>
      <c r="H25" s="212" t="s">
        <v>238</v>
      </c>
      <c r="I25" s="213">
        <v>0</v>
      </c>
      <c r="M25" s="241" t="s">
        <v>72</v>
      </c>
      <c r="N25" s="189" t="s">
        <v>354</v>
      </c>
      <c r="O25" s="219">
        <v>500</v>
      </c>
      <c r="T25" s="241" t="s">
        <v>49</v>
      </c>
      <c r="U25" s="189" t="s">
        <v>373</v>
      </c>
      <c r="V25" s="219">
        <v>1000</v>
      </c>
    </row>
    <row r="26" spans="1:22" ht="12.75">
      <c r="A26" s="214" t="s">
        <v>221</v>
      </c>
      <c r="B26" s="215" t="s">
        <v>214</v>
      </c>
      <c r="C26" s="228" t="s">
        <v>215</v>
      </c>
      <c r="G26" s="294" t="s">
        <v>217</v>
      </c>
      <c r="H26" s="295"/>
      <c r="I26" s="225">
        <f>SUM(I6:I25)</f>
        <v>112081</v>
      </c>
      <c r="M26" s="274" t="s">
        <v>72</v>
      </c>
      <c r="N26" s="257" t="s">
        <v>314</v>
      </c>
      <c r="O26" s="258">
        <v>-2600</v>
      </c>
      <c r="T26" s="241" t="s">
        <v>49</v>
      </c>
      <c r="U26" s="189" t="s">
        <v>380</v>
      </c>
      <c r="V26" s="219">
        <v>-100</v>
      </c>
    </row>
    <row r="27" spans="1:22" ht="13.5" thickBot="1">
      <c r="A27" s="217">
        <v>112</v>
      </c>
      <c r="B27" s="189" t="s">
        <v>241</v>
      </c>
      <c r="C27" s="219">
        <v>1000</v>
      </c>
      <c r="D27">
        <v>1000</v>
      </c>
      <c r="G27" s="226" t="s">
        <v>218</v>
      </c>
      <c r="H27" s="104" t="s">
        <v>45</v>
      </c>
      <c r="I27" s="227">
        <v>0</v>
      </c>
      <c r="M27" s="229" t="s">
        <v>90</v>
      </c>
      <c r="N27" s="194" t="s">
        <v>331</v>
      </c>
      <c r="O27" s="39">
        <v>-500</v>
      </c>
      <c r="T27" s="241" t="s">
        <v>51</v>
      </c>
      <c r="U27" s="189" t="s">
        <v>383</v>
      </c>
      <c r="V27" s="219">
        <v>-300</v>
      </c>
    </row>
    <row r="28" spans="1:22" ht="13.5" thickBot="1">
      <c r="A28" s="229" t="s">
        <v>53</v>
      </c>
      <c r="B28" s="194" t="s">
        <v>231</v>
      </c>
      <c r="C28" s="39">
        <f>20+930</f>
        <v>950</v>
      </c>
      <c r="D28">
        <v>930</v>
      </c>
      <c r="G28" s="291" t="s">
        <v>219</v>
      </c>
      <c r="H28" s="292"/>
      <c r="I28" s="190">
        <f>SUM(I26:I27)</f>
        <v>112081</v>
      </c>
      <c r="M28" s="229" t="s">
        <v>90</v>
      </c>
      <c r="N28" s="194" t="s">
        <v>349</v>
      </c>
      <c r="O28" s="39">
        <v>6720</v>
      </c>
      <c r="T28" s="241" t="s">
        <v>66</v>
      </c>
      <c r="U28" s="189" t="s">
        <v>366</v>
      </c>
      <c r="V28" s="219">
        <v>2400</v>
      </c>
    </row>
    <row r="29" spans="1:22" ht="12.75">
      <c r="A29" s="229"/>
      <c r="B29" s="194"/>
      <c r="C29" s="39"/>
      <c r="G29" s="278"/>
      <c r="H29" s="278"/>
      <c r="I29" s="279"/>
      <c r="M29" s="229"/>
      <c r="N29" s="194"/>
      <c r="O29" s="39"/>
      <c r="T29" s="241" t="s">
        <v>70</v>
      </c>
      <c r="U29" s="189" t="s">
        <v>374</v>
      </c>
      <c r="V29" s="219">
        <v>1298</v>
      </c>
    </row>
    <row r="30" spans="1:22" ht="12.75">
      <c r="A30" s="229" t="s">
        <v>55</v>
      </c>
      <c r="B30" s="194" t="s">
        <v>232</v>
      </c>
      <c r="C30" s="39">
        <v>-2000</v>
      </c>
      <c r="I30" s="114"/>
      <c r="M30" s="229" t="s">
        <v>99</v>
      </c>
      <c r="N30" s="194" t="s">
        <v>324</v>
      </c>
      <c r="O30" s="39">
        <v>-1000</v>
      </c>
      <c r="T30" s="241" t="s">
        <v>70</v>
      </c>
      <c r="U30" s="189" t="s">
        <v>367</v>
      </c>
      <c r="V30" s="219">
        <v>1500</v>
      </c>
    </row>
    <row r="31" spans="1:22" ht="13.5" thickBot="1">
      <c r="A31" s="229" t="s">
        <v>70</v>
      </c>
      <c r="B31" s="194" t="s">
        <v>248</v>
      </c>
      <c r="C31" s="39">
        <f>3000+2000</f>
        <v>5000</v>
      </c>
      <c r="D31">
        <v>2000</v>
      </c>
      <c r="G31" s="188" t="s">
        <v>220</v>
      </c>
      <c r="H31" s="188"/>
      <c r="I31" s="191"/>
      <c r="M31" s="229" t="s">
        <v>101</v>
      </c>
      <c r="N31" s="194" t="s">
        <v>355</v>
      </c>
      <c r="O31" s="39">
        <v>-100</v>
      </c>
      <c r="T31" s="274" t="s">
        <v>72</v>
      </c>
      <c r="U31" s="257" t="s">
        <v>372</v>
      </c>
      <c r="V31" s="258">
        <v>-14000</v>
      </c>
    </row>
    <row r="32" spans="1:22" ht="12.75">
      <c r="A32" s="229" t="s">
        <v>72</v>
      </c>
      <c r="B32" s="194" t="s">
        <v>247</v>
      </c>
      <c r="C32" s="39">
        <f>1000+740+400+200+800+100</f>
        <v>3240</v>
      </c>
      <c r="D32">
        <f>600+800+100</f>
        <v>1500</v>
      </c>
      <c r="G32" s="214" t="s">
        <v>221</v>
      </c>
      <c r="H32" s="215" t="s">
        <v>214</v>
      </c>
      <c r="I32" s="228" t="s">
        <v>215</v>
      </c>
      <c r="M32" s="229" t="s">
        <v>101</v>
      </c>
      <c r="N32" s="194" t="s">
        <v>347</v>
      </c>
      <c r="O32" s="39">
        <v>600</v>
      </c>
      <c r="T32" s="274" t="s">
        <v>73</v>
      </c>
      <c r="U32" s="257" t="s">
        <v>370</v>
      </c>
      <c r="V32" s="258">
        <v>-57000</v>
      </c>
    </row>
    <row r="33" spans="1:22" ht="12.75">
      <c r="A33" s="229" t="s">
        <v>73</v>
      </c>
      <c r="B33" s="194" t="s">
        <v>239</v>
      </c>
      <c r="C33" s="39">
        <f>-10000</f>
        <v>-10000</v>
      </c>
      <c r="G33" s="242" t="s">
        <v>49</v>
      </c>
      <c r="H33" s="243" t="s">
        <v>283</v>
      </c>
      <c r="I33" s="244">
        <v>500</v>
      </c>
      <c r="M33" s="229" t="s">
        <v>103</v>
      </c>
      <c r="N33" s="194" t="s">
        <v>340</v>
      </c>
      <c r="O33" s="39">
        <v>-820</v>
      </c>
      <c r="T33" s="274" t="s">
        <v>78</v>
      </c>
      <c r="U33" s="257" t="s">
        <v>144</v>
      </c>
      <c r="V33" s="258">
        <v>80000</v>
      </c>
    </row>
    <row r="34" spans="1:22" ht="12.75">
      <c r="A34" s="229" t="s">
        <v>78</v>
      </c>
      <c r="B34" s="194" t="s">
        <v>233</v>
      </c>
      <c r="C34" s="39">
        <v>1300</v>
      </c>
      <c r="G34" s="242" t="s">
        <v>53</v>
      </c>
      <c r="H34" s="243" t="s">
        <v>294</v>
      </c>
      <c r="I34" s="244">
        <v>50</v>
      </c>
      <c r="M34" s="263" t="s">
        <v>103</v>
      </c>
      <c r="N34" s="264" t="s">
        <v>348</v>
      </c>
      <c r="O34" s="265">
        <f>-5000+320</f>
        <v>-4680</v>
      </c>
      <c r="T34" s="274" t="s">
        <v>103</v>
      </c>
      <c r="U34" s="257" t="s">
        <v>371</v>
      </c>
      <c r="V34" s="258">
        <v>-9000</v>
      </c>
    </row>
    <row r="35" spans="1:22" ht="12.75">
      <c r="A35" s="230" t="s">
        <v>90</v>
      </c>
      <c r="B35" s="194" t="s">
        <v>242</v>
      </c>
      <c r="C35" s="39">
        <v>300</v>
      </c>
      <c r="D35">
        <v>300</v>
      </c>
      <c r="G35" s="241" t="s">
        <v>55</v>
      </c>
      <c r="H35" s="189" t="s">
        <v>269</v>
      </c>
      <c r="I35" s="219">
        <v>500</v>
      </c>
      <c r="M35" s="263" t="s">
        <v>105</v>
      </c>
      <c r="N35" s="264" t="s">
        <v>341</v>
      </c>
      <c r="O35" s="265">
        <v>5500</v>
      </c>
      <c r="T35" s="241" t="s">
        <v>90</v>
      </c>
      <c r="U35" s="189" t="s">
        <v>382</v>
      </c>
      <c r="V35" s="219">
        <v>100</v>
      </c>
    </row>
    <row r="36" spans="1:22" ht="12.75">
      <c r="A36" s="230" t="s">
        <v>101</v>
      </c>
      <c r="B36" s="194" t="s">
        <v>246</v>
      </c>
      <c r="C36" s="39">
        <v>300</v>
      </c>
      <c r="D36">
        <v>300</v>
      </c>
      <c r="G36" s="229" t="s">
        <v>55</v>
      </c>
      <c r="H36" s="194" t="s">
        <v>270</v>
      </c>
      <c r="I36" s="39">
        <v>400</v>
      </c>
      <c r="M36" s="229" t="s">
        <v>329</v>
      </c>
      <c r="N36" s="194" t="s">
        <v>350</v>
      </c>
      <c r="O36" s="39">
        <v>72</v>
      </c>
      <c r="T36" s="241" t="s">
        <v>90</v>
      </c>
      <c r="U36" s="189" t="s">
        <v>381</v>
      </c>
      <c r="V36" s="219">
        <v>300</v>
      </c>
    </row>
    <row r="37" spans="1:22" ht="12.75">
      <c r="A37" s="289" t="s">
        <v>217</v>
      </c>
      <c r="B37" s="290"/>
      <c r="C37" s="231">
        <f>SUM(C27:C36)</f>
        <v>90</v>
      </c>
      <c r="D37">
        <f>SUM(D27:D36)</f>
        <v>6030</v>
      </c>
      <c r="G37" s="229" t="s">
        <v>55</v>
      </c>
      <c r="H37" s="194" t="s">
        <v>280</v>
      </c>
      <c r="I37" s="39">
        <v>500</v>
      </c>
      <c r="M37" s="229" t="s">
        <v>119</v>
      </c>
      <c r="N37" s="194" t="s">
        <v>334</v>
      </c>
      <c r="O37" s="39">
        <f>1000+4000</f>
        <v>5000</v>
      </c>
      <c r="T37" s="241" t="s">
        <v>103</v>
      </c>
      <c r="U37" s="189" t="s">
        <v>378</v>
      </c>
      <c r="V37" s="219">
        <v>325</v>
      </c>
    </row>
    <row r="38" spans="1:22" ht="12.75">
      <c r="A38" s="232" t="s">
        <v>218</v>
      </c>
      <c r="B38" s="194" t="s">
        <v>262</v>
      </c>
      <c r="C38" s="39">
        <f>24479+18</f>
        <v>24497</v>
      </c>
      <c r="G38" s="229" t="s">
        <v>58</v>
      </c>
      <c r="H38" s="194" t="s">
        <v>59</v>
      </c>
      <c r="I38" s="39">
        <v>12</v>
      </c>
      <c r="M38" s="289" t="s">
        <v>217</v>
      </c>
      <c r="N38" s="290"/>
      <c r="O38" s="231">
        <f>SUM(O20:O37)</f>
        <v>7354</v>
      </c>
      <c r="T38" s="241" t="s">
        <v>108</v>
      </c>
      <c r="U38" s="189" t="s">
        <v>369</v>
      </c>
      <c r="V38" s="219">
        <v>1000</v>
      </c>
    </row>
    <row r="39" spans="1:22" ht="13.5" thickBot="1">
      <c r="A39" s="233" t="s">
        <v>218</v>
      </c>
      <c r="B39" s="104" t="s">
        <v>222</v>
      </c>
      <c r="C39" s="224">
        <v>0</v>
      </c>
      <c r="G39" s="263" t="s">
        <v>66</v>
      </c>
      <c r="H39" s="264" t="s">
        <v>311</v>
      </c>
      <c r="I39" s="265">
        <v>1100</v>
      </c>
      <c r="M39" s="232" t="s">
        <v>218</v>
      </c>
      <c r="N39" s="194" t="s">
        <v>332</v>
      </c>
      <c r="O39" s="39">
        <v>3906</v>
      </c>
      <c r="T39" s="229" t="s">
        <v>329</v>
      </c>
      <c r="U39" s="189" t="s">
        <v>364</v>
      </c>
      <c r="V39" s="39">
        <v>69</v>
      </c>
    </row>
    <row r="40" spans="1:22" ht="13.5" thickBot="1">
      <c r="A40" s="291" t="s">
        <v>219</v>
      </c>
      <c r="B40" s="292"/>
      <c r="C40" s="190">
        <f>SUM(C37:C39)</f>
        <v>24587</v>
      </c>
      <c r="G40" s="229" t="s">
        <v>66</v>
      </c>
      <c r="H40" s="194" t="s">
        <v>315</v>
      </c>
      <c r="I40" s="39">
        <v>100</v>
      </c>
      <c r="M40" s="233" t="s">
        <v>218</v>
      </c>
      <c r="N40" s="104" t="s">
        <v>222</v>
      </c>
      <c r="O40" s="224">
        <v>0</v>
      </c>
      <c r="T40" s="289" t="s">
        <v>217</v>
      </c>
      <c r="U40" s="290"/>
      <c r="V40" s="231">
        <f>SUM(V25:V39)</f>
        <v>7592</v>
      </c>
    </row>
    <row r="41" spans="3:22" ht="13.5" thickBot="1">
      <c r="C41" s="114">
        <f>C40-C22</f>
        <v>0</v>
      </c>
      <c r="G41" s="263" t="s">
        <v>66</v>
      </c>
      <c r="H41" s="264" t="s">
        <v>317</v>
      </c>
      <c r="I41" s="265">
        <v>11500</v>
      </c>
      <c r="M41" s="291" t="s">
        <v>219</v>
      </c>
      <c r="N41" s="292"/>
      <c r="O41" s="190">
        <f>SUM(O38:O40)</f>
        <v>11260</v>
      </c>
      <c r="T41" s="232" t="s">
        <v>218</v>
      </c>
      <c r="U41" s="194" t="s">
        <v>332</v>
      </c>
      <c r="V41" s="39">
        <f>-1334+132</f>
        <v>-1202</v>
      </c>
    </row>
    <row r="42" spans="7:22" ht="13.5" thickBot="1">
      <c r="G42" s="229" t="s">
        <v>70</v>
      </c>
      <c r="H42" s="194" t="s">
        <v>286</v>
      </c>
      <c r="I42" s="39">
        <v>960</v>
      </c>
      <c r="O42" s="114">
        <f>O41-O15</f>
        <v>0</v>
      </c>
      <c r="T42" s="233" t="s">
        <v>218</v>
      </c>
      <c r="U42" s="104" t="s">
        <v>222</v>
      </c>
      <c r="V42" s="224">
        <v>0</v>
      </c>
    </row>
    <row r="43" spans="1:22" ht="13.5" thickBot="1">
      <c r="A43" t="s">
        <v>176</v>
      </c>
      <c r="G43" s="229" t="s">
        <v>72</v>
      </c>
      <c r="H43" s="194" t="s">
        <v>320</v>
      </c>
      <c r="I43" s="39">
        <v>900</v>
      </c>
      <c r="T43" s="291" t="s">
        <v>219</v>
      </c>
      <c r="U43" s="292"/>
      <c r="V43" s="190">
        <f>SUM(V40:V42)</f>
        <v>6390</v>
      </c>
    </row>
    <row r="44" spans="1:22" ht="12.75">
      <c r="A44" t="s">
        <v>254</v>
      </c>
      <c r="G44" s="263" t="s">
        <v>72</v>
      </c>
      <c r="H44" s="264" t="s">
        <v>314</v>
      </c>
      <c r="I44" s="265">
        <v>-2500</v>
      </c>
      <c r="M44" t="s">
        <v>272</v>
      </c>
      <c r="V44" s="114">
        <f>V43-V20</f>
        <v>0</v>
      </c>
    </row>
    <row r="45" spans="7:13" ht="12.75">
      <c r="G45" s="263" t="s">
        <v>72</v>
      </c>
      <c r="H45" s="264" t="s">
        <v>143</v>
      </c>
      <c r="I45" s="265">
        <v>69000</v>
      </c>
      <c r="M45" t="s">
        <v>339</v>
      </c>
    </row>
    <row r="46" spans="7:20" ht="12.75">
      <c r="G46" s="229" t="s">
        <v>75</v>
      </c>
      <c r="H46" s="194" t="s">
        <v>304</v>
      </c>
      <c r="I46" s="39">
        <v>-4000</v>
      </c>
      <c r="T46" t="s">
        <v>272</v>
      </c>
    </row>
    <row r="47" spans="7:20" ht="12.75">
      <c r="G47" s="229" t="s">
        <v>81</v>
      </c>
      <c r="H47" s="194" t="s">
        <v>271</v>
      </c>
      <c r="I47" s="39">
        <v>2000</v>
      </c>
      <c r="T47" t="s">
        <v>385</v>
      </c>
    </row>
    <row r="48" spans="7:9" ht="12.75">
      <c r="G48" s="229" t="s">
        <v>90</v>
      </c>
      <c r="H48" s="194" t="s">
        <v>284</v>
      </c>
      <c r="I48" s="39">
        <v>600</v>
      </c>
    </row>
    <row r="49" spans="7:9" ht="12.75">
      <c r="G49" s="229" t="s">
        <v>90</v>
      </c>
      <c r="H49" s="194" t="s">
        <v>308</v>
      </c>
      <c r="I49" s="39">
        <v>-1100</v>
      </c>
    </row>
    <row r="50" spans="7:9" ht="12.75">
      <c r="G50" s="229" t="s">
        <v>309</v>
      </c>
      <c r="H50" s="194" t="s">
        <v>310</v>
      </c>
      <c r="I50" s="39">
        <v>1000</v>
      </c>
    </row>
    <row r="51" spans="7:9" ht="12.75">
      <c r="G51" s="229" t="s">
        <v>90</v>
      </c>
      <c r="H51" s="194" t="s">
        <v>303</v>
      </c>
      <c r="I51" s="39">
        <f>3000+200</f>
        <v>3200</v>
      </c>
    </row>
    <row r="52" spans="7:9" ht="12.75">
      <c r="G52" s="229" t="s">
        <v>90</v>
      </c>
      <c r="H52" s="194" t="s">
        <v>285</v>
      </c>
      <c r="I52" s="39">
        <v>6000</v>
      </c>
    </row>
    <row r="53" spans="7:9" ht="12.75">
      <c r="G53" s="229" t="s">
        <v>90</v>
      </c>
      <c r="H53" s="194" t="s">
        <v>316</v>
      </c>
      <c r="I53" s="39">
        <v>100</v>
      </c>
    </row>
    <row r="54" spans="7:9" ht="12.75">
      <c r="G54" s="229" t="s">
        <v>101</v>
      </c>
      <c r="H54" s="194" t="s">
        <v>246</v>
      </c>
      <c r="I54" s="39">
        <v>1700</v>
      </c>
    </row>
    <row r="55" spans="7:9" ht="12.75">
      <c r="G55" s="229" t="s">
        <v>101</v>
      </c>
      <c r="H55" s="194" t="s">
        <v>297</v>
      </c>
      <c r="I55" s="39">
        <v>350</v>
      </c>
    </row>
    <row r="56" spans="7:9" ht="12.75">
      <c r="G56" s="229" t="s">
        <v>101</v>
      </c>
      <c r="H56" s="194" t="s">
        <v>300</v>
      </c>
      <c r="I56" s="39">
        <v>150</v>
      </c>
    </row>
    <row r="57" spans="7:9" ht="12.75">
      <c r="G57" s="229" t="s">
        <v>103</v>
      </c>
      <c r="H57" s="194" t="s">
        <v>301</v>
      </c>
      <c r="I57" s="39">
        <v>4000</v>
      </c>
    </row>
    <row r="58" spans="7:9" ht="12.75">
      <c r="G58" s="229" t="s">
        <v>119</v>
      </c>
      <c r="H58" s="194" t="s">
        <v>305</v>
      </c>
      <c r="I58" s="39">
        <v>15000</v>
      </c>
    </row>
    <row r="59" spans="7:9" ht="12.75">
      <c r="G59" s="289" t="s">
        <v>217</v>
      </c>
      <c r="H59" s="290"/>
      <c r="I59" s="231">
        <f>SUM(I33:I58)</f>
        <v>112022</v>
      </c>
    </row>
    <row r="60" spans="7:9" ht="12.75">
      <c r="G60" s="232" t="s">
        <v>218</v>
      </c>
      <c r="H60" s="194" t="s">
        <v>262</v>
      </c>
      <c r="I60" s="39">
        <v>59</v>
      </c>
    </row>
    <row r="61" spans="7:9" ht="13.5" thickBot="1">
      <c r="G61" s="233" t="s">
        <v>218</v>
      </c>
      <c r="H61" s="104" t="s">
        <v>222</v>
      </c>
      <c r="I61" s="224">
        <v>0</v>
      </c>
    </row>
    <row r="62" spans="7:9" ht="13.5" thickBot="1">
      <c r="G62" s="291" t="s">
        <v>219</v>
      </c>
      <c r="H62" s="292"/>
      <c r="I62" s="190">
        <f>SUM(I59:I61)</f>
        <v>112081</v>
      </c>
    </row>
    <row r="63" ht="12.75">
      <c r="I63" s="114">
        <f>I62-I28</f>
        <v>0</v>
      </c>
    </row>
    <row r="65" ht="12.75">
      <c r="G65" t="s">
        <v>272</v>
      </c>
    </row>
    <row r="66" ht="12.75">
      <c r="G66" t="s">
        <v>273</v>
      </c>
    </row>
  </sheetData>
  <sheetProtection/>
  <mergeCells count="24">
    <mergeCell ref="T40:U40"/>
    <mergeCell ref="T43:U43"/>
    <mergeCell ref="T1:V1"/>
    <mergeCell ref="T3:V3"/>
    <mergeCell ref="T18:U18"/>
    <mergeCell ref="T20:U20"/>
    <mergeCell ref="A37:B37"/>
    <mergeCell ref="A40:B40"/>
    <mergeCell ref="A1:C1"/>
    <mergeCell ref="A3:C3"/>
    <mergeCell ref="A20:B20"/>
    <mergeCell ref="A22:B22"/>
    <mergeCell ref="G59:H59"/>
    <mergeCell ref="G62:H62"/>
    <mergeCell ref="G1:I1"/>
    <mergeCell ref="G3:I3"/>
    <mergeCell ref="G26:H26"/>
    <mergeCell ref="G28:H28"/>
    <mergeCell ref="M38:N38"/>
    <mergeCell ref="M41:N41"/>
    <mergeCell ref="M1:O1"/>
    <mergeCell ref="M3:O3"/>
    <mergeCell ref="M13:N13"/>
    <mergeCell ref="M15:N1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="200" zoomScaleNormal="200" workbookViewId="0" topLeftCell="A1">
      <selection activeCell="I189" sqref="A1:I189"/>
    </sheetView>
  </sheetViews>
  <sheetFormatPr defaultColWidth="9.140625" defaultRowHeight="12.75"/>
  <cols>
    <col min="1" max="1" width="6.57421875" style="0" customWidth="1"/>
    <col min="2" max="2" width="44.8515625" style="0" customWidth="1"/>
    <col min="3" max="3" width="12.57421875" style="0" customWidth="1"/>
    <col min="4" max="7" width="11.28125" style="0" customWidth="1"/>
    <col min="8" max="8" width="12.57421875" style="0" customWidth="1"/>
  </cols>
  <sheetData>
    <row r="1" spans="1:8" ht="20.25">
      <c r="A1" s="297" t="s">
        <v>210</v>
      </c>
      <c r="B1" s="297"/>
      <c r="C1" s="297"/>
      <c r="D1" s="297"/>
      <c r="E1" s="297"/>
      <c r="F1" s="297"/>
      <c r="G1" s="297"/>
      <c r="H1" s="297"/>
    </row>
    <row r="2" ht="13.5" thickBot="1">
      <c r="H2" s="134"/>
    </row>
    <row r="3" spans="1:8" ht="24" customHeight="1" thickBot="1">
      <c r="A3" s="298" t="s">
        <v>0</v>
      </c>
      <c r="B3" s="299"/>
      <c r="C3" s="299"/>
      <c r="D3" s="299"/>
      <c r="E3" s="299"/>
      <c r="F3" s="299"/>
      <c r="G3" s="299"/>
      <c r="H3" s="300"/>
    </row>
    <row r="4" spans="1:8" ht="12.75">
      <c r="A4" s="301" t="s">
        <v>1</v>
      </c>
      <c r="B4" s="302"/>
      <c r="C4" s="305" t="s">
        <v>207</v>
      </c>
      <c r="D4" s="305" t="s">
        <v>276</v>
      </c>
      <c r="E4" s="305" t="s">
        <v>277</v>
      </c>
      <c r="F4" s="305" t="s">
        <v>325</v>
      </c>
      <c r="G4" s="305" t="s">
        <v>360</v>
      </c>
      <c r="H4" s="305" t="s">
        <v>379</v>
      </c>
    </row>
    <row r="5" spans="1:8" ht="13.5" thickBot="1">
      <c r="A5" s="303"/>
      <c r="B5" s="304"/>
      <c r="C5" s="306"/>
      <c r="D5" s="306"/>
      <c r="E5" s="306"/>
      <c r="F5" s="306"/>
      <c r="G5" s="306"/>
      <c r="H5" s="306"/>
    </row>
    <row r="6" spans="1:9" ht="13.5" thickBot="1">
      <c r="A6" s="310" t="s">
        <v>2</v>
      </c>
      <c r="B6" s="311"/>
      <c r="C6" s="135">
        <f aca="true" t="shared" si="0" ref="C6:H6">SUM(C7:C13)</f>
        <v>752553</v>
      </c>
      <c r="D6" s="135">
        <f t="shared" si="0"/>
        <v>753553</v>
      </c>
      <c r="E6" s="135">
        <f t="shared" si="0"/>
        <v>754853</v>
      </c>
      <c r="F6" s="135">
        <f t="shared" si="0"/>
        <v>755353</v>
      </c>
      <c r="G6" s="135">
        <f t="shared" si="0"/>
        <v>760353</v>
      </c>
      <c r="H6" s="135">
        <f t="shared" si="0"/>
        <v>696915</v>
      </c>
      <c r="I6" s="282">
        <f>H6/G6</f>
        <v>0.9165676994764274</v>
      </c>
    </row>
    <row r="7" spans="1:9" ht="13.5" thickBot="1">
      <c r="A7" s="1">
        <v>111</v>
      </c>
      <c r="B7" s="2" t="s">
        <v>3</v>
      </c>
      <c r="C7" s="3">
        <v>700000</v>
      </c>
      <c r="D7" s="3">
        <v>700000</v>
      </c>
      <c r="E7" s="3">
        <v>700000</v>
      </c>
      <c r="F7" s="3">
        <v>700000</v>
      </c>
      <c r="G7" s="280">
        <v>705000</v>
      </c>
      <c r="H7" s="3">
        <v>647933</v>
      </c>
      <c r="I7" s="282">
        <f aca="true" t="shared" si="1" ref="I7:I66">H7/G7</f>
        <v>0.9190539007092199</v>
      </c>
    </row>
    <row r="8" spans="1:9" ht="13.5" thickBot="1">
      <c r="A8" s="20">
        <v>121</v>
      </c>
      <c r="B8" s="21" t="s">
        <v>181</v>
      </c>
      <c r="C8" s="23">
        <v>30273</v>
      </c>
      <c r="D8" s="23">
        <v>30273</v>
      </c>
      <c r="E8" s="23">
        <v>30273</v>
      </c>
      <c r="F8" s="23">
        <v>30273</v>
      </c>
      <c r="G8" s="23">
        <v>30273</v>
      </c>
      <c r="H8" s="23">
        <v>26784</v>
      </c>
      <c r="I8" s="282">
        <f t="shared" si="1"/>
        <v>0.8847487860469726</v>
      </c>
    </row>
    <row r="9" spans="1:9" ht="12.75">
      <c r="A9" s="4">
        <v>133</v>
      </c>
      <c r="B9" s="5" t="s">
        <v>4</v>
      </c>
      <c r="C9" s="6">
        <v>1000</v>
      </c>
      <c r="D9" s="6">
        <v>1000</v>
      </c>
      <c r="E9" s="6">
        <v>1000</v>
      </c>
      <c r="F9" s="6">
        <v>1000</v>
      </c>
      <c r="G9" s="6">
        <v>1000</v>
      </c>
      <c r="H9" s="6">
        <v>961</v>
      </c>
      <c r="I9" s="282">
        <f t="shared" si="1"/>
        <v>0.961</v>
      </c>
    </row>
    <row r="10" spans="1:9" ht="12.75">
      <c r="A10" s="7">
        <v>133</v>
      </c>
      <c r="B10" s="8" t="s">
        <v>5</v>
      </c>
      <c r="C10" s="9">
        <v>280</v>
      </c>
      <c r="D10" s="9">
        <v>280</v>
      </c>
      <c r="E10" s="9">
        <v>280</v>
      </c>
      <c r="F10" s="9">
        <v>280</v>
      </c>
      <c r="G10" s="9">
        <v>280</v>
      </c>
      <c r="H10" s="9">
        <v>239</v>
      </c>
      <c r="I10" s="282">
        <f t="shared" si="1"/>
        <v>0.8535714285714285</v>
      </c>
    </row>
    <row r="11" spans="1:9" ht="12.75">
      <c r="A11" s="7">
        <v>133</v>
      </c>
      <c r="B11" s="8" t="s">
        <v>6</v>
      </c>
      <c r="C11" s="9">
        <v>1000</v>
      </c>
      <c r="D11" s="9">
        <v>1000</v>
      </c>
      <c r="E11" s="181">
        <v>1300</v>
      </c>
      <c r="F11" s="181">
        <v>1800</v>
      </c>
      <c r="G11" s="204">
        <v>1800</v>
      </c>
      <c r="H11" s="9">
        <v>1608</v>
      </c>
      <c r="I11" s="282">
        <f t="shared" si="1"/>
        <v>0.8933333333333333</v>
      </c>
    </row>
    <row r="12" spans="1:9" ht="12.75">
      <c r="A12" s="7">
        <v>133</v>
      </c>
      <c r="B12" s="8" t="s">
        <v>7</v>
      </c>
      <c r="C12" s="9">
        <v>5000</v>
      </c>
      <c r="D12" s="9">
        <v>5000</v>
      </c>
      <c r="E12" s="9">
        <v>5000</v>
      </c>
      <c r="F12" s="9">
        <v>5000</v>
      </c>
      <c r="G12" s="9">
        <v>5000</v>
      </c>
      <c r="H12" s="9">
        <v>4105</v>
      </c>
      <c r="I12" s="282">
        <f t="shared" si="1"/>
        <v>0.821</v>
      </c>
    </row>
    <row r="13" spans="1:9" ht="13.5" thickBot="1">
      <c r="A13" s="10">
        <v>133</v>
      </c>
      <c r="B13" s="11" t="s">
        <v>8</v>
      </c>
      <c r="C13" s="13">
        <v>15000</v>
      </c>
      <c r="D13" s="180">
        <v>16000</v>
      </c>
      <c r="E13" s="180">
        <v>17000</v>
      </c>
      <c r="F13" s="267">
        <v>17000</v>
      </c>
      <c r="G13" s="267">
        <v>17000</v>
      </c>
      <c r="H13" s="12">
        <v>15285</v>
      </c>
      <c r="I13" s="282">
        <f t="shared" si="1"/>
        <v>0.8991176470588236</v>
      </c>
    </row>
    <row r="14" spans="1:9" ht="13.5" thickBot="1">
      <c r="A14" s="310" t="s">
        <v>9</v>
      </c>
      <c r="B14" s="311"/>
      <c r="C14" s="135">
        <f aca="true" t="shared" si="2" ref="C14:H14">SUM(C15:C31)</f>
        <v>119460</v>
      </c>
      <c r="D14" s="135">
        <f t="shared" si="2"/>
        <v>123522</v>
      </c>
      <c r="E14" s="135">
        <f t="shared" si="2"/>
        <v>134722</v>
      </c>
      <c r="F14" s="135">
        <f t="shared" si="2"/>
        <v>141442</v>
      </c>
      <c r="G14" s="135">
        <f t="shared" si="2"/>
        <v>141590</v>
      </c>
      <c r="H14" s="135">
        <f t="shared" si="2"/>
        <v>118041</v>
      </c>
      <c r="I14" s="282">
        <f t="shared" si="1"/>
        <v>0.8336817571862419</v>
      </c>
    </row>
    <row r="15" spans="1:9" ht="12.75">
      <c r="A15" s="14">
        <v>212</v>
      </c>
      <c r="B15" s="15" t="s">
        <v>10</v>
      </c>
      <c r="C15" s="16">
        <v>490</v>
      </c>
      <c r="D15" s="16">
        <v>490</v>
      </c>
      <c r="E15" s="16">
        <v>490</v>
      </c>
      <c r="F15" s="16">
        <v>490</v>
      </c>
      <c r="G15" s="16">
        <v>490</v>
      </c>
      <c r="H15" s="16">
        <v>452</v>
      </c>
      <c r="I15" s="282">
        <f t="shared" si="1"/>
        <v>0.9224489795918367</v>
      </c>
    </row>
    <row r="16" spans="1:9" ht="12.75">
      <c r="A16" s="4">
        <v>212</v>
      </c>
      <c r="B16" s="5" t="s">
        <v>11</v>
      </c>
      <c r="C16" s="6">
        <v>200</v>
      </c>
      <c r="D16" s="6">
        <v>200</v>
      </c>
      <c r="E16" s="6">
        <v>200</v>
      </c>
      <c r="F16" s="6">
        <v>200</v>
      </c>
      <c r="G16" s="6">
        <v>200</v>
      </c>
      <c r="H16" s="6">
        <v>149</v>
      </c>
      <c r="I16" s="282">
        <f t="shared" si="1"/>
        <v>0.745</v>
      </c>
    </row>
    <row r="17" spans="1:9" ht="12.75">
      <c r="A17" s="7">
        <v>212</v>
      </c>
      <c r="B17" s="8" t="s">
        <v>12</v>
      </c>
      <c r="C17" s="9">
        <v>3943</v>
      </c>
      <c r="D17" s="204">
        <v>3943</v>
      </c>
      <c r="E17" s="204">
        <v>3943</v>
      </c>
      <c r="F17" s="204">
        <f>3943</f>
        <v>3943</v>
      </c>
      <c r="G17" s="181">
        <f>3943+48</f>
        <v>3991</v>
      </c>
      <c r="H17" s="9">
        <v>3475</v>
      </c>
      <c r="I17" s="282">
        <f t="shared" si="1"/>
        <v>0.8707090954647958</v>
      </c>
    </row>
    <row r="18" spans="1:9" ht="12.75">
      <c r="A18" s="7">
        <v>212</v>
      </c>
      <c r="B18" s="8" t="s">
        <v>198</v>
      </c>
      <c r="C18" s="9">
        <v>12157</v>
      </c>
      <c r="D18" s="181">
        <f>13089+100+300</f>
        <v>13489</v>
      </c>
      <c r="E18" s="181">
        <f>15189+500</f>
        <v>15689</v>
      </c>
      <c r="F18" s="204">
        <f>15189+500</f>
        <v>15689</v>
      </c>
      <c r="G18" s="204">
        <f>15189+500</f>
        <v>15689</v>
      </c>
      <c r="H18" s="9">
        <v>12067</v>
      </c>
      <c r="I18" s="282">
        <f t="shared" si="1"/>
        <v>0.769137612339856</v>
      </c>
    </row>
    <row r="19" spans="1:10" ht="13.5" thickBot="1">
      <c r="A19" s="17">
        <v>212</v>
      </c>
      <c r="B19" s="18" t="s">
        <v>199</v>
      </c>
      <c r="C19" s="19">
        <v>20</v>
      </c>
      <c r="D19" s="19">
        <v>20</v>
      </c>
      <c r="E19" s="19">
        <v>20</v>
      </c>
      <c r="F19" s="19">
        <v>20</v>
      </c>
      <c r="G19" s="19">
        <v>20</v>
      </c>
      <c r="H19" s="19">
        <v>0</v>
      </c>
      <c r="I19" s="282">
        <f t="shared" si="1"/>
        <v>0</v>
      </c>
      <c r="J19" s="114">
        <f>SUM(H15:H19)</f>
        <v>16143</v>
      </c>
    </row>
    <row r="20" spans="1:9" ht="13.5" thickBot="1">
      <c r="A20" s="20">
        <v>221</v>
      </c>
      <c r="B20" s="21" t="s">
        <v>13</v>
      </c>
      <c r="C20" s="22">
        <v>10800</v>
      </c>
      <c r="D20" s="22">
        <v>10800</v>
      </c>
      <c r="E20" s="22">
        <v>10800</v>
      </c>
      <c r="F20" s="22">
        <v>10800</v>
      </c>
      <c r="G20" s="22">
        <v>10800</v>
      </c>
      <c r="H20" s="22">
        <v>10319</v>
      </c>
      <c r="I20" s="282">
        <f t="shared" si="1"/>
        <v>0.955462962962963</v>
      </c>
    </row>
    <row r="21" spans="1:9" ht="13.5" thickBot="1">
      <c r="A21" s="20">
        <v>222</v>
      </c>
      <c r="B21" s="21" t="s">
        <v>14</v>
      </c>
      <c r="C21" s="23">
        <v>500</v>
      </c>
      <c r="D21" s="23">
        <v>500</v>
      </c>
      <c r="E21" s="23">
        <v>500</v>
      </c>
      <c r="F21" s="23">
        <v>500</v>
      </c>
      <c r="G21" s="23">
        <v>500</v>
      </c>
      <c r="H21" s="23">
        <v>0</v>
      </c>
      <c r="I21" s="282">
        <f t="shared" si="1"/>
        <v>0</v>
      </c>
    </row>
    <row r="22" spans="1:9" ht="12.75">
      <c r="A22" s="4">
        <v>223</v>
      </c>
      <c r="B22" s="5" t="s">
        <v>15</v>
      </c>
      <c r="C22" s="6">
        <v>900</v>
      </c>
      <c r="D22" s="6">
        <v>900</v>
      </c>
      <c r="E22" s="6">
        <v>900</v>
      </c>
      <c r="F22" s="6">
        <v>900</v>
      </c>
      <c r="G22" s="6">
        <v>900</v>
      </c>
      <c r="H22" s="6">
        <v>510</v>
      </c>
      <c r="I22" s="282">
        <f t="shared" si="1"/>
        <v>0.5666666666666667</v>
      </c>
    </row>
    <row r="23" spans="1:9" ht="12.75">
      <c r="A23" s="7">
        <v>223</v>
      </c>
      <c r="B23" s="8" t="s">
        <v>16</v>
      </c>
      <c r="C23" s="9">
        <v>11000</v>
      </c>
      <c r="D23" s="9">
        <v>11000</v>
      </c>
      <c r="E23" s="9">
        <v>11000</v>
      </c>
      <c r="F23" s="9">
        <v>11000</v>
      </c>
      <c r="G23" s="9">
        <v>11000</v>
      </c>
      <c r="H23" s="9">
        <v>9202</v>
      </c>
      <c r="I23" s="282">
        <f t="shared" si="1"/>
        <v>0.8365454545454546</v>
      </c>
    </row>
    <row r="24" spans="1:9" ht="12.75">
      <c r="A24" s="7">
        <v>223</v>
      </c>
      <c r="B24" s="8" t="s">
        <v>17</v>
      </c>
      <c r="C24" s="9">
        <v>15500</v>
      </c>
      <c r="D24" s="9">
        <v>15500</v>
      </c>
      <c r="E24" s="181">
        <f>21500+3000</f>
        <v>24500</v>
      </c>
      <c r="F24" s="181">
        <f>21500+3000+6720</f>
        <v>31220</v>
      </c>
      <c r="G24" s="204">
        <f>21500+3000+6720</f>
        <v>31220</v>
      </c>
      <c r="H24" s="9">
        <v>30831</v>
      </c>
      <c r="I24" s="282">
        <f t="shared" si="1"/>
        <v>0.9875400384368994</v>
      </c>
    </row>
    <row r="25" spans="1:9" ht="12.75">
      <c r="A25" s="7">
        <v>223</v>
      </c>
      <c r="B25" s="8" t="s">
        <v>18</v>
      </c>
      <c r="C25" s="9">
        <v>200</v>
      </c>
      <c r="D25" s="181">
        <f>200+2630</f>
        <v>2830</v>
      </c>
      <c r="E25" s="204">
        <f>200+2630</f>
        <v>2830</v>
      </c>
      <c r="F25" s="204">
        <f>200+2630</f>
        <v>2830</v>
      </c>
      <c r="G25" s="204">
        <f>200+2630</f>
        <v>2830</v>
      </c>
      <c r="H25" s="9">
        <f>157+2630</f>
        <v>2787</v>
      </c>
      <c r="I25" s="282">
        <f t="shared" si="1"/>
        <v>0.9848056537102473</v>
      </c>
    </row>
    <row r="26" spans="1:9" ht="12.75">
      <c r="A26" s="7">
        <v>223</v>
      </c>
      <c r="B26" s="8" t="s">
        <v>19</v>
      </c>
      <c r="C26" s="9">
        <v>600</v>
      </c>
      <c r="D26" s="9">
        <v>600</v>
      </c>
      <c r="E26" s="9">
        <v>600</v>
      </c>
      <c r="F26" s="9">
        <v>600</v>
      </c>
      <c r="G26" s="181">
        <v>650</v>
      </c>
      <c r="H26" s="9">
        <v>603</v>
      </c>
      <c r="I26" s="282">
        <f t="shared" si="1"/>
        <v>0.9276923076923077</v>
      </c>
    </row>
    <row r="27" spans="1:9" ht="12.75">
      <c r="A27" s="7">
        <v>223</v>
      </c>
      <c r="B27" s="8" t="s">
        <v>20</v>
      </c>
      <c r="C27" s="9">
        <v>30000</v>
      </c>
      <c r="D27" s="9">
        <v>30000</v>
      </c>
      <c r="E27" s="9">
        <v>30000</v>
      </c>
      <c r="F27" s="9">
        <v>30000</v>
      </c>
      <c r="G27" s="9">
        <v>30000</v>
      </c>
      <c r="H27" s="9">
        <v>22922</v>
      </c>
      <c r="I27" s="282">
        <f t="shared" si="1"/>
        <v>0.7640666666666667</v>
      </c>
    </row>
    <row r="28" spans="1:9" ht="12.75">
      <c r="A28" s="7">
        <v>223</v>
      </c>
      <c r="B28" s="8" t="s">
        <v>21</v>
      </c>
      <c r="C28" s="9">
        <v>23050</v>
      </c>
      <c r="D28" s="181">
        <v>23150</v>
      </c>
      <c r="E28" s="204">
        <v>23150</v>
      </c>
      <c r="F28" s="204">
        <v>23150</v>
      </c>
      <c r="G28" s="204">
        <v>23150</v>
      </c>
      <c r="H28" s="9">
        <v>17257</v>
      </c>
      <c r="I28" s="282">
        <f t="shared" si="1"/>
        <v>0.7454427645788337</v>
      </c>
    </row>
    <row r="29" spans="1:9" ht="12.75">
      <c r="A29" s="7">
        <v>223</v>
      </c>
      <c r="B29" s="8" t="s">
        <v>22</v>
      </c>
      <c r="C29" s="24">
        <v>9000</v>
      </c>
      <c r="D29" s="24">
        <v>9000</v>
      </c>
      <c r="E29" s="24">
        <v>9000</v>
      </c>
      <c r="F29" s="24">
        <v>9000</v>
      </c>
      <c r="G29" s="24">
        <v>9000</v>
      </c>
      <c r="H29" s="24">
        <v>6471</v>
      </c>
      <c r="I29" s="282">
        <f t="shared" si="1"/>
        <v>0.719</v>
      </c>
    </row>
    <row r="30" spans="1:9" ht="12.75">
      <c r="A30" s="7">
        <v>223</v>
      </c>
      <c r="B30" s="8" t="s">
        <v>23</v>
      </c>
      <c r="C30" s="9">
        <v>1000</v>
      </c>
      <c r="D30" s="9">
        <v>1000</v>
      </c>
      <c r="E30" s="9">
        <v>1000</v>
      </c>
      <c r="F30" s="9">
        <v>1000</v>
      </c>
      <c r="G30" s="181">
        <v>1050</v>
      </c>
      <c r="H30" s="9">
        <v>936</v>
      </c>
      <c r="I30" s="282">
        <f t="shared" si="1"/>
        <v>0.8914285714285715</v>
      </c>
    </row>
    <row r="31" spans="1:10" ht="13.5" thickBot="1">
      <c r="A31" s="10">
        <v>223</v>
      </c>
      <c r="B31" s="11" t="s">
        <v>24</v>
      </c>
      <c r="C31" s="12">
        <v>100</v>
      </c>
      <c r="D31" s="12">
        <v>100</v>
      </c>
      <c r="E31" s="12">
        <v>100</v>
      </c>
      <c r="F31" s="12">
        <v>100</v>
      </c>
      <c r="G31" s="12">
        <v>100</v>
      </c>
      <c r="H31" s="12">
        <v>60</v>
      </c>
      <c r="I31" s="282">
        <f t="shared" si="1"/>
        <v>0.6</v>
      </c>
      <c r="J31" s="114">
        <f>SUM(H20:H31)</f>
        <v>101898</v>
      </c>
    </row>
    <row r="32" spans="1:9" ht="13.5" thickBot="1">
      <c r="A32" s="310" t="s">
        <v>25</v>
      </c>
      <c r="B32" s="311"/>
      <c r="C32" s="135">
        <f aca="true" t="shared" si="3" ref="C32:H32">SUM(C33)</f>
        <v>490</v>
      </c>
      <c r="D32" s="135">
        <f t="shared" si="3"/>
        <v>490</v>
      </c>
      <c r="E32" s="135">
        <f t="shared" si="3"/>
        <v>700</v>
      </c>
      <c r="F32" s="135">
        <f t="shared" si="3"/>
        <v>700</v>
      </c>
      <c r="G32" s="135">
        <f t="shared" si="3"/>
        <v>700</v>
      </c>
      <c r="H32" s="135">
        <f t="shared" si="3"/>
        <v>608</v>
      </c>
      <c r="I32" s="282">
        <f t="shared" si="1"/>
        <v>0.8685714285714285</v>
      </c>
    </row>
    <row r="33" spans="1:9" ht="13.5" thickBot="1">
      <c r="A33" s="25">
        <v>240</v>
      </c>
      <c r="B33" s="18" t="s">
        <v>26</v>
      </c>
      <c r="C33" s="19">
        <v>490</v>
      </c>
      <c r="D33" s="19">
        <v>490</v>
      </c>
      <c r="E33" s="253">
        <f>490+210</f>
        <v>700</v>
      </c>
      <c r="F33" s="268">
        <f>490+210</f>
        <v>700</v>
      </c>
      <c r="G33" s="268">
        <f>490+210</f>
        <v>700</v>
      </c>
      <c r="H33" s="19">
        <v>608</v>
      </c>
      <c r="I33" s="282">
        <f t="shared" si="1"/>
        <v>0.8685714285714285</v>
      </c>
    </row>
    <row r="34" spans="1:9" ht="13.5" thickBot="1">
      <c r="A34" s="310" t="s">
        <v>27</v>
      </c>
      <c r="B34" s="311"/>
      <c r="C34" s="135">
        <f aca="true" t="shared" si="4" ref="C34:H34">SUM(C35:C47)</f>
        <v>32789</v>
      </c>
      <c r="D34" s="135">
        <f t="shared" si="4"/>
        <v>34905</v>
      </c>
      <c r="E34" s="135">
        <f t="shared" si="4"/>
        <v>37017</v>
      </c>
      <c r="F34" s="135">
        <f t="shared" si="4"/>
        <v>37017</v>
      </c>
      <c r="G34" s="135">
        <f t="shared" si="4"/>
        <v>38017</v>
      </c>
      <c r="H34" s="135">
        <f t="shared" si="4"/>
        <v>20914</v>
      </c>
      <c r="I34" s="282">
        <f t="shared" si="1"/>
        <v>0.550122313701765</v>
      </c>
    </row>
    <row r="35" spans="1:9" ht="12.75">
      <c r="A35" s="26">
        <v>292</v>
      </c>
      <c r="B35" s="27" t="s">
        <v>182</v>
      </c>
      <c r="C35" s="28">
        <v>200</v>
      </c>
      <c r="D35" s="28">
        <v>200</v>
      </c>
      <c r="E35" s="28">
        <v>200</v>
      </c>
      <c r="F35" s="28">
        <v>200</v>
      </c>
      <c r="G35" s="28">
        <v>200</v>
      </c>
      <c r="H35" s="28">
        <v>0</v>
      </c>
      <c r="I35" s="282">
        <f t="shared" si="1"/>
        <v>0</v>
      </c>
    </row>
    <row r="36" spans="1:9" ht="12.75">
      <c r="A36" s="26">
        <v>292</v>
      </c>
      <c r="B36" s="27" t="s">
        <v>28</v>
      </c>
      <c r="C36" s="28">
        <v>100</v>
      </c>
      <c r="D36" s="28">
        <v>100</v>
      </c>
      <c r="E36" s="249">
        <v>200</v>
      </c>
      <c r="F36" s="28">
        <v>200</v>
      </c>
      <c r="G36" s="28">
        <v>200</v>
      </c>
      <c r="H36" s="28">
        <v>154</v>
      </c>
      <c r="I36" s="282">
        <f t="shared" si="1"/>
        <v>0.77</v>
      </c>
    </row>
    <row r="37" spans="1:9" ht="12.75">
      <c r="A37" s="29">
        <v>292</v>
      </c>
      <c r="B37" s="30" t="s">
        <v>29</v>
      </c>
      <c r="C37" s="31">
        <v>5000</v>
      </c>
      <c r="D37" s="183">
        <v>5025</v>
      </c>
      <c r="E37" s="31">
        <v>5025</v>
      </c>
      <c r="F37" s="31">
        <v>5025</v>
      </c>
      <c r="G37" s="31">
        <v>5025</v>
      </c>
      <c r="H37" s="31">
        <f>25</f>
        <v>25</v>
      </c>
      <c r="I37" s="282">
        <f t="shared" si="1"/>
        <v>0.004975124378109453</v>
      </c>
    </row>
    <row r="38" spans="1:9" ht="12.75">
      <c r="A38" s="29">
        <v>292</v>
      </c>
      <c r="B38" s="8" t="s">
        <v>183</v>
      </c>
      <c r="C38" s="32">
        <v>160</v>
      </c>
      <c r="D38" s="32">
        <v>160</v>
      </c>
      <c r="E38" s="182">
        <v>172</v>
      </c>
      <c r="F38" s="136">
        <v>172</v>
      </c>
      <c r="G38" s="136">
        <v>172</v>
      </c>
      <c r="H38" s="136">
        <v>86</v>
      </c>
      <c r="I38" s="282">
        <f t="shared" si="1"/>
        <v>0.5</v>
      </c>
    </row>
    <row r="39" spans="1:9" ht="12.75">
      <c r="A39" s="29">
        <v>292</v>
      </c>
      <c r="B39" s="30" t="s">
        <v>184</v>
      </c>
      <c r="C39" s="31">
        <v>2000</v>
      </c>
      <c r="D39" s="31">
        <v>2000</v>
      </c>
      <c r="E39" s="31">
        <v>2000</v>
      </c>
      <c r="F39" s="183">
        <v>1500</v>
      </c>
      <c r="G39" s="31">
        <v>1500</v>
      </c>
      <c r="H39" s="31">
        <v>400</v>
      </c>
      <c r="I39" s="282">
        <f t="shared" si="1"/>
        <v>0.26666666666666666</v>
      </c>
    </row>
    <row r="40" spans="1:9" ht="12.75">
      <c r="A40" s="29">
        <v>292</v>
      </c>
      <c r="B40" s="30" t="s">
        <v>30</v>
      </c>
      <c r="C40" s="31">
        <v>300</v>
      </c>
      <c r="D40" s="31">
        <v>300</v>
      </c>
      <c r="E40" s="31">
        <v>300</v>
      </c>
      <c r="F40" s="31">
        <v>300</v>
      </c>
      <c r="G40" s="31">
        <v>300</v>
      </c>
      <c r="H40" s="31">
        <v>0</v>
      </c>
      <c r="I40" s="282">
        <f t="shared" si="1"/>
        <v>0</v>
      </c>
    </row>
    <row r="41" spans="1:9" ht="12.75">
      <c r="A41" s="29">
        <v>292</v>
      </c>
      <c r="B41" s="30" t="s">
        <v>237</v>
      </c>
      <c r="C41" s="31">
        <v>120</v>
      </c>
      <c r="D41" s="183">
        <f>1587-794</f>
        <v>793</v>
      </c>
      <c r="E41" s="31">
        <f>1587-794</f>
        <v>793</v>
      </c>
      <c r="F41" s="31">
        <f>1587-794</f>
        <v>793</v>
      </c>
      <c r="G41" s="31">
        <f>1587-794</f>
        <v>793</v>
      </c>
      <c r="H41" s="31">
        <v>793</v>
      </c>
      <c r="I41" s="282">
        <f t="shared" si="1"/>
        <v>1</v>
      </c>
    </row>
    <row r="42" spans="1:9" ht="12.75">
      <c r="A42" s="137">
        <v>292</v>
      </c>
      <c r="B42" s="138" t="s">
        <v>185</v>
      </c>
      <c r="C42" s="139">
        <v>1509</v>
      </c>
      <c r="D42" s="184">
        <v>1527</v>
      </c>
      <c r="E42" s="245">
        <v>1527</v>
      </c>
      <c r="F42" s="245">
        <v>1527</v>
      </c>
      <c r="G42" s="245">
        <v>1527</v>
      </c>
      <c r="H42" s="139">
        <v>1527</v>
      </c>
      <c r="I42" s="282">
        <f t="shared" si="1"/>
        <v>1</v>
      </c>
    </row>
    <row r="43" spans="1:9" ht="12.75">
      <c r="A43" s="29">
        <v>292</v>
      </c>
      <c r="B43" s="8" t="s">
        <v>31</v>
      </c>
      <c r="C43" s="32">
        <v>6800</v>
      </c>
      <c r="D43" s="182">
        <v>8200</v>
      </c>
      <c r="E43" s="182">
        <f>8200+2000</f>
        <v>10200</v>
      </c>
      <c r="F43" s="182">
        <v>10700</v>
      </c>
      <c r="G43" s="136">
        <v>10700</v>
      </c>
      <c r="H43" s="32">
        <v>5527</v>
      </c>
      <c r="I43" s="282">
        <f t="shared" si="1"/>
        <v>0.5165420560747663</v>
      </c>
    </row>
    <row r="44" spans="1:9" ht="12.75">
      <c r="A44" s="29">
        <v>292</v>
      </c>
      <c r="B44" s="8" t="s">
        <v>32</v>
      </c>
      <c r="C44" s="32">
        <v>2000</v>
      </c>
      <c r="D44" s="182">
        <v>2000</v>
      </c>
      <c r="E44" s="136">
        <v>2000</v>
      </c>
      <c r="F44" s="136">
        <v>2000</v>
      </c>
      <c r="G44" s="136">
        <v>2000</v>
      </c>
      <c r="H44" s="32">
        <v>921</v>
      </c>
      <c r="I44" s="282">
        <f t="shared" si="1"/>
        <v>0.4605</v>
      </c>
    </row>
    <row r="45" spans="1:9" ht="12.75">
      <c r="A45" s="29">
        <v>292</v>
      </c>
      <c r="B45" s="8" t="s">
        <v>33</v>
      </c>
      <c r="C45" s="32">
        <v>100</v>
      </c>
      <c r="D45" s="32">
        <v>100</v>
      </c>
      <c r="E45" s="32">
        <v>100</v>
      </c>
      <c r="F45" s="32">
        <v>100</v>
      </c>
      <c r="G45" s="32">
        <v>100</v>
      </c>
      <c r="H45" s="32">
        <v>60</v>
      </c>
      <c r="I45" s="282">
        <f t="shared" si="1"/>
        <v>0.6</v>
      </c>
    </row>
    <row r="46" spans="1:9" ht="12.75">
      <c r="A46" s="7">
        <v>292</v>
      </c>
      <c r="B46" s="8" t="s">
        <v>186</v>
      </c>
      <c r="C46" s="9">
        <v>12000</v>
      </c>
      <c r="D46" s="9">
        <v>12000</v>
      </c>
      <c r="E46" s="9">
        <v>12000</v>
      </c>
      <c r="F46" s="9">
        <v>12000</v>
      </c>
      <c r="G46" s="9">
        <v>12000</v>
      </c>
      <c r="H46" s="9">
        <v>8916</v>
      </c>
      <c r="I46" s="282">
        <f t="shared" si="1"/>
        <v>0.743</v>
      </c>
    </row>
    <row r="47" spans="1:9" ht="13.5" thickBot="1">
      <c r="A47" s="29">
        <v>292</v>
      </c>
      <c r="B47" s="30" t="s">
        <v>187</v>
      </c>
      <c r="C47" s="31">
        <v>2500</v>
      </c>
      <c r="D47" s="31">
        <v>2500</v>
      </c>
      <c r="E47" s="31">
        <v>2500</v>
      </c>
      <c r="F47" s="31">
        <v>2500</v>
      </c>
      <c r="G47" s="183">
        <v>3500</v>
      </c>
      <c r="H47" s="31">
        <v>2505</v>
      </c>
      <c r="I47" s="282">
        <f t="shared" si="1"/>
        <v>0.7157142857142857</v>
      </c>
    </row>
    <row r="48" spans="1:9" ht="13.5" thickBot="1">
      <c r="A48" s="33" t="s">
        <v>34</v>
      </c>
      <c r="B48" s="34"/>
      <c r="C48" s="140">
        <f aca="true" t="shared" si="5" ref="C48:H48">SUM(C49:C63)</f>
        <v>473565</v>
      </c>
      <c r="D48" s="140">
        <f t="shared" si="5"/>
        <v>496974</v>
      </c>
      <c r="E48" s="140">
        <f t="shared" si="5"/>
        <v>513233</v>
      </c>
      <c r="F48" s="140">
        <f t="shared" si="5"/>
        <v>517273</v>
      </c>
      <c r="G48" s="140">
        <f t="shared" si="5"/>
        <v>517383</v>
      </c>
      <c r="H48" s="140">
        <f t="shared" si="5"/>
        <v>450765</v>
      </c>
      <c r="I48" s="282">
        <f t="shared" si="1"/>
        <v>0.8712404543635952</v>
      </c>
    </row>
    <row r="49" spans="1:9" ht="12.75">
      <c r="A49" s="35">
        <v>311</v>
      </c>
      <c r="B49" s="5" t="s">
        <v>293</v>
      </c>
      <c r="C49" s="6">
        <v>0</v>
      </c>
      <c r="D49" s="6">
        <v>0</v>
      </c>
      <c r="E49" s="247">
        <f>2000+200</f>
        <v>2200</v>
      </c>
      <c r="F49" s="148">
        <f>2000+200</f>
        <v>2200</v>
      </c>
      <c r="G49" s="148">
        <f>2000+200</f>
        <v>2200</v>
      </c>
      <c r="H49" s="6">
        <v>2200</v>
      </c>
      <c r="I49" s="282">
        <f t="shared" si="1"/>
        <v>1</v>
      </c>
    </row>
    <row r="50" spans="1:9" ht="12.75">
      <c r="A50" s="141">
        <v>312</v>
      </c>
      <c r="B50" s="142" t="s">
        <v>36</v>
      </c>
      <c r="C50" s="143">
        <v>15600</v>
      </c>
      <c r="D50" s="143">
        <v>15600</v>
      </c>
      <c r="E50" s="143">
        <v>15600</v>
      </c>
      <c r="F50" s="143">
        <v>15600</v>
      </c>
      <c r="G50" s="143">
        <v>15600</v>
      </c>
      <c r="H50" s="143">
        <v>11290</v>
      </c>
      <c r="I50" s="282">
        <f t="shared" si="1"/>
        <v>0.7237179487179487</v>
      </c>
    </row>
    <row r="51" spans="1:9" ht="12.75">
      <c r="A51" s="144">
        <v>312</v>
      </c>
      <c r="B51" s="145" t="s">
        <v>200</v>
      </c>
      <c r="C51" s="146">
        <v>12000</v>
      </c>
      <c r="D51" s="185">
        <v>10000</v>
      </c>
      <c r="E51" s="185">
        <v>11400</v>
      </c>
      <c r="F51" s="146">
        <v>11400</v>
      </c>
      <c r="G51" s="146">
        <v>11400</v>
      </c>
      <c r="H51" s="146">
        <v>9992</v>
      </c>
      <c r="I51" s="282">
        <f t="shared" si="1"/>
        <v>0.8764912280701754</v>
      </c>
    </row>
    <row r="52" spans="1:9" ht="12.75">
      <c r="A52" s="35">
        <v>312</v>
      </c>
      <c r="B52" s="8" t="s">
        <v>37</v>
      </c>
      <c r="C52" s="6">
        <v>7200</v>
      </c>
      <c r="D52" s="6">
        <v>7200</v>
      </c>
      <c r="E52" s="6">
        <v>7200</v>
      </c>
      <c r="F52" s="6">
        <v>7200</v>
      </c>
      <c r="G52" s="6">
        <v>7200</v>
      </c>
      <c r="H52" s="6">
        <v>7715</v>
      </c>
      <c r="I52" s="282">
        <f t="shared" si="1"/>
        <v>1.0715277777777779</v>
      </c>
    </row>
    <row r="53" spans="1:9" ht="12.75">
      <c r="A53" s="35">
        <v>312</v>
      </c>
      <c r="B53" s="8" t="s">
        <v>327</v>
      </c>
      <c r="C53" s="6">
        <v>0</v>
      </c>
      <c r="D53" s="6">
        <v>0</v>
      </c>
      <c r="E53" s="6">
        <v>0</v>
      </c>
      <c r="F53" s="247">
        <v>72</v>
      </c>
      <c r="G53" s="247">
        <v>141</v>
      </c>
      <c r="H53" s="6">
        <v>71</v>
      </c>
      <c r="I53" s="282">
        <f t="shared" si="1"/>
        <v>0.5035460992907801</v>
      </c>
    </row>
    <row r="54" spans="1:9" ht="12.75">
      <c r="A54" s="35">
        <v>312</v>
      </c>
      <c r="B54" s="36" t="s">
        <v>38</v>
      </c>
      <c r="C54" s="147">
        <v>13500</v>
      </c>
      <c r="D54" s="260">
        <f>4100+9400+794</f>
        <v>14294</v>
      </c>
      <c r="E54" s="260">
        <f>4100+9400+794+12000</f>
        <v>26294</v>
      </c>
      <c r="F54" s="147">
        <f>4100+9400+794+12000</f>
        <v>26294</v>
      </c>
      <c r="G54" s="147">
        <f>4100+9400+794+12000</f>
        <v>26294</v>
      </c>
      <c r="H54" s="147">
        <f>4784+7455+5897+1</f>
        <v>18137</v>
      </c>
      <c r="I54" s="282">
        <f t="shared" si="1"/>
        <v>0.6897771354681677</v>
      </c>
    </row>
    <row r="55" spans="1:9" ht="12.75">
      <c r="A55" s="35">
        <v>312</v>
      </c>
      <c r="B55" s="36" t="s">
        <v>188</v>
      </c>
      <c r="C55" s="147">
        <v>44465</v>
      </c>
      <c r="D55" s="147">
        <v>44465</v>
      </c>
      <c r="E55" s="147">
        <v>44465</v>
      </c>
      <c r="F55" s="147">
        <v>44465</v>
      </c>
      <c r="G55" s="147">
        <v>44465</v>
      </c>
      <c r="H55" s="148">
        <v>20592</v>
      </c>
      <c r="I55" s="282">
        <f t="shared" si="1"/>
        <v>0.46310581356122793</v>
      </c>
    </row>
    <row r="56" spans="1:9" ht="12.75">
      <c r="A56" s="35">
        <v>312</v>
      </c>
      <c r="B56" s="36" t="s">
        <v>39</v>
      </c>
      <c r="C56" s="6">
        <v>10000</v>
      </c>
      <c r="D56" s="6">
        <v>10000</v>
      </c>
      <c r="E56" s="6">
        <v>10000</v>
      </c>
      <c r="F56" s="6">
        <v>10000</v>
      </c>
      <c r="G56" s="247">
        <v>10050</v>
      </c>
      <c r="H56" s="6">
        <v>10048</v>
      </c>
      <c r="I56" s="282">
        <f t="shared" si="1"/>
        <v>0.9998009950248756</v>
      </c>
    </row>
    <row r="57" spans="1:9" ht="12.75">
      <c r="A57" s="35">
        <v>312</v>
      </c>
      <c r="B57" s="36" t="s">
        <v>40</v>
      </c>
      <c r="C57" s="6">
        <v>18000</v>
      </c>
      <c r="D57" s="6">
        <v>18000</v>
      </c>
      <c r="E57" s="6">
        <v>18000</v>
      </c>
      <c r="F57" s="6">
        <v>18000</v>
      </c>
      <c r="G57" s="6">
        <v>18000</v>
      </c>
      <c r="H57" s="6">
        <v>18000</v>
      </c>
      <c r="I57" s="282">
        <f t="shared" si="1"/>
        <v>1</v>
      </c>
    </row>
    <row r="58" spans="1:9" ht="12.75">
      <c r="A58" s="35">
        <v>312</v>
      </c>
      <c r="B58" s="36" t="s">
        <v>41</v>
      </c>
      <c r="C58" s="6">
        <v>6400</v>
      </c>
      <c r="D58" s="6">
        <v>6400</v>
      </c>
      <c r="E58" s="6">
        <v>6400</v>
      </c>
      <c r="F58" s="6">
        <v>6400</v>
      </c>
      <c r="G58" s="247">
        <v>7400</v>
      </c>
      <c r="H58" s="148">
        <v>5219</v>
      </c>
      <c r="I58" s="282">
        <f t="shared" si="1"/>
        <v>0.7052702702702702</v>
      </c>
    </row>
    <row r="59" spans="1:9" ht="12.75">
      <c r="A59" s="35">
        <v>312</v>
      </c>
      <c r="B59" s="36" t="s">
        <v>209</v>
      </c>
      <c r="C59" s="6">
        <v>0</v>
      </c>
      <c r="D59" s="6">
        <v>0</v>
      </c>
      <c r="E59" s="247">
        <v>600</v>
      </c>
      <c r="F59" s="148">
        <v>600</v>
      </c>
      <c r="G59" s="148">
        <v>600</v>
      </c>
      <c r="H59" s="147">
        <v>600</v>
      </c>
      <c r="I59" s="282">
        <f t="shared" si="1"/>
        <v>1</v>
      </c>
    </row>
    <row r="60" spans="1:9" ht="12.75">
      <c r="A60" s="37">
        <v>312</v>
      </c>
      <c r="B60" s="8" t="s">
        <v>190</v>
      </c>
      <c r="C60" s="9">
        <v>3700</v>
      </c>
      <c r="D60" s="181">
        <v>3720</v>
      </c>
      <c r="E60" s="204">
        <v>3720</v>
      </c>
      <c r="F60" s="181">
        <f>3720+62</f>
        <v>3782</v>
      </c>
      <c r="G60" s="204">
        <f>3720+62</f>
        <v>3782</v>
      </c>
      <c r="H60" s="9">
        <v>3778</v>
      </c>
      <c r="I60" s="282">
        <f t="shared" si="1"/>
        <v>0.9989423585404548</v>
      </c>
    </row>
    <row r="61" spans="1:9" ht="12.75">
      <c r="A61" s="37">
        <v>312</v>
      </c>
      <c r="B61" s="38" t="s">
        <v>202</v>
      </c>
      <c r="C61" s="39">
        <v>3000</v>
      </c>
      <c r="D61" s="39">
        <v>3000</v>
      </c>
      <c r="E61" s="248">
        <v>3000</v>
      </c>
      <c r="F61" s="248">
        <v>3000</v>
      </c>
      <c r="G61" s="248">
        <v>3000</v>
      </c>
      <c r="H61" s="39">
        <v>2939</v>
      </c>
      <c r="I61" s="282">
        <f t="shared" si="1"/>
        <v>0.9796666666666667</v>
      </c>
    </row>
    <row r="62" spans="1:9" ht="12.75">
      <c r="A62" s="37">
        <v>312</v>
      </c>
      <c r="B62" s="40" t="s">
        <v>42</v>
      </c>
      <c r="C62" s="39">
        <v>2000</v>
      </c>
      <c r="D62" s="186">
        <v>2116</v>
      </c>
      <c r="E62" s="248">
        <v>2116</v>
      </c>
      <c r="F62" s="248">
        <v>2116</v>
      </c>
      <c r="G62" s="186">
        <v>2441</v>
      </c>
      <c r="H62" s="39">
        <v>2441</v>
      </c>
      <c r="I62" s="282">
        <f t="shared" si="1"/>
        <v>1</v>
      </c>
    </row>
    <row r="63" spans="1:9" ht="13.5" thickBot="1">
      <c r="A63" s="37">
        <v>312</v>
      </c>
      <c r="B63" s="41" t="s">
        <v>43</v>
      </c>
      <c r="C63" s="42">
        <v>337700</v>
      </c>
      <c r="D63" s="261">
        <v>362179</v>
      </c>
      <c r="E63" s="261">
        <f>362179+59</f>
        <v>362238</v>
      </c>
      <c r="F63" s="261">
        <f>362179+59+2600+1306</f>
        <v>366144</v>
      </c>
      <c r="G63" s="261">
        <f>362179+59+2600+1306-1334</f>
        <v>364810</v>
      </c>
      <c r="H63" s="42">
        <v>337743</v>
      </c>
      <c r="I63" s="282">
        <f t="shared" si="1"/>
        <v>0.9258052136728708</v>
      </c>
    </row>
    <row r="64" spans="1:9" ht="16.5" thickBot="1">
      <c r="A64" s="43" t="s">
        <v>44</v>
      </c>
      <c r="B64" s="44"/>
      <c r="C64" s="149">
        <f aca="true" t="shared" si="6" ref="C64:H64">SUM(C6+C14+C32+C34+C48)</f>
        <v>1378857</v>
      </c>
      <c r="D64" s="149">
        <f t="shared" si="6"/>
        <v>1409444</v>
      </c>
      <c r="E64" s="149">
        <f t="shared" si="6"/>
        <v>1440525</v>
      </c>
      <c r="F64" s="149">
        <f t="shared" si="6"/>
        <v>1451785</v>
      </c>
      <c r="G64" s="149">
        <f t="shared" si="6"/>
        <v>1458043</v>
      </c>
      <c r="H64" s="149">
        <f t="shared" si="6"/>
        <v>1287243</v>
      </c>
      <c r="I64" s="282">
        <f t="shared" si="1"/>
        <v>0.8828566784381531</v>
      </c>
    </row>
    <row r="65" spans="1:9" ht="16.5" thickBot="1">
      <c r="A65" s="45"/>
      <c r="B65" s="46" t="s">
        <v>45</v>
      </c>
      <c r="C65" s="150">
        <v>900</v>
      </c>
      <c r="D65" s="150">
        <v>900</v>
      </c>
      <c r="E65" s="150">
        <v>900</v>
      </c>
      <c r="F65" s="150">
        <v>900</v>
      </c>
      <c r="G65" s="281">
        <v>1032</v>
      </c>
      <c r="H65" s="150">
        <f>640+72+320</f>
        <v>1032</v>
      </c>
      <c r="I65" s="282">
        <f t="shared" si="1"/>
        <v>1</v>
      </c>
    </row>
    <row r="66" spans="1:9" ht="16.5" thickBot="1">
      <c r="A66" s="43" t="s">
        <v>46</v>
      </c>
      <c r="B66" s="34"/>
      <c r="C66" s="149">
        <f aca="true" t="shared" si="7" ref="C66:H66">SUM(C64:C65)</f>
        <v>1379757</v>
      </c>
      <c r="D66" s="149">
        <f t="shared" si="7"/>
        <v>1410344</v>
      </c>
      <c r="E66" s="149">
        <f t="shared" si="7"/>
        <v>1441425</v>
      </c>
      <c r="F66" s="149">
        <f t="shared" si="7"/>
        <v>1452685</v>
      </c>
      <c r="G66" s="149">
        <f t="shared" si="7"/>
        <v>1459075</v>
      </c>
      <c r="H66" s="149">
        <f t="shared" si="7"/>
        <v>1288275</v>
      </c>
      <c r="I66" s="282">
        <f t="shared" si="1"/>
        <v>0.8829395336086219</v>
      </c>
    </row>
    <row r="67" spans="1:8" ht="15.75">
      <c r="A67" s="47"/>
      <c r="B67" s="48"/>
      <c r="C67" s="48"/>
      <c r="D67" s="49"/>
      <c r="E67" s="49"/>
      <c r="F67" s="49"/>
      <c r="G67" s="49"/>
      <c r="H67" s="49"/>
    </row>
    <row r="68" spans="1:8" ht="16.5" thickBot="1">
      <c r="A68" s="47"/>
      <c r="B68" s="48"/>
      <c r="C68" s="48"/>
      <c r="D68" s="48"/>
      <c r="E68" s="48"/>
      <c r="F68" s="48"/>
      <c r="G68" s="48"/>
      <c r="H68" s="48"/>
    </row>
    <row r="69" spans="1:8" ht="32.25" customHeight="1" thickBot="1">
      <c r="A69" s="307" t="s">
        <v>47</v>
      </c>
      <c r="B69" s="308"/>
      <c r="C69" s="308"/>
      <c r="D69" s="308"/>
      <c r="E69" s="308"/>
      <c r="F69" s="308"/>
      <c r="G69" s="308"/>
      <c r="H69" s="309"/>
    </row>
    <row r="70" spans="1:8" ht="12.75" customHeight="1">
      <c r="A70" s="301" t="s">
        <v>1</v>
      </c>
      <c r="B70" s="302"/>
      <c r="C70" s="305" t="s">
        <v>207</v>
      </c>
      <c r="D70" s="305" t="s">
        <v>276</v>
      </c>
      <c r="E70" s="305" t="s">
        <v>277</v>
      </c>
      <c r="F70" s="305" t="s">
        <v>325</v>
      </c>
      <c r="G70" s="305" t="s">
        <v>360</v>
      </c>
      <c r="H70" s="305" t="s">
        <v>379</v>
      </c>
    </row>
    <row r="71" spans="1:8" ht="13.5" thickBot="1">
      <c r="A71" s="303"/>
      <c r="B71" s="304"/>
      <c r="C71" s="306"/>
      <c r="D71" s="306"/>
      <c r="E71" s="306"/>
      <c r="F71" s="306"/>
      <c r="G71" s="306"/>
      <c r="H71" s="306"/>
    </row>
    <row r="72" spans="1:9" ht="13.5" thickBot="1">
      <c r="A72" s="50" t="s">
        <v>48</v>
      </c>
      <c r="B72" s="51"/>
      <c r="C72" s="151">
        <f aca="true" t="shared" si="8" ref="C72:H72">SUM(C73:C76)</f>
        <v>192000</v>
      </c>
      <c r="D72" s="151">
        <f t="shared" si="8"/>
        <v>191950</v>
      </c>
      <c r="E72" s="151">
        <f t="shared" si="8"/>
        <v>193900</v>
      </c>
      <c r="F72" s="151">
        <f t="shared" si="8"/>
        <v>193962</v>
      </c>
      <c r="G72" s="151">
        <f t="shared" si="8"/>
        <v>194562</v>
      </c>
      <c r="H72" s="151">
        <f t="shared" si="8"/>
        <v>145824</v>
      </c>
      <c r="I72" s="283">
        <f>H72/G72</f>
        <v>0.7494988743947945</v>
      </c>
    </row>
    <row r="73" spans="1:9" ht="12.75">
      <c r="A73" s="52" t="s">
        <v>49</v>
      </c>
      <c r="B73" s="53" t="s">
        <v>50</v>
      </c>
      <c r="C73" s="152">
        <v>148300</v>
      </c>
      <c r="D73" s="152">
        <v>148300</v>
      </c>
      <c r="E73" s="250">
        <f>148300+500</f>
        <v>148800</v>
      </c>
      <c r="F73" s="152">
        <f>148300+500</f>
        <v>148800</v>
      </c>
      <c r="G73" s="250">
        <f>148300+500+1000-100</f>
        <v>149700</v>
      </c>
      <c r="H73" s="152">
        <f>108968+450</f>
        <v>109418</v>
      </c>
      <c r="I73" s="283">
        <f aca="true" t="shared" si="9" ref="I73:I129">H73/G73</f>
        <v>0.7309151636606547</v>
      </c>
    </row>
    <row r="74" spans="1:9" ht="12.75">
      <c r="A74" s="54" t="s">
        <v>51</v>
      </c>
      <c r="B74" s="36" t="s">
        <v>52</v>
      </c>
      <c r="C74" s="153">
        <v>28000</v>
      </c>
      <c r="D74" s="205">
        <f>28000+1000</f>
        <v>29000</v>
      </c>
      <c r="E74" s="153">
        <f>28000+1000</f>
        <v>29000</v>
      </c>
      <c r="F74" s="153">
        <f>28000+1000</f>
        <v>29000</v>
      </c>
      <c r="G74" s="205">
        <f>28000+1000+100-100-300</f>
        <v>28700</v>
      </c>
      <c r="H74" s="153">
        <v>22751</v>
      </c>
      <c r="I74" s="283">
        <f t="shared" si="9"/>
        <v>0.7927177700348432</v>
      </c>
    </row>
    <row r="75" spans="1:9" ht="12.75">
      <c r="A75" s="56" t="s">
        <v>53</v>
      </c>
      <c r="B75" s="36" t="s">
        <v>54</v>
      </c>
      <c r="C75" s="153">
        <v>3700</v>
      </c>
      <c r="D75" s="234">
        <f>3700+20+930</f>
        <v>4650</v>
      </c>
      <c r="E75" s="234">
        <f>3700+20+930+50</f>
        <v>4700</v>
      </c>
      <c r="F75" s="234">
        <f>3700+20+930+50+62</f>
        <v>4762</v>
      </c>
      <c r="G75" s="277">
        <f>3700+20+930+50+62</f>
        <v>4762</v>
      </c>
      <c r="H75" s="153">
        <v>4426</v>
      </c>
      <c r="I75" s="283">
        <f t="shared" si="9"/>
        <v>0.9294414111717766</v>
      </c>
    </row>
    <row r="76" spans="1:9" ht="13.5" thickBot="1">
      <c r="A76" s="57" t="s">
        <v>55</v>
      </c>
      <c r="B76" s="58" t="s">
        <v>56</v>
      </c>
      <c r="C76" s="154">
        <v>12000</v>
      </c>
      <c r="D76" s="235">
        <v>10000</v>
      </c>
      <c r="E76" s="235">
        <v>11400</v>
      </c>
      <c r="F76" s="269">
        <v>11400</v>
      </c>
      <c r="G76" s="269">
        <v>11400</v>
      </c>
      <c r="H76" s="154">
        <v>9229</v>
      </c>
      <c r="I76" s="283">
        <f t="shared" si="9"/>
        <v>0.8095614035087719</v>
      </c>
    </row>
    <row r="77" spans="1:9" ht="13.5" thickBot="1">
      <c r="A77" s="312" t="s">
        <v>57</v>
      </c>
      <c r="B77" s="313"/>
      <c r="C77" s="151">
        <f aca="true" t="shared" si="10" ref="C77:H77">SUM(C78)</f>
        <v>160</v>
      </c>
      <c r="D77" s="151">
        <f t="shared" si="10"/>
        <v>160</v>
      </c>
      <c r="E77" s="151">
        <f t="shared" si="10"/>
        <v>172</v>
      </c>
      <c r="F77" s="151">
        <f t="shared" si="10"/>
        <v>172</v>
      </c>
      <c r="G77" s="151">
        <f t="shared" si="10"/>
        <v>172</v>
      </c>
      <c r="H77" s="151">
        <f t="shared" si="10"/>
        <v>86</v>
      </c>
      <c r="I77" s="283">
        <f t="shared" si="9"/>
        <v>0.5</v>
      </c>
    </row>
    <row r="78" spans="1:9" ht="13.5" thickBot="1">
      <c r="A78" s="59" t="s">
        <v>58</v>
      </c>
      <c r="B78" s="48" t="s">
        <v>59</v>
      </c>
      <c r="C78" s="155">
        <v>160</v>
      </c>
      <c r="D78" s="155">
        <v>160</v>
      </c>
      <c r="E78" s="251">
        <v>172</v>
      </c>
      <c r="F78" s="155">
        <v>172</v>
      </c>
      <c r="G78" s="155">
        <v>172</v>
      </c>
      <c r="H78" s="155">
        <v>86</v>
      </c>
      <c r="I78" s="283">
        <f t="shared" si="9"/>
        <v>0.5</v>
      </c>
    </row>
    <row r="79" spans="1:9" ht="13.5" thickBot="1">
      <c r="A79" s="312" t="s">
        <v>60</v>
      </c>
      <c r="B79" s="313"/>
      <c r="C79" s="151">
        <f aca="true" t="shared" si="11" ref="C79:H79">SUM(C80)</f>
        <v>11400</v>
      </c>
      <c r="D79" s="151">
        <f t="shared" si="11"/>
        <v>11400</v>
      </c>
      <c r="E79" s="151">
        <f t="shared" si="11"/>
        <v>11400</v>
      </c>
      <c r="F79" s="151">
        <f t="shared" si="11"/>
        <v>11400</v>
      </c>
      <c r="G79" s="151">
        <f t="shared" si="11"/>
        <v>11400</v>
      </c>
      <c r="H79" s="151">
        <f t="shared" si="11"/>
        <v>9131</v>
      </c>
      <c r="I79" s="283">
        <f t="shared" si="9"/>
        <v>0.8009649122807018</v>
      </c>
    </row>
    <row r="80" spans="1:9" ht="13.5" thickBot="1">
      <c r="A80" s="60" t="s">
        <v>61</v>
      </c>
      <c r="B80" s="61" t="s">
        <v>326</v>
      </c>
      <c r="C80" s="62">
        <v>11400</v>
      </c>
      <c r="D80" s="62">
        <v>11400</v>
      </c>
      <c r="E80" s="62">
        <v>11400</v>
      </c>
      <c r="F80" s="62">
        <v>11400</v>
      </c>
      <c r="G80" s="62">
        <v>11400</v>
      </c>
      <c r="H80" s="62">
        <v>9131</v>
      </c>
      <c r="I80" s="283">
        <f t="shared" si="9"/>
        <v>0.8009649122807018</v>
      </c>
    </row>
    <row r="81" spans="1:9" ht="13.5" thickBot="1">
      <c r="A81" s="50" t="s">
        <v>63</v>
      </c>
      <c r="B81" s="63"/>
      <c r="C81" s="151">
        <f aca="true" t="shared" si="12" ref="C81:H81">SUM(C82:C87)</f>
        <v>176582</v>
      </c>
      <c r="D81" s="151">
        <f t="shared" si="12"/>
        <v>181582</v>
      </c>
      <c r="E81" s="151">
        <f t="shared" si="12"/>
        <v>182642</v>
      </c>
      <c r="F81" s="151">
        <f t="shared" si="12"/>
        <v>178642</v>
      </c>
      <c r="G81" s="151">
        <f t="shared" si="12"/>
        <v>183840</v>
      </c>
      <c r="H81" s="151">
        <f t="shared" si="12"/>
        <v>142520</v>
      </c>
      <c r="I81" s="283">
        <f t="shared" si="9"/>
        <v>0.7752393385552655</v>
      </c>
    </row>
    <row r="82" spans="1:9" ht="12.75">
      <c r="A82" s="64" t="s">
        <v>64</v>
      </c>
      <c r="B82" s="27" t="s">
        <v>65</v>
      </c>
      <c r="C82" s="28">
        <v>1500</v>
      </c>
      <c r="D82" s="28">
        <v>1500</v>
      </c>
      <c r="E82" s="28">
        <v>1500</v>
      </c>
      <c r="F82" s="28">
        <v>1500</v>
      </c>
      <c r="G82" s="28">
        <v>1500</v>
      </c>
      <c r="H82" s="28">
        <v>860</v>
      </c>
      <c r="I82" s="283">
        <f t="shared" si="9"/>
        <v>0.5733333333333334</v>
      </c>
    </row>
    <row r="83" spans="1:9" ht="12.75">
      <c r="A83" s="56" t="s">
        <v>66</v>
      </c>
      <c r="B83" s="36" t="s">
        <v>67</v>
      </c>
      <c r="C83" s="153">
        <v>12600</v>
      </c>
      <c r="D83" s="153">
        <v>12600</v>
      </c>
      <c r="E83" s="153">
        <v>12600</v>
      </c>
      <c r="F83" s="153">
        <v>12600</v>
      </c>
      <c r="G83" s="205">
        <f>12600+2400</f>
        <v>15000</v>
      </c>
      <c r="H83" s="153">
        <f>20149-6417</f>
        <v>13732</v>
      </c>
      <c r="I83" s="283">
        <f t="shared" si="9"/>
        <v>0.9154666666666667</v>
      </c>
    </row>
    <row r="84" spans="1:9" ht="12.75">
      <c r="A84" s="56" t="s">
        <v>66</v>
      </c>
      <c r="B84" s="36" t="s">
        <v>168</v>
      </c>
      <c r="C84" s="153">
        <f>21140-C83</f>
        <v>8540</v>
      </c>
      <c r="D84" s="153">
        <f>21140-D83</f>
        <v>8540</v>
      </c>
      <c r="E84" s="183">
        <v>8640</v>
      </c>
      <c r="F84" s="31">
        <v>8640</v>
      </c>
      <c r="G84" s="31">
        <v>8640</v>
      </c>
      <c r="H84" s="153">
        <v>6417</v>
      </c>
      <c r="I84" s="283">
        <f t="shared" si="9"/>
        <v>0.7427083333333333</v>
      </c>
    </row>
    <row r="85" spans="1:10" ht="12.75">
      <c r="A85" s="56" t="s">
        <v>66</v>
      </c>
      <c r="B85" s="36" t="s">
        <v>191</v>
      </c>
      <c r="C85" s="153">
        <v>300</v>
      </c>
      <c r="D85" s="153">
        <v>300</v>
      </c>
      <c r="E85" s="153">
        <v>300</v>
      </c>
      <c r="F85" s="153">
        <v>300</v>
      </c>
      <c r="G85" s="153">
        <v>300</v>
      </c>
      <c r="H85" s="153">
        <v>0</v>
      </c>
      <c r="I85" s="283">
        <f t="shared" si="9"/>
        <v>0</v>
      </c>
      <c r="J85" s="114">
        <f>SUM(H83:H85)</f>
        <v>20149</v>
      </c>
    </row>
    <row r="86" spans="1:9" ht="12.75">
      <c r="A86" s="56" t="s">
        <v>68</v>
      </c>
      <c r="B86" s="36" t="s">
        <v>69</v>
      </c>
      <c r="C86" s="31">
        <v>47500</v>
      </c>
      <c r="D86" s="31">
        <v>47500</v>
      </c>
      <c r="E86" s="31">
        <v>47500</v>
      </c>
      <c r="F86" s="31">
        <v>47500</v>
      </c>
      <c r="G86" s="31">
        <v>47500</v>
      </c>
      <c r="H86" s="31">
        <v>38940</v>
      </c>
      <c r="I86" s="283">
        <f t="shared" si="9"/>
        <v>0.8197894736842105</v>
      </c>
    </row>
    <row r="87" spans="1:9" ht="13.5" thickBot="1">
      <c r="A87" s="66" t="s">
        <v>70</v>
      </c>
      <c r="B87" s="67" t="s">
        <v>192</v>
      </c>
      <c r="C87" s="156">
        <v>106142</v>
      </c>
      <c r="D87" s="236">
        <f>106142+3000+2000</f>
        <v>111142</v>
      </c>
      <c r="E87" s="236">
        <v>112102</v>
      </c>
      <c r="F87" s="236">
        <f>112102-4000</f>
        <v>108102</v>
      </c>
      <c r="G87" s="236">
        <f>112102-4000+48+1250+1500</f>
        <v>110900</v>
      </c>
      <c r="H87" s="156">
        <v>82571</v>
      </c>
      <c r="I87" s="283">
        <f t="shared" si="9"/>
        <v>0.7445536519386835</v>
      </c>
    </row>
    <row r="88" spans="1:9" ht="13.5" thickBot="1">
      <c r="A88" s="50" t="s">
        <v>71</v>
      </c>
      <c r="B88" s="51"/>
      <c r="C88" s="151">
        <f aca="true" t="shared" si="13" ref="C88:H88">SUM(C89:C91)</f>
        <v>120808</v>
      </c>
      <c r="D88" s="151">
        <f t="shared" si="13"/>
        <v>114048</v>
      </c>
      <c r="E88" s="151">
        <f t="shared" si="13"/>
        <v>110948</v>
      </c>
      <c r="F88" s="151">
        <f t="shared" si="13"/>
        <v>111448</v>
      </c>
      <c r="G88" s="151">
        <f t="shared" si="13"/>
        <v>111448</v>
      </c>
      <c r="H88" s="151">
        <f t="shared" si="13"/>
        <v>74466</v>
      </c>
      <c r="I88" s="283">
        <f t="shared" si="9"/>
        <v>0.6681681142775105</v>
      </c>
    </row>
    <row r="89" spans="1:9" ht="12.75">
      <c r="A89" s="68" t="s">
        <v>72</v>
      </c>
      <c r="B89" s="69" t="s">
        <v>201</v>
      </c>
      <c r="C89" s="157">
        <v>63978</v>
      </c>
      <c r="D89" s="237">
        <f>63978+1740+400+200+800+100</f>
        <v>67218</v>
      </c>
      <c r="E89" s="237">
        <v>68118</v>
      </c>
      <c r="F89" s="270">
        <v>68118</v>
      </c>
      <c r="G89" s="270">
        <v>68118</v>
      </c>
      <c r="H89" s="157">
        <v>37412</v>
      </c>
      <c r="I89" s="283">
        <f t="shared" si="9"/>
        <v>0.5492234064417628</v>
      </c>
    </row>
    <row r="90" spans="1:9" ht="12.75">
      <c r="A90" s="59" t="s">
        <v>73</v>
      </c>
      <c r="B90" s="71" t="s">
        <v>74</v>
      </c>
      <c r="C90" s="154">
        <v>48630</v>
      </c>
      <c r="D90" s="203">
        <v>38630</v>
      </c>
      <c r="E90" s="154">
        <v>38630</v>
      </c>
      <c r="F90" s="203">
        <f>38630+500</f>
        <v>39130</v>
      </c>
      <c r="G90" s="154">
        <f>38630+500</f>
        <v>39130</v>
      </c>
      <c r="H90" s="154">
        <v>34570</v>
      </c>
      <c r="I90" s="283">
        <f t="shared" si="9"/>
        <v>0.8834653718374649</v>
      </c>
    </row>
    <row r="91" spans="1:9" ht="13.5" thickBot="1">
      <c r="A91" s="72" t="s">
        <v>75</v>
      </c>
      <c r="B91" s="73" t="s">
        <v>76</v>
      </c>
      <c r="C91" s="158">
        <f>6400+1800</f>
        <v>8200</v>
      </c>
      <c r="D91" s="158">
        <f>6400+1800</f>
        <v>8200</v>
      </c>
      <c r="E91" s="207">
        <f>6400+1800-4000</f>
        <v>4200</v>
      </c>
      <c r="F91" s="158">
        <f>6400+1800-4000</f>
        <v>4200</v>
      </c>
      <c r="G91" s="158">
        <f>6400+1800-4000</f>
        <v>4200</v>
      </c>
      <c r="H91" s="158">
        <v>2484</v>
      </c>
      <c r="I91" s="283">
        <f t="shared" si="9"/>
        <v>0.5914285714285714</v>
      </c>
    </row>
    <row r="92" spans="1:9" ht="13.5" thickBot="1">
      <c r="A92" s="50" t="s">
        <v>77</v>
      </c>
      <c r="B92" s="63"/>
      <c r="C92" s="151">
        <f aca="true" t="shared" si="14" ref="C92:H92">SUM(C93)</f>
        <v>15500</v>
      </c>
      <c r="D92" s="151">
        <f t="shared" si="14"/>
        <v>16800</v>
      </c>
      <c r="E92" s="151">
        <f t="shared" si="14"/>
        <v>16800</v>
      </c>
      <c r="F92" s="151">
        <f t="shared" si="14"/>
        <v>16800</v>
      </c>
      <c r="G92" s="151">
        <f t="shared" si="14"/>
        <v>16800</v>
      </c>
      <c r="H92" s="151">
        <f t="shared" si="14"/>
        <v>15276</v>
      </c>
      <c r="I92" s="283">
        <f t="shared" si="9"/>
        <v>0.9092857142857143</v>
      </c>
    </row>
    <row r="93" spans="1:9" ht="13.5" thickBot="1">
      <c r="A93" s="74" t="s">
        <v>78</v>
      </c>
      <c r="B93" s="67" t="s">
        <v>79</v>
      </c>
      <c r="C93" s="83">
        <v>15500</v>
      </c>
      <c r="D93" s="238">
        <f>15500+1300</f>
        <v>16800</v>
      </c>
      <c r="E93" s="252">
        <f>15500+1300</f>
        <v>16800</v>
      </c>
      <c r="F93" s="252">
        <f>15500+1300</f>
        <v>16800</v>
      </c>
      <c r="G93" s="252">
        <f>15500+1300</f>
        <v>16800</v>
      </c>
      <c r="H93" s="83">
        <v>15276</v>
      </c>
      <c r="I93" s="283">
        <f t="shared" si="9"/>
        <v>0.9092857142857143</v>
      </c>
    </row>
    <row r="94" spans="1:9" ht="13.5" thickBot="1">
      <c r="A94" s="75" t="s">
        <v>80</v>
      </c>
      <c r="B94" s="51"/>
      <c r="C94" s="151">
        <f aca="true" t="shared" si="15" ref="C94:H94">SUM(C95:C109)</f>
        <v>77100</v>
      </c>
      <c r="D94" s="151">
        <f t="shared" si="15"/>
        <v>77700</v>
      </c>
      <c r="E94" s="151">
        <f t="shared" si="15"/>
        <v>91700</v>
      </c>
      <c r="F94" s="151">
        <f t="shared" si="15"/>
        <v>97420</v>
      </c>
      <c r="G94" s="151">
        <f t="shared" si="15"/>
        <v>97820</v>
      </c>
      <c r="H94" s="151">
        <f t="shared" si="15"/>
        <v>85381</v>
      </c>
      <c r="I94" s="283">
        <f t="shared" si="9"/>
        <v>0.8728378654671847</v>
      </c>
    </row>
    <row r="95" spans="1:9" ht="13.5" thickBot="1">
      <c r="A95" s="72" t="s">
        <v>81</v>
      </c>
      <c r="B95" s="73" t="s">
        <v>288</v>
      </c>
      <c r="C95" s="158">
        <v>7000</v>
      </c>
      <c r="D95" s="158">
        <v>7000</v>
      </c>
      <c r="E95" s="207">
        <v>9000</v>
      </c>
      <c r="F95" s="158">
        <v>9000</v>
      </c>
      <c r="G95" s="158">
        <v>9000</v>
      </c>
      <c r="H95" s="158">
        <v>7557</v>
      </c>
      <c r="I95" s="283">
        <f t="shared" si="9"/>
        <v>0.8396666666666667</v>
      </c>
    </row>
    <row r="96" spans="1:9" ht="12.75">
      <c r="A96" s="76" t="s">
        <v>81</v>
      </c>
      <c r="B96" s="53" t="s">
        <v>83</v>
      </c>
      <c r="C96" s="152">
        <v>7000</v>
      </c>
      <c r="D96" s="152">
        <v>7000</v>
      </c>
      <c r="E96" s="152">
        <v>7000</v>
      </c>
      <c r="F96" s="152">
        <v>7000</v>
      </c>
      <c r="G96" s="152">
        <v>7000</v>
      </c>
      <c r="H96" s="152">
        <v>7000</v>
      </c>
      <c r="I96" s="283">
        <f t="shared" si="9"/>
        <v>1</v>
      </c>
    </row>
    <row r="97" spans="1:9" ht="12.75">
      <c r="A97" s="76" t="s">
        <v>84</v>
      </c>
      <c r="B97" s="77" t="s">
        <v>85</v>
      </c>
      <c r="C97" s="28">
        <v>17300</v>
      </c>
      <c r="D97" s="28">
        <v>17300</v>
      </c>
      <c r="E97" s="28">
        <v>17300</v>
      </c>
      <c r="F97" s="28">
        <v>17300</v>
      </c>
      <c r="G97" s="28">
        <v>17300</v>
      </c>
      <c r="H97" s="28">
        <v>15057</v>
      </c>
      <c r="I97" s="283">
        <f t="shared" si="9"/>
        <v>0.8703468208092485</v>
      </c>
    </row>
    <row r="98" spans="1:9" ht="12.75">
      <c r="A98" s="56" t="s">
        <v>86</v>
      </c>
      <c r="B98" s="78" t="s">
        <v>87</v>
      </c>
      <c r="C98" s="153">
        <v>1200</v>
      </c>
      <c r="D98" s="153">
        <v>1200</v>
      </c>
      <c r="E98" s="153">
        <v>1200</v>
      </c>
      <c r="F98" s="153">
        <v>1200</v>
      </c>
      <c r="G98" s="153">
        <v>1200</v>
      </c>
      <c r="H98" s="153">
        <v>689</v>
      </c>
      <c r="I98" s="283">
        <f t="shared" si="9"/>
        <v>0.5741666666666667</v>
      </c>
    </row>
    <row r="99" spans="1:9" ht="13.5" thickBot="1">
      <c r="A99" s="72" t="s">
        <v>88</v>
      </c>
      <c r="B99" s="73" t="s">
        <v>89</v>
      </c>
      <c r="C99" s="158">
        <v>1000</v>
      </c>
      <c r="D99" s="158">
        <v>1000</v>
      </c>
      <c r="E99" s="158">
        <v>1000</v>
      </c>
      <c r="F99" s="158">
        <v>1000</v>
      </c>
      <c r="G99" s="158">
        <v>1000</v>
      </c>
      <c r="H99" s="158">
        <v>425</v>
      </c>
      <c r="I99" s="283">
        <f t="shared" si="9"/>
        <v>0.425</v>
      </c>
    </row>
    <row r="100" spans="1:9" ht="12.75">
      <c r="A100" s="56" t="s">
        <v>90</v>
      </c>
      <c r="B100" s="36" t="s">
        <v>91</v>
      </c>
      <c r="C100" s="153">
        <v>200</v>
      </c>
      <c r="D100" s="153">
        <v>200</v>
      </c>
      <c r="E100" s="153">
        <v>200</v>
      </c>
      <c r="F100" s="153">
        <v>200</v>
      </c>
      <c r="G100" s="153">
        <v>200</v>
      </c>
      <c r="H100" s="153">
        <v>193</v>
      </c>
      <c r="I100" s="283">
        <f t="shared" si="9"/>
        <v>0.965</v>
      </c>
    </row>
    <row r="101" spans="1:9" ht="12.75">
      <c r="A101" s="56" t="s">
        <v>90</v>
      </c>
      <c r="B101" s="36" t="s">
        <v>92</v>
      </c>
      <c r="C101" s="153">
        <v>1000</v>
      </c>
      <c r="D101" s="205">
        <f>1000+200</f>
        <v>1200</v>
      </c>
      <c r="E101" s="153">
        <f>1000+200</f>
        <v>1200</v>
      </c>
      <c r="F101" s="153">
        <f>1000+200</f>
        <v>1200</v>
      </c>
      <c r="G101" s="153">
        <f>1000+200</f>
        <v>1200</v>
      </c>
      <c r="H101" s="153">
        <v>1180</v>
      </c>
      <c r="I101" s="283">
        <f t="shared" si="9"/>
        <v>0.9833333333333333</v>
      </c>
    </row>
    <row r="102" spans="1:9" ht="12.75">
      <c r="A102" s="56" t="s">
        <v>90</v>
      </c>
      <c r="B102" s="36" t="s">
        <v>289</v>
      </c>
      <c r="C102" s="153">
        <v>2000</v>
      </c>
      <c r="D102" s="153">
        <v>2000</v>
      </c>
      <c r="E102" s="205">
        <f>900+600</f>
        <v>1500</v>
      </c>
      <c r="F102" s="153">
        <f>900+600</f>
        <v>1500</v>
      </c>
      <c r="G102" s="153">
        <f>900+600</f>
        <v>1500</v>
      </c>
      <c r="H102" s="153">
        <v>1437</v>
      </c>
      <c r="I102" s="283">
        <f t="shared" si="9"/>
        <v>0.958</v>
      </c>
    </row>
    <row r="103" spans="1:9" ht="12.75">
      <c r="A103" s="56" t="s">
        <v>90</v>
      </c>
      <c r="B103" s="36" t="s">
        <v>94</v>
      </c>
      <c r="C103" s="153">
        <v>12000</v>
      </c>
      <c r="D103" s="153">
        <v>12000</v>
      </c>
      <c r="E103" s="205">
        <v>13200</v>
      </c>
      <c r="F103" s="205">
        <f>13200-300</f>
        <v>12900</v>
      </c>
      <c r="G103" s="153">
        <f>13200-300</f>
        <v>12900</v>
      </c>
      <c r="H103" s="153">
        <v>12729</v>
      </c>
      <c r="I103" s="283">
        <f t="shared" si="9"/>
        <v>0.9867441860465116</v>
      </c>
    </row>
    <row r="104" spans="1:9" ht="12.75">
      <c r="A104" s="56" t="s">
        <v>90</v>
      </c>
      <c r="B104" s="36" t="s">
        <v>249</v>
      </c>
      <c r="C104" s="153">
        <v>200</v>
      </c>
      <c r="D104" s="205">
        <f>200+100</f>
        <v>300</v>
      </c>
      <c r="E104" s="205">
        <f>200+200+6000</f>
        <v>6400</v>
      </c>
      <c r="F104" s="205">
        <f>200+200+6000+6720-200</f>
        <v>12920</v>
      </c>
      <c r="G104" s="153">
        <f>200+200+6000+6720-200</f>
        <v>12920</v>
      </c>
      <c r="H104" s="153">
        <f>120+12720</f>
        <v>12840</v>
      </c>
      <c r="I104" s="283">
        <f t="shared" si="9"/>
        <v>0.9938080495356038</v>
      </c>
    </row>
    <row r="105" spans="1:9" ht="12.75">
      <c r="A105" s="56" t="s">
        <v>90</v>
      </c>
      <c r="B105" s="36" t="s">
        <v>386</v>
      </c>
      <c r="C105" s="153">
        <v>700</v>
      </c>
      <c r="D105" s="153">
        <v>700</v>
      </c>
      <c r="E105" s="153">
        <v>700</v>
      </c>
      <c r="F105" s="153">
        <v>700</v>
      </c>
      <c r="G105" s="205">
        <f>700+100+300</f>
        <v>1100</v>
      </c>
      <c r="H105" s="153">
        <v>700</v>
      </c>
      <c r="I105" s="283">
        <f t="shared" si="9"/>
        <v>0.6363636363636364</v>
      </c>
    </row>
    <row r="106" spans="1:9" ht="13.5" thickBot="1">
      <c r="A106" s="72" t="s">
        <v>90</v>
      </c>
      <c r="B106" s="73" t="s">
        <v>194</v>
      </c>
      <c r="C106" s="158">
        <v>13000</v>
      </c>
      <c r="D106" s="158">
        <v>13000</v>
      </c>
      <c r="E106" s="207">
        <f>13000+3000</f>
        <v>16000</v>
      </c>
      <c r="F106" s="158">
        <f>13000+3000</f>
        <v>16000</v>
      </c>
      <c r="G106" s="158">
        <f>13000+3000</f>
        <v>16000</v>
      </c>
      <c r="H106" s="158">
        <v>15995</v>
      </c>
      <c r="I106" s="283">
        <f t="shared" si="9"/>
        <v>0.9996875</v>
      </c>
    </row>
    <row r="107" spans="1:9" ht="12.75">
      <c r="A107" s="68" t="s">
        <v>97</v>
      </c>
      <c r="B107" s="69" t="s">
        <v>98</v>
      </c>
      <c r="C107" s="157">
        <v>3300</v>
      </c>
      <c r="D107" s="157">
        <v>3300</v>
      </c>
      <c r="E107" s="157">
        <v>3300</v>
      </c>
      <c r="F107" s="157">
        <v>3300</v>
      </c>
      <c r="G107" s="157">
        <v>3300</v>
      </c>
      <c r="H107" s="157">
        <v>1679</v>
      </c>
      <c r="I107" s="283">
        <f t="shared" si="9"/>
        <v>0.5087878787878788</v>
      </c>
    </row>
    <row r="108" spans="1:9" ht="12.75">
      <c r="A108" s="76" t="s">
        <v>99</v>
      </c>
      <c r="B108" s="53" t="s">
        <v>100</v>
      </c>
      <c r="C108" s="152">
        <v>8500</v>
      </c>
      <c r="D108" s="152">
        <v>8500</v>
      </c>
      <c r="E108" s="152">
        <v>8500</v>
      </c>
      <c r="F108" s="250">
        <f>8500-1000</f>
        <v>7500</v>
      </c>
      <c r="G108" s="152">
        <f>8500-1000</f>
        <v>7500</v>
      </c>
      <c r="H108" s="152">
        <v>4349</v>
      </c>
      <c r="I108" s="283">
        <f t="shared" si="9"/>
        <v>0.5798666666666666</v>
      </c>
    </row>
    <row r="109" spans="1:9" ht="13.5" thickBot="1">
      <c r="A109" s="72" t="s">
        <v>101</v>
      </c>
      <c r="B109" s="73" t="s">
        <v>195</v>
      </c>
      <c r="C109" s="158">
        <v>2700</v>
      </c>
      <c r="D109" s="207">
        <f>2700+300</f>
        <v>3000</v>
      </c>
      <c r="E109" s="207">
        <f>2700+300+1700+350+150</f>
        <v>5200</v>
      </c>
      <c r="F109" s="207">
        <f>2700+300+1700+350+150+200+200+100</f>
        <v>5700</v>
      </c>
      <c r="G109" s="158">
        <f>2700+300+1700+350+150+200+200+100</f>
        <v>5700</v>
      </c>
      <c r="H109" s="158">
        <v>3551</v>
      </c>
      <c r="I109" s="283">
        <f t="shared" si="9"/>
        <v>0.6229824561403509</v>
      </c>
    </row>
    <row r="110" spans="1:9" ht="13.5" thickBot="1">
      <c r="A110" s="312" t="s">
        <v>102</v>
      </c>
      <c r="B110" s="313"/>
      <c r="C110" s="151">
        <f aca="true" t="shared" si="16" ref="C110:H110">SUM(C111:C114)</f>
        <v>300500</v>
      </c>
      <c r="D110" s="151">
        <f t="shared" si="16"/>
        <v>300500</v>
      </c>
      <c r="E110" s="151">
        <f t="shared" si="16"/>
        <v>304500</v>
      </c>
      <c r="F110" s="151">
        <f t="shared" si="16"/>
        <v>303680</v>
      </c>
      <c r="G110" s="151">
        <f t="shared" si="16"/>
        <v>305005</v>
      </c>
      <c r="H110" s="151">
        <f t="shared" si="16"/>
        <v>270305</v>
      </c>
      <c r="I110" s="283">
        <f t="shared" si="9"/>
        <v>0.8862313732561762</v>
      </c>
    </row>
    <row r="111" spans="1:9" ht="12.75">
      <c r="A111" s="79" t="s">
        <v>103</v>
      </c>
      <c r="B111" s="80" t="s">
        <v>234</v>
      </c>
      <c r="C111" s="81">
        <v>97000</v>
      </c>
      <c r="D111" s="81">
        <v>97000</v>
      </c>
      <c r="E111" s="259">
        <f>97000+4000</f>
        <v>101000</v>
      </c>
      <c r="F111" s="259">
        <f>97000+4000-820</f>
        <v>100180</v>
      </c>
      <c r="G111" s="259">
        <f>97000+4000-820+325</f>
        <v>100505</v>
      </c>
      <c r="H111" s="81">
        <v>87017</v>
      </c>
      <c r="I111" s="283">
        <f t="shared" si="9"/>
        <v>0.8657977215063927</v>
      </c>
    </row>
    <row r="112" spans="1:9" ht="12.75">
      <c r="A112" s="82" t="s">
        <v>106</v>
      </c>
      <c r="B112" s="30" t="s">
        <v>235</v>
      </c>
      <c r="C112" s="31">
        <v>132200</v>
      </c>
      <c r="D112" s="31">
        <v>132200</v>
      </c>
      <c r="E112" s="31">
        <v>132200</v>
      </c>
      <c r="F112" s="31">
        <v>132200</v>
      </c>
      <c r="G112" s="31">
        <v>132200</v>
      </c>
      <c r="H112" s="31">
        <v>116156</v>
      </c>
      <c r="I112" s="283">
        <f t="shared" si="9"/>
        <v>0.8786384266263237</v>
      </c>
    </row>
    <row r="113" spans="1:9" ht="12.75">
      <c r="A113" s="82" t="s">
        <v>108</v>
      </c>
      <c r="B113" s="30" t="s">
        <v>109</v>
      </c>
      <c r="C113" s="31">
        <v>53300</v>
      </c>
      <c r="D113" s="31">
        <v>53300</v>
      </c>
      <c r="E113" s="31">
        <v>53300</v>
      </c>
      <c r="F113" s="31">
        <v>53300</v>
      </c>
      <c r="G113" s="183">
        <f>53300+1000</f>
        <v>54300</v>
      </c>
      <c r="H113" s="31">
        <v>49132</v>
      </c>
      <c r="I113" s="283">
        <f t="shared" si="9"/>
        <v>0.9048250460405156</v>
      </c>
    </row>
    <row r="114" spans="1:9" ht="13.5" thickBot="1">
      <c r="A114" s="66" t="s">
        <v>110</v>
      </c>
      <c r="B114" s="67" t="s">
        <v>111</v>
      </c>
      <c r="C114" s="83">
        <v>18000</v>
      </c>
      <c r="D114" s="83">
        <v>18000</v>
      </c>
      <c r="E114" s="83">
        <v>18000</v>
      </c>
      <c r="F114" s="83">
        <v>18000</v>
      </c>
      <c r="G114" s="83">
        <v>18000</v>
      </c>
      <c r="H114" s="83">
        <v>18000</v>
      </c>
      <c r="I114" s="283">
        <f t="shared" si="9"/>
        <v>1</v>
      </c>
    </row>
    <row r="115" spans="1:9" ht="13.5" thickBot="1">
      <c r="A115" s="50" t="s">
        <v>112</v>
      </c>
      <c r="B115" s="51"/>
      <c r="C115" s="151">
        <f aca="true" t="shared" si="17" ref="C115:H115">SUM(C116:C124)</f>
        <v>104940</v>
      </c>
      <c r="D115" s="151">
        <f t="shared" si="17"/>
        <v>104940</v>
      </c>
      <c r="E115" s="151">
        <f t="shared" si="17"/>
        <v>119940</v>
      </c>
      <c r="F115" s="151">
        <f t="shared" si="17"/>
        <v>125012</v>
      </c>
      <c r="G115" s="151">
        <f t="shared" si="17"/>
        <v>125081</v>
      </c>
      <c r="H115" s="151">
        <f t="shared" si="17"/>
        <v>99862</v>
      </c>
      <c r="I115" s="283">
        <f t="shared" si="9"/>
        <v>0.798378650634389</v>
      </c>
    </row>
    <row r="116" spans="1:9" ht="12.75">
      <c r="A116" s="76" t="s">
        <v>113</v>
      </c>
      <c r="B116" s="53" t="s">
        <v>114</v>
      </c>
      <c r="C116" s="152">
        <f>67500-1800</f>
        <v>65700</v>
      </c>
      <c r="D116" s="152">
        <f>67500-1800</f>
        <v>65700</v>
      </c>
      <c r="E116" s="152">
        <f>67500-1800</f>
        <v>65700</v>
      </c>
      <c r="F116" s="152">
        <f>67500-1800</f>
        <v>65700</v>
      </c>
      <c r="G116" s="152">
        <f>67500-1800</f>
        <v>65700</v>
      </c>
      <c r="H116" s="152">
        <f>55001-H117</f>
        <v>53201</v>
      </c>
      <c r="I116" s="283">
        <f t="shared" si="9"/>
        <v>0.8097564687975647</v>
      </c>
    </row>
    <row r="117" spans="1:9" ht="12.75">
      <c r="A117" s="56" t="s">
        <v>113</v>
      </c>
      <c r="B117" s="36" t="s">
        <v>115</v>
      </c>
      <c r="C117" s="153">
        <v>1800</v>
      </c>
      <c r="D117" s="153">
        <v>1800</v>
      </c>
      <c r="E117" s="153">
        <v>1800</v>
      </c>
      <c r="F117" s="153">
        <v>1800</v>
      </c>
      <c r="G117" s="153">
        <v>1800</v>
      </c>
      <c r="H117" s="153">
        <v>1800</v>
      </c>
      <c r="I117" s="283">
        <f t="shared" si="9"/>
        <v>1</v>
      </c>
    </row>
    <row r="118" spans="1:9" ht="13.5" thickBot="1">
      <c r="A118" s="72" t="s">
        <v>116</v>
      </c>
      <c r="B118" s="73" t="s">
        <v>117</v>
      </c>
      <c r="C118" s="158">
        <v>12000</v>
      </c>
      <c r="D118" s="158">
        <v>12000</v>
      </c>
      <c r="E118" s="158">
        <v>12000</v>
      </c>
      <c r="F118" s="158">
        <v>12000</v>
      </c>
      <c r="G118" s="158">
        <v>12000</v>
      </c>
      <c r="H118" s="158">
        <f>11165</f>
        <v>11165</v>
      </c>
      <c r="I118" s="283">
        <f t="shared" si="9"/>
        <v>0.9304166666666667</v>
      </c>
    </row>
    <row r="119" spans="1:9" ht="12.75">
      <c r="A119" s="76" t="s">
        <v>197</v>
      </c>
      <c r="B119" s="53" t="s">
        <v>118</v>
      </c>
      <c r="C119" s="152">
        <v>300</v>
      </c>
      <c r="D119" s="152">
        <v>300</v>
      </c>
      <c r="E119" s="152">
        <v>300</v>
      </c>
      <c r="F119" s="152">
        <v>300</v>
      </c>
      <c r="G119" s="152">
        <v>300</v>
      </c>
      <c r="H119" s="152">
        <f>229+27+9</f>
        <v>265</v>
      </c>
      <c r="I119" s="283">
        <f t="shared" si="9"/>
        <v>0.8833333333333333</v>
      </c>
    </row>
    <row r="120" spans="1:9" ht="12.75">
      <c r="A120" s="76" t="s">
        <v>329</v>
      </c>
      <c r="B120" s="53" t="s">
        <v>330</v>
      </c>
      <c r="C120" s="152">
        <v>0</v>
      </c>
      <c r="D120" s="152">
        <v>0</v>
      </c>
      <c r="E120" s="152">
        <v>0</v>
      </c>
      <c r="F120" s="250">
        <v>72</v>
      </c>
      <c r="G120" s="250">
        <v>141</v>
      </c>
      <c r="H120" s="152">
        <v>71</v>
      </c>
      <c r="I120" s="283">
        <f t="shared" si="9"/>
        <v>0.5035460992907801</v>
      </c>
    </row>
    <row r="121" spans="1:9" ht="12.75">
      <c r="A121" s="56" t="s">
        <v>119</v>
      </c>
      <c r="B121" s="36" t="s">
        <v>120</v>
      </c>
      <c r="C121" s="153">
        <v>17240</v>
      </c>
      <c r="D121" s="153">
        <v>17240</v>
      </c>
      <c r="E121" s="205">
        <f>17240+15000</f>
        <v>32240</v>
      </c>
      <c r="F121" s="205">
        <f>17240+15000+1000+4000</f>
        <v>37240</v>
      </c>
      <c r="G121" s="153">
        <f>17240+15000+1000+4000</f>
        <v>37240</v>
      </c>
      <c r="H121" s="153">
        <v>27394</v>
      </c>
      <c r="I121" s="283">
        <f t="shared" si="9"/>
        <v>0.7356068743286789</v>
      </c>
    </row>
    <row r="122" spans="1:9" ht="12.75">
      <c r="A122" s="56" t="s">
        <v>121</v>
      </c>
      <c r="B122" s="36" t="s">
        <v>122</v>
      </c>
      <c r="C122" s="153">
        <v>7200</v>
      </c>
      <c r="D122" s="153">
        <v>7200</v>
      </c>
      <c r="E122" s="153">
        <v>7200</v>
      </c>
      <c r="F122" s="153">
        <v>7200</v>
      </c>
      <c r="G122" s="153">
        <v>7200</v>
      </c>
      <c r="H122" s="153">
        <v>5966</v>
      </c>
      <c r="I122" s="283">
        <f t="shared" si="9"/>
        <v>0.8286111111111111</v>
      </c>
    </row>
    <row r="123" spans="1:9" ht="12.75">
      <c r="A123" s="56" t="s">
        <v>123</v>
      </c>
      <c r="B123" s="36" t="s">
        <v>124</v>
      </c>
      <c r="C123" s="153">
        <v>400</v>
      </c>
      <c r="D123" s="153">
        <v>400</v>
      </c>
      <c r="E123" s="153">
        <v>400</v>
      </c>
      <c r="F123" s="153">
        <v>400</v>
      </c>
      <c r="G123" s="153">
        <v>400</v>
      </c>
      <c r="H123" s="153">
        <v>0</v>
      </c>
      <c r="I123" s="283">
        <f t="shared" si="9"/>
        <v>0</v>
      </c>
    </row>
    <row r="124" spans="1:9" ht="13.5" thickBot="1">
      <c r="A124" s="72" t="s">
        <v>125</v>
      </c>
      <c r="B124" s="73" t="s">
        <v>126</v>
      </c>
      <c r="C124" s="158">
        <v>300</v>
      </c>
      <c r="D124" s="158">
        <v>300</v>
      </c>
      <c r="E124" s="158">
        <v>300</v>
      </c>
      <c r="F124" s="158">
        <v>300</v>
      </c>
      <c r="G124" s="158">
        <v>300</v>
      </c>
      <c r="H124" s="158">
        <v>0</v>
      </c>
      <c r="I124" s="283">
        <f t="shared" si="9"/>
        <v>0</v>
      </c>
    </row>
    <row r="125" spans="1:9" ht="16.5" thickBot="1">
      <c r="A125" s="84" t="s">
        <v>127</v>
      </c>
      <c r="B125" s="85"/>
      <c r="C125" s="159">
        <f aca="true" t="shared" si="18" ref="C125:H125">SUM(C72+C77+C79+C81+C88+C92+C94+C110+C115)</f>
        <v>998990</v>
      </c>
      <c r="D125" s="159">
        <f t="shared" si="18"/>
        <v>999080</v>
      </c>
      <c r="E125" s="159">
        <f t="shared" si="18"/>
        <v>1032002</v>
      </c>
      <c r="F125" s="159">
        <f t="shared" si="18"/>
        <v>1038536</v>
      </c>
      <c r="G125" s="159">
        <f t="shared" si="18"/>
        <v>1046128</v>
      </c>
      <c r="H125" s="159">
        <f t="shared" si="18"/>
        <v>842851</v>
      </c>
      <c r="I125" s="283">
        <f t="shared" si="9"/>
        <v>0.8056863022498203</v>
      </c>
    </row>
    <row r="126" spans="1:9" ht="12.75">
      <c r="A126" s="86" t="s">
        <v>105</v>
      </c>
      <c r="B126" s="87" t="s">
        <v>128</v>
      </c>
      <c r="C126" s="160">
        <f aca="true" t="shared" si="19" ref="C126:H126">C50+C63+C65+C42</f>
        <v>355709</v>
      </c>
      <c r="D126" s="239">
        <f t="shared" si="19"/>
        <v>380206</v>
      </c>
      <c r="E126" s="239">
        <f t="shared" si="19"/>
        <v>380265</v>
      </c>
      <c r="F126" s="239">
        <f t="shared" si="19"/>
        <v>384171</v>
      </c>
      <c r="G126" s="239">
        <f t="shared" si="19"/>
        <v>382969</v>
      </c>
      <c r="H126" s="239">
        <f t="shared" si="19"/>
        <v>351592</v>
      </c>
      <c r="I126" s="283">
        <f t="shared" si="9"/>
        <v>0.9180690865318081</v>
      </c>
    </row>
    <row r="127" spans="1:9" ht="12.75">
      <c r="A127" s="88" t="s">
        <v>129</v>
      </c>
      <c r="B127" s="41" t="s">
        <v>130</v>
      </c>
      <c r="C127" s="161">
        <v>17000</v>
      </c>
      <c r="D127" s="161">
        <v>17000</v>
      </c>
      <c r="E127" s="161">
        <v>17000</v>
      </c>
      <c r="F127" s="161">
        <v>17000</v>
      </c>
      <c r="G127" s="161">
        <v>17000</v>
      </c>
      <c r="H127" s="161">
        <v>17000</v>
      </c>
      <c r="I127" s="283">
        <f t="shared" si="9"/>
        <v>1</v>
      </c>
    </row>
    <row r="128" spans="1:9" ht="13.5" thickBot="1">
      <c r="A128" s="314" t="s">
        <v>131</v>
      </c>
      <c r="B128" s="315"/>
      <c r="C128" s="162">
        <f aca="true" t="shared" si="20" ref="C128:H128">SUM(C126:C127)</f>
        <v>372709</v>
      </c>
      <c r="D128" s="162">
        <f t="shared" si="20"/>
        <v>397206</v>
      </c>
      <c r="E128" s="162">
        <f t="shared" si="20"/>
        <v>397265</v>
      </c>
      <c r="F128" s="162">
        <f t="shared" si="20"/>
        <v>401171</v>
      </c>
      <c r="G128" s="162">
        <f t="shared" si="20"/>
        <v>399969</v>
      </c>
      <c r="H128" s="162">
        <f t="shared" si="20"/>
        <v>368592</v>
      </c>
      <c r="I128" s="283">
        <f t="shared" si="9"/>
        <v>0.9215514202350682</v>
      </c>
    </row>
    <row r="129" spans="1:9" ht="16.5" thickBot="1">
      <c r="A129" s="89" t="s">
        <v>132</v>
      </c>
      <c r="B129" s="63"/>
      <c r="C129" s="163">
        <f aca="true" t="shared" si="21" ref="C129:H129">C125+C128</f>
        <v>1371699</v>
      </c>
      <c r="D129" s="163">
        <f t="shared" si="21"/>
        <v>1396286</v>
      </c>
      <c r="E129" s="163">
        <f t="shared" si="21"/>
        <v>1429267</v>
      </c>
      <c r="F129" s="163">
        <f t="shared" si="21"/>
        <v>1439707</v>
      </c>
      <c r="G129" s="163">
        <f t="shared" si="21"/>
        <v>1446097</v>
      </c>
      <c r="H129" s="163">
        <f t="shared" si="21"/>
        <v>1211443</v>
      </c>
      <c r="I129" s="283">
        <f t="shared" si="9"/>
        <v>0.8377328768402119</v>
      </c>
    </row>
    <row r="131" spans="4:7" ht="13.5" customHeight="1">
      <c r="D131" s="114"/>
      <c r="E131" s="114"/>
      <c r="F131" s="114"/>
      <c r="G131" s="114"/>
    </row>
    <row r="132" spans="1:8" ht="14.25" customHeight="1" thickBot="1">
      <c r="A132" s="90"/>
      <c r="B132" s="91"/>
      <c r="C132" s="91"/>
      <c r="D132" s="91"/>
      <c r="E132" s="91"/>
      <c r="F132" s="91"/>
      <c r="G132" s="91"/>
      <c r="H132" s="91"/>
    </row>
    <row r="133" spans="1:8" ht="23.25" customHeight="1" thickBot="1">
      <c r="A133" s="340" t="s">
        <v>133</v>
      </c>
      <c r="B133" s="341"/>
      <c r="C133" s="341"/>
      <c r="D133" s="341"/>
      <c r="E133" s="341"/>
      <c r="F133" s="341"/>
      <c r="G133" s="341"/>
      <c r="H133" s="342"/>
    </row>
    <row r="134" spans="1:8" ht="12.75" customHeight="1">
      <c r="A134" s="301" t="s">
        <v>1</v>
      </c>
      <c r="B134" s="302"/>
      <c r="C134" s="305" t="s">
        <v>207</v>
      </c>
      <c r="D134" s="305" t="s">
        <v>276</v>
      </c>
      <c r="E134" s="305" t="s">
        <v>277</v>
      </c>
      <c r="F134" s="305" t="s">
        <v>325</v>
      </c>
      <c r="G134" s="305" t="s">
        <v>360</v>
      </c>
      <c r="H134" s="305" t="s">
        <v>379</v>
      </c>
    </row>
    <row r="135" spans="1:8" ht="13.5" thickBot="1">
      <c r="A135" s="321"/>
      <c r="B135" s="322"/>
      <c r="C135" s="306"/>
      <c r="D135" s="306"/>
      <c r="E135" s="306"/>
      <c r="F135" s="306"/>
      <c r="G135" s="306"/>
      <c r="H135" s="306"/>
    </row>
    <row r="136" spans="1:9" ht="16.5" thickBot="1">
      <c r="A136" s="316" t="s">
        <v>134</v>
      </c>
      <c r="B136" s="317"/>
      <c r="C136" s="164">
        <f aca="true" t="shared" si="22" ref="C136:H136">SUM(C137:C139)</f>
        <v>536820</v>
      </c>
      <c r="D136" s="164">
        <f t="shared" si="22"/>
        <v>537820</v>
      </c>
      <c r="E136" s="164">
        <f t="shared" si="22"/>
        <v>539820</v>
      </c>
      <c r="F136" s="164">
        <f t="shared" si="22"/>
        <v>539820</v>
      </c>
      <c r="G136" s="164">
        <f t="shared" si="22"/>
        <v>539820</v>
      </c>
      <c r="H136" s="164">
        <f t="shared" si="22"/>
        <v>284379</v>
      </c>
      <c r="I136" s="284">
        <f>H136/G136</f>
        <v>0.5268033789040791</v>
      </c>
    </row>
    <row r="137" spans="1:9" ht="13.5" thickBot="1">
      <c r="A137" s="92">
        <v>230</v>
      </c>
      <c r="B137" s="93" t="s">
        <v>135</v>
      </c>
      <c r="C137" s="165">
        <v>30000</v>
      </c>
      <c r="D137" s="240">
        <v>31000</v>
      </c>
      <c r="E137" s="240">
        <f>31000+2000</f>
        <v>33000</v>
      </c>
      <c r="F137" s="271">
        <f>31000+2000</f>
        <v>33000</v>
      </c>
      <c r="G137" s="271">
        <f>31000+2000</f>
        <v>33000</v>
      </c>
      <c r="H137" s="165">
        <v>63</v>
      </c>
      <c r="I137" s="284">
        <f aca="true" t="shared" si="23" ref="I137:I148">H137/G137</f>
        <v>0.0019090909090909091</v>
      </c>
    </row>
    <row r="138" spans="1:9" ht="12.75">
      <c r="A138" s="35">
        <v>322</v>
      </c>
      <c r="B138" s="53" t="s">
        <v>136</v>
      </c>
      <c r="C138" s="166">
        <v>326446</v>
      </c>
      <c r="D138" s="166">
        <v>326446</v>
      </c>
      <c r="E138" s="166">
        <v>326446</v>
      </c>
      <c r="F138" s="166">
        <v>326446</v>
      </c>
      <c r="G138" s="166">
        <v>326446</v>
      </c>
      <c r="H138" s="166">
        <v>284316</v>
      </c>
      <c r="I138" s="284">
        <f t="shared" si="23"/>
        <v>0.8709434332171324</v>
      </c>
    </row>
    <row r="139" spans="1:9" ht="13.5" thickBot="1">
      <c r="A139" s="200">
        <v>322</v>
      </c>
      <c r="B139" s="73" t="s">
        <v>138</v>
      </c>
      <c r="C139" s="201">
        <v>180374</v>
      </c>
      <c r="D139" s="201">
        <v>180374</v>
      </c>
      <c r="E139" s="201">
        <v>180374</v>
      </c>
      <c r="F139" s="201">
        <v>180374</v>
      </c>
      <c r="G139" s="201">
        <v>180374</v>
      </c>
      <c r="H139" s="201">
        <v>0</v>
      </c>
      <c r="I139" s="284">
        <f t="shared" si="23"/>
        <v>0</v>
      </c>
    </row>
    <row r="140" spans="1:9" ht="16.5" thickBot="1">
      <c r="A140" s="316" t="s">
        <v>139</v>
      </c>
      <c r="B140" s="317"/>
      <c r="C140" s="164">
        <f aca="true" t="shared" si="24" ref="C140:H140">SUM(C141:C148)</f>
        <v>692978</v>
      </c>
      <c r="D140" s="164">
        <f t="shared" si="24"/>
        <v>692978</v>
      </c>
      <c r="E140" s="164">
        <f t="shared" si="24"/>
        <v>772078</v>
      </c>
      <c r="F140" s="164">
        <f t="shared" si="24"/>
        <v>772898</v>
      </c>
      <c r="G140" s="164">
        <f t="shared" si="24"/>
        <v>772898</v>
      </c>
      <c r="H140" s="164">
        <f t="shared" si="24"/>
        <v>342171</v>
      </c>
      <c r="I140" s="284">
        <f t="shared" si="23"/>
        <v>0.44271171616435806</v>
      </c>
    </row>
    <row r="141" spans="1:9" ht="12.75">
      <c r="A141" s="56" t="s">
        <v>66</v>
      </c>
      <c r="B141" s="8" t="s">
        <v>140</v>
      </c>
      <c r="C141" s="168">
        <v>0</v>
      </c>
      <c r="D141" s="168">
        <v>0</v>
      </c>
      <c r="E141" s="262">
        <v>1100</v>
      </c>
      <c r="F141" s="262">
        <f>1100+2600</f>
        <v>3700</v>
      </c>
      <c r="G141" s="168">
        <f>1100+2600</f>
        <v>3700</v>
      </c>
      <c r="H141" s="168">
        <v>3651</v>
      </c>
      <c r="I141" s="284">
        <f t="shared" si="23"/>
        <v>0.9867567567567568</v>
      </c>
    </row>
    <row r="142" spans="1:9" ht="12.75">
      <c r="A142" s="94" t="s">
        <v>66</v>
      </c>
      <c r="B142" s="8" t="s">
        <v>141</v>
      </c>
      <c r="C142" s="168">
        <v>30000</v>
      </c>
      <c r="D142" s="168">
        <v>30000</v>
      </c>
      <c r="E142" s="168">
        <v>30000</v>
      </c>
      <c r="F142" s="168">
        <v>30000</v>
      </c>
      <c r="G142" s="168">
        <v>30000</v>
      </c>
      <c r="H142" s="168">
        <v>0</v>
      </c>
      <c r="I142" s="284">
        <f t="shared" si="23"/>
        <v>0</v>
      </c>
    </row>
    <row r="143" spans="1:9" ht="12.75">
      <c r="A143" s="52" t="s">
        <v>66</v>
      </c>
      <c r="B143" s="96" t="s">
        <v>313</v>
      </c>
      <c r="C143" s="169">
        <v>1420</v>
      </c>
      <c r="D143" s="169">
        <v>1420</v>
      </c>
      <c r="E143" s="266">
        <v>12920</v>
      </c>
      <c r="F143" s="272">
        <v>12920</v>
      </c>
      <c r="G143" s="272">
        <v>12920</v>
      </c>
      <c r="H143" s="169">
        <v>1500</v>
      </c>
      <c r="I143" s="284">
        <f t="shared" si="23"/>
        <v>0.11609907120743033</v>
      </c>
    </row>
    <row r="144" spans="1:9" ht="12.75">
      <c r="A144" s="52" t="s">
        <v>72</v>
      </c>
      <c r="B144" s="5" t="s">
        <v>142</v>
      </c>
      <c r="C144" s="168">
        <f>377688+30000</f>
        <v>407688</v>
      </c>
      <c r="D144" s="168">
        <f>377688+30000</f>
        <v>407688</v>
      </c>
      <c r="E144" s="262">
        <v>405188</v>
      </c>
      <c r="F144" s="262">
        <f>405188-2600</f>
        <v>402588</v>
      </c>
      <c r="G144" s="262">
        <f>405188-2600-14000</f>
        <v>388588</v>
      </c>
      <c r="H144" s="168">
        <v>315260</v>
      </c>
      <c r="I144" s="284">
        <f t="shared" si="23"/>
        <v>0.8112962829526388</v>
      </c>
    </row>
    <row r="145" spans="1:9" ht="12.75">
      <c r="A145" s="82" t="s">
        <v>73</v>
      </c>
      <c r="B145" s="95" t="s">
        <v>143</v>
      </c>
      <c r="C145" s="168">
        <v>30000</v>
      </c>
      <c r="D145" s="168">
        <v>30000</v>
      </c>
      <c r="E145" s="262">
        <v>99000</v>
      </c>
      <c r="F145" s="168">
        <v>99000</v>
      </c>
      <c r="G145" s="262">
        <f>99000-57000</f>
        <v>42000</v>
      </c>
      <c r="H145" s="168">
        <v>1613</v>
      </c>
      <c r="I145" s="284">
        <f t="shared" si="23"/>
        <v>0.03840476190476191</v>
      </c>
    </row>
    <row r="146" spans="1:9" ht="12.75">
      <c r="A146" s="54" t="s">
        <v>78</v>
      </c>
      <c r="B146" s="8" t="s">
        <v>144</v>
      </c>
      <c r="C146" s="168">
        <v>189870</v>
      </c>
      <c r="D146" s="168">
        <v>189870</v>
      </c>
      <c r="E146" s="168">
        <v>189870</v>
      </c>
      <c r="F146" s="168">
        <v>189870</v>
      </c>
      <c r="G146" s="262">
        <f>189870+80000</f>
        <v>269870</v>
      </c>
      <c r="H146" s="168">
        <v>0</v>
      </c>
      <c r="I146" s="284">
        <f t="shared" si="23"/>
        <v>0</v>
      </c>
    </row>
    <row r="147" spans="1:9" ht="12.75">
      <c r="A147" s="54" t="s">
        <v>103</v>
      </c>
      <c r="B147" s="8" t="s">
        <v>342</v>
      </c>
      <c r="C147" s="168">
        <v>34000</v>
      </c>
      <c r="D147" s="168">
        <v>34000</v>
      </c>
      <c r="E147" s="168">
        <v>34000</v>
      </c>
      <c r="F147" s="262">
        <f>34000-5000+320</f>
        <v>29320</v>
      </c>
      <c r="G147" s="262">
        <f>34000-5000+320-9000</f>
        <v>20320</v>
      </c>
      <c r="H147" s="168">
        <v>20147</v>
      </c>
      <c r="I147" s="284">
        <f t="shared" si="23"/>
        <v>0.991486220472441</v>
      </c>
    </row>
    <row r="148" spans="1:9" ht="13.5" thickBot="1">
      <c r="A148" s="178" t="s">
        <v>103</v>
      </c>
      <c r="B148" s="18" t="s">
        <v>343</v>
      </c>
      <c r="C148" s="179">
        <v>0</v>
      </c>
      <c r="D148" s="179">
        <v>0</v>
      </c>
      <c r="E148" s="179">
        <v>0</v>
      </c>
      <c r="F148" s="275">
        <v>5500</v>
      </c>
      <c r="G148" s="179">
        <v>5500</v>
      </c>
      <c r="H148" s="179">
        <v>0</v>
      </c>
      <c r="I148" s="284">
        <f t="shared" si="23"/>
        <v>0</v>
      </c>
    </row>
    <row r="150" spans="1:8" ht="12.75" customHeight="1" thickBot="1">
      <c r="A150" s="97"/>
      <c r="B150" s="98"/>
      <c r="C150" s="98"/>
      <c r="D150" s="98"/>
      <c r="E150" s="98"/>
      <c r="F150" s="98"/>
      <c r="G150" s="98"/>
      <c r="H150" s="98"/>
    </row>
    <row r="151" spans="1:8" ht="18.75" thickBot="1">
      <c r="A151" s="318" t="s">
        <v>145</v>
      </c>
      <c r="B151" s="319"/>
      <c r="C151" s="319"/>
      <c r="D151" s="319"/>
      <c r="E151" s="319"/>
      <c r="F151" s="319"/>
      <c r="G151" s="319"/>
      <c r="H151" s="320"/>
    </row>
    <row r="152" spans="1:8" ht="12.75" customHeight="1">
      <c r="A152" s="301" t="s">
        <v>1</v>
      </c>
      <c r="B152" s="302"/>
      <c r="C152" s="305" t="s">
        <v>207</v>
      </c>
      <c r="D152" s="305" t="s">
        <v>276</v>
      </c>
      <c r="E152" s="305" t="s">
        <v>277</v>
      </c>
      <c r="F152" s="305" t="s">
        <v>325</v>
      </c>
      <c r="G152" s="305" t="s">
        <v>360</v>
      </c>
      <c r="H152" s="305" t="s">
        <v>379</v>
      </c>
    </row>
    <row r="153" spans="1:8" ht="13.5" thickBot="1">
      <c r="A153" s="321"/>
      <c r="B153" s="322"/>
      <c r="C153" s="306"/>
      <c r="D153" s="306"/>
      <c r="E153" s="306"/>
      <c r="F153" s="306"/>
      <c r="G153" s="306"/>
      <c r="H153" s="306"/>
    </row>
    <row r="154" spans="1:9" ht="16.5" thickBot="1">
      <c r="A154" s="323" t="s">
        <v>146</v>
      </c>
      <c r="B154" s="324"/>
      <c r="C154" s="170">
        <f aca="true" t="shared" si="25" ref="C154:H154">SUM(C155:C156)</f>
        <v>182000</v>
      </c>
      <c r="D154" s="170">
        <f t="shared" si="25"/>
        <v>175000</v>
      </c>
      <c r="E154" s="170">
        <f t="shared" si="25"/>
        <v>254000</v>
      </c>
      <c r="F154" s="170">
        <f t="shared" si="25"/>
        <v>254000</v>
      </c>
      <c r="G154" s="170">
        <f t="shared" si="25"/>
        <v>254000</v>
      </c>
      <c r="H154" s="170">
        <f t="shared" si="25"/>
        <v>70628</v>
      </c>
      <c r="I154" s="285">
        <f aca="true" t="shared" si="26" ref="I154:I159">H154/G154</f>
        <v>0.27806299212598423</v>
      </c>
    </row>
    <row r="155" spans="1:9" ht="12.75">
      <c r="A155" s="102">
        <v>454</v>
      </c>
      <c r="B155" s="38" t="s">
        <v>148</v>
      </c>
      <c r="C155" s="171">
        <v>129000</v>
      </c>
      <c r="D155" s="206">
        <f>129000+2100+900</f>
        <v>132000</v>
      </c>
      <c r="E155" s="206">
        <f>129000+2100+900+79000</f>
        <v>211000</v>
      </c>
      <c r="F155" s="273">
        <f>129000+2100+900+79000</f>
        <v>211000</v>
      </c>
      <c r="G155" s="273">
        <f>129000+2100+900+79000</f>
        <v>211000</v>
      </c>
      <c r="H155" s="171">
        <v>52563</v>
      </c>
      <c r="I155" s="285">
        <f t="shared" si="26"/>
        <v>0.2491137440758294</v>
      </c>
    </row>
    <row r="156" spans="1:9" ht="13.5" thickBot="1">
      <c r="A156" s="103">
        <v>513</v>
      </c>
      <c r="B156" s="104" t="s">
        <v>149</v>
      </c>
      <c r="C156" s="172">
        <f>22000+31000</f>
        <v>53000</v>
      </c>
      <c r="D156" s="202">
        <v>43000</v>
      </c>
      <c r="E156" s="174">
        <v>43000</v>
      </c>
      <c r="F156" s="174">
        <v>43000</v>
      </c>
      <c r="G156" s="174">
        <v>43000</v>
      </c>
      <c r="H156" s="172">
        <v>18065</v>
      </c>
      <c r="I156" s="285">
        <f t="shared" si="26"/>
        <v>0.42011627906976745</v>
      </c>
    </row>
    <row r="157" spans="1:9" ht="16.5" thickBot="1">
      <c r="A157" s="323" t="s">
        <v>150</v>
      </c>
      <c r="B157" s="324"/>
      <c r="C157" s="170">
        <f aca="true" t="shared" si="27" ref="C157:H157">SUM(C158:C159)</f>
        <v>33900</v>
      </c>
      <c r="D157" s="170">
        <f t="shared" si="27"/>
        <v>33900</v>
      </c>
      <c r="E157" s="170">
        <f t="shared" si="27"/>
        <v>33900</v>
      </c>
      <c r="F157" s="170">
        <f t="shared" si="27"/>
        <v>33900</v>
      </c>
      <c r="G157" s="170">
        <f t="shared" si="27"/>
        <v>33900</v>
      </c>
      <c r="H157" s="170">
        <f t="shared" si="27"/>
        <v>29780</v>
      </c>
      <c r="I157" s="285">
        <f t="shared" si="26"/>
        <v>0.8784660766961652</v>
      </c>
    </row>
    <row r="158" spans="1:9" ht="12.75">
      <c r="A158" s="105">
        <v>821</v>
      </c>
      <c r="B158" s="100" t="s">
        <v>151</v>
      </c>
      <c r="C158" s="106">
        <v>33000</v>
      </c>
      <c r="D158" s="106">
        <v>33000</v>
      </c>
      <c r="E158" s="106">
        <v>33000</v>
      </c>
      <c r="F158" s="106">
        <v>33000</v>
      </c>
      <c r="G158" s="106">
        <v>33000</v>
      </c>
      <c r="H158" s="106">
        <v>29146</v>
      </c>
      <c r="I158" s="285">
        <f t="shared" si="26"/>
        <v>0.8832121212121212</v>
      </c>
    </row>
    <row r="159" spans="1:9" ht="13.5" thickBot="1">
      <c r="A159" s="25">
        <v>821</v>
      </c>
      <c r="B159" s="107" t="s">
        <v>152</v>
      </c>
      <c r="C159" s="175">
        <v>900</v>
      </c>
      <c r="D159" s="175">
        <v>900</v>
      </c>
      <c r="E159" s="175">
        <v>900</v>
      </c>
      <c r="F159" s="175">
        <v>900</v>
      </c>
      <c r="G159" s="175">
        <v>900</v>
      </c>
      <c r="H159" s="175">
        <v>634</v>
      </c>
      <c r="I159" s="285">
        <f t="shared" si="26"/>
        <v>0.7044444444444444</v>
      </c>
    </row>
    <row r="160" spans="1:8" ht="15.75">
      <c r="A160" s="47"/>
      <c r="B160" s="90"/>
      <c r="C160" s="90"/>
      <c r="D160" s="90"/>
      <c r="E160" s="90"/>
      <c r="F160" s="90"/>
      <c r="G160" s="90"/>
      <c r="H160" s="90"/>
    </row>
    <row r="161" spans="1:8" ht="15.75">
      <c r="A161" s="47"/>
      <c r="B161" s="90"/>
      <c r="C161" s="90"/>
      <c r="D161" s="90"/>
      <c r="E161" s="90"/>
      <c r="F161" s="90"/>
      <c r="G161" s="90"/>
      <c r="H161" s="90"/>
    </row>
    <row r="162" spans="2:8" ht="12.75" customHeight="1" thickBot="1">
      <c r="B162" s="91"/>
      <c r="C162" s="91"/>
      <c r="D162" s="91"/>
      <c r="E162" s="91"/>
      <c r="F162" s="91"/>
      <c r="G162" s="91"/>
      <c r="H162" s="91"/>
    </row>
    <row r="163" spans="1:8" ht="18.75" thickBot="1">
      <c r="A163" s="325" t="s">
        <v>153</v>
      </c>
      <c r="B163" s="326"/>
      <c r="C163" s="326"/>
      <c r="D163" s="326"/>
      <c r="E163" s="326"/>
      <c r="F163" s="326"/>
      <c r="G163" s="326"/>
      <c r="H163" s="327"/>
    </row>
    <row r="164" spans="1:8" ht="12.75" customHeight="1">
      <c r="A164" s="301" t="s">
        <v>1</v>
      </c>
      <c r="B164" s="302"/>
      <c r="C164" s="305" t="s">
        <v>207</v>
      </c>
      <c r="D164" s="305" t="s">
        <v>276</v>
      </c>
      <c r="E164" s="305" t="s">
        <v>277</v>
      </c>
      <c r="F164" s="305" t="s">
        <v>325</v>
      </c>
      <c r="G164" s="305" t="s">
        <v>360</v>
      </c>
      <c r="H164" s="305" t="s">
        <v>379</v>
      </c>
    </row>
    <row r="165" spans="1:8" ht="13.5" thickBot="1">
      <c r="A165" s="328"/>
      <c r="B165" s="329"/>
      <c r="C165" s="306"/>
      <c r="D165" s="306"/>
      <c r="E165" s="306"/>
      <c r="F165" s="306"/>
      <c r="G165" s="306"/>
      <c r="H165" s="306"/>
    </row>
    <row r="166" spans="1:8" ht="15">
      <c r="A166" s="108" t="s">
        <v>154</v>
      </c>
      <c r="B166" s="15"/>
      <c r="C166" s="70">
        <f aca="true" t="shared" si="28" ref="C166:H166">C66</f>
        <v>1379757</v>
      </c>
      <c r="D166" s="70">
        <f t="shared" si="28"/>
        <v>1410344</v>
      </c>
      <c r="E166" s="70">
        <f t="shared" si="28"/>
        <v>1441425</v>
      </c>
      <c r="F166" s="70">
        <f t="shared" si="28"/>
        <v>1452685</v>
      </c>
      <c r="G166" s="70">
        <f t="shared" si="28"/>
        <v>1459075</v>
      </c>
      <c r="H166" s="70">
        <f t="shared" si="28"/>
        <v>1288275</v>
      </c>
    </row>
    <row r="167" spans="1:8" ht="15">
      <c r="A167" s="109" t="s">
        <v>155</v>
      </c>
      <c r="B167" s="8"/>
      <c r="C167" s="55">
        <f aca="true" t="shared" si="29" ref="C167:H167">C129</f>
        <v>1371699</v>
      </c>
      <c r="D167" s="55">
        <f t="shared" si="29"/>
        <v>1396286</v>
      </c>
      <c r="E167" s="55">
        <f t="shared" si="29"/>
        <v>1429267</v>
      </c>
      <c r="F167" s="55">
        <f t="shared" si="29"/>
        <v>1439707</v>
      </c>
      <c r="G167" s="55">
        <f t="shared" si="29"/>
        <v>1446097</v>
      </c>
      <c r="H167" s="55">
        <f t="shared" si="29"/>
        <v>1211443</v>
      </c>
    </row>
    <row r="168" spans="1:8" ht="15.75">
      <c r="A168" s="330" t="s">
        <v>156</v>
      </c>
      <c r="B168" s="331"/>
      <c r="C168" s="110">
        <f aca="true" t="shared" si="30" ref="C168:H168">C166-C167</f>
        <v>8058</v>
      </c>
      <c r="D168" s="110">
        <f t="shared" si="30"/>
        <v>14058</v>
      </c>
      <c r="E168" s="110">
        <f t="shared" si="30"/>
        <v>12158</v>
      </c>
      <c r="F168" s="110">
        <f t="shared" si="30"/>
        <v>12978</v>
      </c>
      <c r="G168" s="110">
        <f t="shared" si="30"/>
        <v>12978</v>
      </c>
      <c r="H168" s="110">
        <f t="shared" si="30"/>
        <v>76832</v>
      </c>
    </row>
    <row r="169" spans="1:8" ht="15">
      <c r="A169" s="109" t="s">
        <v>157</v>
      </c>
      <c r="B169" s="8"/>
      <c r="C169" s="55">
        <f aca="true" t="shared" si="31" ref="C169:H169">C136</f>
        <v>536820</v>
      </c>
      <c r="D169" s="55">
        <f t="shared" si="31"/>
        <v>537820</v>
      </c>
      <c r="E169" s="55">
        <f t="shared" si="31"/>
        <v>539820</v>
      </c>
      <c r="F169" s="55">
        <f t="shared" si="31"/>
        <v>539820</v>
      </c>
      <c r="G169" s="55">
        <f t="shared" si="31"/>
        <v>539820</v>
      </c>
      <c r="H169" s="55">
        <f t="shared" si="31"/>
        <v>284379</v>
      </c>
    </row>
    <row r="170" spans="1:8" ht="15">
      <c r="A170" s="109" t="s">
        <v>158</v>
      </c>
      <c r="B170" s="8"/>
      <c r="C170" s="9">
        <f aca="true" t="shared" si="32" ref="C170:H170">C140</f>
        <v>692978</v>
      </c>
      <c r="D170" s="9">
        <f t="shared" si="32"/>
        <v>692978</v>
      </c>
      <c r="E170" s="9">
        <f t="shared" si="32"/>
        <v>772078</v>
      </c>
      <c r="F170" s="9">
        <f t="shared" si="32"/>
        <v>772898</v>
      </c>
      <c r="G170" s="9">
        <f t="shared" si="32"/>
        <v>772898</v>
      </c>
      <c r="H170" s="9">
        <f t="shared" si="32"/>
        <v>342171</v>
      </c>
    </row>
    <row r="171" spans="1:8" ht="15.75">
      <c r="A171" s="332" t="s">
        <v>159</v>
      </c>
      <c r="B171" s="333"/>
      <c r="C171" s="110">
        <f aca="true" t="shared" si="33" ref="C171:H171">C169-C170</f>
        <v>-156158</v>
      </c>
      <c r="D171" s="110">
        <f t="shared" si="33"/>
        <v>-155158</v>
      </c>
      <c r="E171" s="110">
        <f t="shared" si="33"/>
        <v>-232258</v>
      </c>
      <c r="F171" s="110">
        <f t="shared" si="33"/>
        <v>-233078</v>
      </c>
      <c r="G171" s="110">
        <f t="shared" si="33"/>
        <v>-233078</v>
      </c>
      <c r="H171" s="110">
        <f t="shared" si="33"/>
        <v>-57792</v>
      </c>
    </row>
    <row r="172" spans="1:8" ht="15">
      <c r="A172" s="334" t="s">
        <v>160</v>
      </c>
      <c r="B172" s="335"/>
      <c r="C172" s="65">
        <f aca="true" t="shared" si="34" ref="C172:H172">C154</f>
        <v>182000</v>
      </c>
      <c r="D172" s="65">
        <f t="shared" si="34"/>
        <v>175000</v>
      </c>
      <c r="E172" s="65">
        <f t="shared" si="34"/>
        <v>254000</v>
      </c>
      <c r="F172" s="65">
        <f t="shared" si="34"/>
        <v>254000</v>
      </c>
      <c r="G172" s="65">
        <f t="shared" si="34"/>
        <v>254000</v>
      </c>
      <c r="H172" s="65">
        <f t="shared" si="34"/>
        <v>70628</v>
      </c>
    </row>
    <row r="173" spans="1:8" ht="15">
      <c r="A173" s="334" t="s">
        <v>161</v>
      </c>
      <c r="B173" s="335"/>
      <c r="C173" s="65">
        <f aca="true" t="shared" si="35" ref="C173:H173">C157</f>
        <v>33900</v>
      </c>
      <c r="D173" s="65">
        <f t="shared" si="35"/>
        <v>33900</v>
      </c>
      <c r="E173" s="65">
        <f t="shared" si="35"/>
        <v>33900</v>
      </c>
      <c r="F173" s="65">
        <f t="shared" si="35"/>
        <v>33900</v>
      </c>
      <c r="G173" s="65">
        <f t="shared" si="35"/>
        <v>33900</v>
      </c>
      <c r="H173" s="65">
        <f t="shared" si="35"/>
        <v>29780</v>
      </c>
    </row>
    <row r="174" spans="1:8" ht="16.5" thickBot="1">
      <c r="A174" s="336" t="s">
        <v>162</v>
      </c>
      <c r="B174" s="337"/>
      <c r="C174" s="111">
        <f aca="true" t="shared" si="36" ref="C174:H174">C172-C173</f>
        <v>148100</v>
      </c>
      <c r="D174" s="111">
        <f t="shared" si="36"/>
        <v>141100</v>
      </c>
      <c r="E174" s="111">
        <f t="shared" si="36"/>
        <v>220100</v>
      </c>
      <c r="F174" s="111">
        <f t="shared" si="36"/>
        <v>220100</v>
      </c>
      <c r="G174" s="111">
        <f t="shared" si="36"/>
        <v>220100</v>
      </c>
      <c r="H174" s="111">
        <f t="shared" si="36"/>
        <v>40848</v>
      </c>
    </row>
    <row r="175" spans="1:8" ht="16.5" thickBot="1">
      <c r="A175" s="338" t="s">
        <v>163</v>
      </c>
      <c r="B175" s="339"/>
      <c r="C175" s="112">
        <f aca="true" t="shared" si="37" ref="C175:H175">C168+C171+C174</f>
        <v>0</v>
      </c>
      <c r="D175" s="112">
        <f t="shared" si="37"/>
        <v>0</v>
      </c>
      <c r="E175" s="112">
        <f t="shared" si="37"/>
        <v>0</v>
      </c>
      <c r="F175" s="112">
        <f t="shared" si="37"/>
        <v>0</v>
      </c>
      <c r="G175" s="112">
        <f t="shared" si="37"/>
        <v>0</v>
      </c>
      <c r="H175" s="112">
        <f t="shared" si="37"/>
        <v>59888</v>
      </c>
    </row>
    <row r="177" spans="2:8" ht="12.75">
      <c r="B177" s="113" t="s">
        <v>164</v>
      </c>
      <c r="C177" s="114">
        <f aca="true" t="shared" si="38" ref="C177:H178">C166+C169+C172</f>
        <v>2098577</v>
      </c>
      <c r="D177" s="114">
        <f t="shared" si="38"/>
        <v>2123164</v>
      </c>
      <c r="E177" s="114">
        <f t="shared" si="38"/>
        <v>2235245</v>
      </c>
      <c r="F177" s="114">
        <f t="shared" si="38"/>
        <v>2246505</v>
      </c>
      <c r="G177" s="114">
        <f>G166+G169+G172</f>
        <v>2252895</v>
      </c>
      <c r="H177" s="114">
        <f t="shared" si="38"/>
        <v>1643282</v>
      </c>
    </row>
    <row r="178" spans="2:8" ht="12.75">
      <c r="B178" s="113" t="s">
        <v>165</v>
      </c>
      <c r="C178" s="114">
        <f t="shared" si="38"/>
        <v>2098577</v>
      </c>
      <c r="D178" s="114">
        <f t="shared" si="38"/>
        <v>2123164</v>
      </c>
      <c r="E178" s="114">
        <f t="shared" si="38"/>
        <v>2235245</v>
      </c>
      <c r="F178" s="114">
        <f t="shared" si="38"/>
        <v>2246505</v>
      </c>
      <c r="G178" s="114">
        <f>G167+G170+G173</f>
        <v>2252895</v>
      </c>
      <c r="H178" s="114">
        <f t="shared" si="38"/>
        <v>1583394</v>
      </c>
    </row>
    <row r="179" spans="2:8" ht="12.75">
      <c r="B179" s="113"/>
      <c r="C179" s="114"/>
      <c r="D179" s="114"/>
      <c r="E179" s="114"/>
      <c r="F179" s="114"/>
      <c r="G179" s="114"/>
      <c r="H179" s="114"/>
    </row>
    <row r="180" spans="2:8" ht="12.75">
      <c r="B180" s="113" t="s">
        <v>166</v>
      </c>
      <c r="C180" s="114">
        <f aca="true" t="shared" si="39" ref="C180:H180">C177-C65</f>
        <v>2097677</v>
      </c>
      <c r="D180" s="114">
        <f t="shared" si="39"/>
        <v>2122264</v>
      </c>
      <c r="E180" s="114">
        <f t="shared" si="39"/>
        <v>2234345</v>
      </c>
      <c r="F180" s="114">
        <f t="shared" si="39"/>
        <v>2245605</v>
      </c>
      <c r="G180" s="114">
        <f t="shared" si="39"/>
        <v>2251863</v>
      </c>
      <c r="H180" s="114">
        <f t="shared" si="39"/>
        <v>1642250</v>
      </c>
    </row>
    <row r="181" spans="2:8" ht="12.75">
      <c r="B181" s="113" t="s">
        <v>167</v>
      </c>
      <c r="C181" s="114">
        <f aca="true" t="shared" si="40" ref="C181:H181">C178-C128</f>
        <v>1725868</v>
      </c>
      <c r="D181" s="114">
        <f t="shared" si="40"/>
        <v>1725958</v>
      </c>
      <c r="E181" s="114">
        <f t="shared" si="40"/>
        <v>1837980</v>
      </c>
      <c r="F181" s="114">
        <f t="shared" si="40"/>
        <v>1845334</v>
      </c>
      <c r="G181" s="114">
        <f t="shared" si="40"/>
        <v>1852926</v>
      </c>
      <c r="H181" s="114">
        <f t="shared" si="40"/>
        <v>1214802</v>
      </c>
    </row>
    <row r="182" spans="4:7" ht="12.75">
      <c r="D182" s="114"/>
      <c r="E182" s="114"/>
      <c r="F182" s="114"/>
      <c r="G182" s="114"/>
    </row>
    <row r="183" spans="2:7" ht="12.75">
      <c r="B183" t="s">
        <v>278</v>
      </c>
      <c r="D183" s="114"/>
      <c r="E183" s="114"/>
      <c r="F183" s="114"/>
      <c r="G183" s="114"/>
    </row>
    <row r="184" spans="2:8" ht="12.75">
      <c r="B184" s="296" t="s">
        <v>205</v>
      </c>
      <c r="C184" s="296"/>
      <c r="D184" s="296"/>
      <c r="E184" s="296"/>
      <c r="F184" s="296"/>
      <c r="G184" s="296"/>
      <c r="H184" s="296"/>
    </row>
    <row r="185" spans="2:8" ht="12.75">
      <c r="B185" s="296" t="s">
        <v>345</v>
      </c>
      <c r="C185" s="296"/>
      <c r="D185" s="296"/>
      <c r="E185" s="296"/>
      <c r="F185" s="296"/>
      <c r="G185" s="296"/>
      <c r="H185" s="296"/>
    </row>
    <row r="186" spans="2:8" ht="12.75">
      <c r="B186" s="296" t="s">
        <v>344</v>
      </c>
      <c r="C186" s="296"/>
      <c r="D186" s="296"/>
      <c r="E186" s="296"/>
      <c r="F186" s="296"/>
      <c r="G186" s="296"/>
      <c r="H186" s="296"/>
    </row>
    <row r="187" spans="2:8" ht="12.75">
      <c r="B187" s="296" t="s">
        <v>351</v>
      </c>
      <c r="C187" s="296"/>
      <c r="D187" s="296"/>
      <c r="E187" s="296"/>
      <c r="F187" s="296"/>
      <c r="G187" s="296"/>
      <c r="H187" s="296"/>
    </row>
    <row r="188" spans="2:8" ht="12.75">
      <c r="B188" s="296" t="s">
        <v>387</v>
      </c>
      <c r="C188" s="296"/>
      <c r="D188" s="296"/>
      <c r="E188" s="296"/>
      <c r="F188" s="296"/>
      <c r="G188" s="296"/>
      <c r="H188" s="296"/>
    </row>
  </sheetData>
  <sheetProtection/>
  <mergeCells count="64">
    <mergeCell ref="B188:H188"/>
    <mergeCell ref="G4:G5"/>
    <mergeCell ref="G70:G71"/>
    <mergeCell ref="G134:G135"/>
    <mergeCell ref="G152:G153"/>
    <mergeCell ref="F4:F5"/>
    <mergeCell ref="F70:F71"/>
    <mergeCell ref="F134:F135"/>
    <mergeCell ref="F152:F153"/>
    <mergeCell ref="A133:H133"/>
    <mergeCell ref="A134:B135"/>
    <mergeCell ref="C134:C135"/>
    <mergeCell ref="D134:D135"/>
    <mergeCell ref="H134:H135"/>
    <mergeCell ref="E134:E135"/>
    <mergeCell ref="B184:H184"/>
    <mergeCell ref="B185:H185"/>
    <mergeCell ref="A168:B168"/>
    <mergeCell ref="A171:B171"/>
    <mergeCell ref="A172:B172"/>
    <mergeCell ref="A173:B173"/>
    <mergeCell ref="A174:B174"/>
    <mergeCell ref="A175:B175"/>
    <mergeCell ref="A154:B154"/>
    <mergeCell ref="A157:B157"/>
    <mergeCell ref="A163:H163"/>
    <mergeCell ref="A164:B165"/>
    <mergeCell ref="C164:C165"/>
    <mergeCell ref="D164:D165"/>
    <mergeCell ref="H164:H165"/>
    <mergeCell ref="E164:E165"/>
    <mergeCell ref="F164:F165"/>
    <mergeCell ref="G164:G165"/>
    <mergeCell ref="A136:B136"/>
    <mergeCell ref="A140:B140"/>
    <mergeCell ref="A151:H151"/>
    <mergeCell ref="A152:B153"/>
    <mergeCell ref="C152:C153"/>
    <mergeCell ref="D152:D153"/>
    <mergeCell ref="H152:H153"/>
    <mergeCell ref="E152:E153"/>
    <mergeCell ref="A77:B77"/>
    <mergeCell ref="A79:B79"/>
    <mergeCell ref="A110:B110"/>
    <mergeCell ref="A128:B128"/>
    <mergeCell ref="A6:B6"/>
    <mergeCell ref="A14:B14"/>
    <mergeCell ref="A32:B32"/>
    <mergeCell ref="A34:B34"/>
    <mergeCell ref="A70:B71"/>
    <mergeCell ref="C70:C71"/>
    <mergeCell ref="D70:D71"/>
    <mergeCell ref="H70:H71"/>
    <mergeCell ref="E70:E71"/>
    <mergeCell ref="B187:H187"/>
    <mergeCell ref="B186:H186"/>
    <mergeCell ref="A1:H1"/>
    <mergeCell ref="A3:H3"/>
    <mergeCell ref="A4:B5"/>
    <mergeCell ref="C4:C5"/>
    <mergeCell ref="D4:D5"/>
    <mergeCell ref="H4:H5"/>
    <mergeCell ref="E4:E5"/>
    <mergeCell ref="A69:H69"/>
  </mergeCells>
  <printOptions/>
  <pageMargins left="0.4" right="0.48" top="0.57" bottom="0.64" header="0.4921259845" footer="0.492125984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60">
      <selection activeCell="F195" sqref="F195"/>
    </sheetView>
  </sheetViews>
  <sheetFormatPr defaultColWidth="9.140625" defaultRowHeight="12.75"/>
  <cols>
    <col min="1" max="1" width="6.57421875" style="0" customWidth="1"/>
    <col min="2" max="2" width="44.8515625" style="0" customWidth="1"/>
    <col min="3" max="3" width="12.57421875" style="0" customWidth="1"/>
    <col min="4" max="6" width="11.28125" style="0" customWidth="1"/>
    <col min="7" max="7" width="12.57421875" style="0" customWidth="1"/>
  </cols>
  <sheetData>
    <row r="1" spans="1:7" ht="20.25">
      <c r="A1" s="297" t="s">
        <v>210</v>
      </c>
      <c r="B1" s="297"/>
      <c r="C1" s="297"/>
      <c r="D1" s="297"/>
      <c r="E1" s="297"/>
      <c r="F1" s="297"/>
      <c r="G1" s="297"/>
    </row>
    <row r="2" ht="13.5" thickBot="1">
      <c r="G2" s="134"/>
    </row>
    <row r="3" spans="1:7" ht="24" customHeight="1" thickBot="1">
      <c r="A3" s="298" t="s">
        <v>0</v>
      </c>
      <c r="B3" s="299"/>
      <c r="C3" s="299"/>
      <c r="D3" s="299"/>
      <c r="E3" s="299"/>
      <c r="F3" s="299"/>
      <c r="G3" s="300"/>
    </row>
    <row r="4" spans="1:7" ht="12.75">
      <c r="A4" s="301" t="s">
        <v>1</v>
      </c>
      <c r="B4" s="302"/>
      <c r="C4" s="305" t="s">
        <v>207</v>
      </c>
      <c r="D4" s="305" t="s">
        <v>276</v>
      </c>
      <c r="E4" s="305" t="s">
        <v>277</v>
      </c>
      <c r="F4" s="305" t="s">
        <v>325</v>
      </c>
      <c r="G4" s="305" t="s">
        <v>356</v>
      </c>
    </row>
    <row r="5" spans="1:7" ht="13.5" thickBot="1">
      <c r="A5" s="303"/>
      <c r="B5" s="304"/>
      <c r="C5" s="306"/>
      <c r="D5" s="306"/>
      <c r="E5" s="306"/>
      <c r="F5" s="306"/>
      <c r="G5" s="306"/>
    </row>
    <row r="6" spans="1:7" ht="13.5" thickBot="1">
      <c r="A6" s="310" t="s">
        <v>2</v>
      </c>
      <c r="B6" s="311"/>
      <c r="C6" s="135">
        <f>SUM(C7:C13)</f>
        <v>752553</v>
      </c>
      <c r="D6" s="135">
        <f>SUM(D7:D13)</f>
        <v>753553</v>
      </c>
      <c r="E6" s="135">
        <f>SUM(E7:E13)</f>
        <v>754853</v>
      </c>
      <c r="F6" s="135">
        <f>SUM(F7:F13)</f>
        <v>755353</v>
      </c>
      <c r="G6" s="135">
        <f>SUM(G7:G13)</f>
        <v>571727</v>
      </c>
    </row>
    <row r="7" spans="1:7" ht="13.5" thickBot="1">
      <c r="A7" s="1">
        <v>111</v>
      </c>
      <c r="B7" s="2" t="s">
        <v>3</v>
      </c>
      <c r="C7" s="3">
        <v>700000</v>
      </c>
      <c r="D7" s="3">
        <v>700000</v>
      </c>
      <c r="E7" s="3">
        <v>700000</v>
      </c>
      <c r="F7" s="3">
        <v>700000</v>
      </c>
      <c r="G7" s="3">
        <v>528684</v>
      </c>
    </row>
    <row r="8" spans="1:7" ht="13.5" thickBot="1">
      <c r="A8" s="20">
        <v>121</v>
      </c>
      <c r="B8" s="21" t="s">
        <v>181</v>
      </c>
      <c r="C8" s="23">
        <v>30273</v>
      </c>
      <c r="D8" s="23">
        <v>30273</v>
      </c>
      <c r="E8" s="23">
        <v>30273</v>
      </c>
      <c r="F8" s="23">
        <v>30273</v>
      </c>
      <c r="G8" s="23">
        <v>22998</v>
      </c>
    </row>
    <row r="9" spans="1:7" ht="12.75">
      <c r="A9" s="4">
        <v>133</v>
      </c>
      <c r="B9" s="5" t="s">
        <v>4</v>
      </c>
      <c r="C9" s="6">
        <v>1000</v>
      </c>
      <c r="D9" s="6">
        <v>1000</v>
      </c>
      <c r="E9" s="6">
        <v>1000</v>
      </c>
      <c r="F9" s="6">
        <v>1000</v>
      </c>
      <c r="G9" s="6">
        <v>958</v>
      </c>
    </row>
    <row r="10" spans="1:7" ht="12.75">
      <c r="A10" s="7">
        <v>133</v>
      </c>
      <c r="B10" s="8" t="s">
        <v>5</v>
      </c>
      <c r="C10" s="9">
        <v>280</v>
      </c>
      <c r="D10" s="9">
        <v>280</v>
      </c>
      <c r="E10" s="9">
        <v>280</v>
      </c>
      <c r="F10" s="9">
        <v>280</v>
      </c>
      <c r="G10" s="9">
        <v>239</v>
      </c>
    </row>
    <row r="11" spans="1:7" ht="12.75">
      <c r="A11" s="7">
        <v>133</v>
      </c>
      <c r="B11" s="8" t="s">
        <v>6</v>
      </c>
      <c r="C11" s="9">
        <v>1000</v>
      </c>
      <c r="D11" s="9">
        <v>1000</v>
      </c>
      <c r="E11" s="181">
        <v>1300</v>
      </c>
      <c r="F11" s="181">
        <v>1800</v>
      </c>
      <c r="G11" s="9">
        <v>1195</v>
      </c>
    </row>
    <row r="12" spans="1:7" ht="12.75">
      <c r="A12" s="7">
        <v>133</v>
      </c>
      <c r="B12" s="8" t="s">
        <v>7</v>
      </c>
      <c r="C12" s="9">
        <v>5000</v>
      </c>
      <c r="D12" s="9">
        <v>5000</v>
      </c>
      <c r="E12" s="9">
        <v>5000</v>
      </c>
      <c r="F12" s="9">
        <v>5000</v>
      </c>
      <c r="G12" s="9">
        <v>3484</v>
      </c>
    </row>
    <row r="13" spans="1:7" ht="13.5" thickBot="1">
      <c r="A13" s="10">
        <v>133</v>
      </c>
      <c r="B13" s="11" t="s">
        <v>8</v>
      </c>
      <c r="C13" s="13">
        <v>15000</v>
      </c>
      <c r="D13" s="180">
        <v>16000</v>
      </c>
      <c r="E13" s="180">
        <v>17000</v>
      </c>
      <c r="F13" s="267">
        <v>17000</v>
      </c>
      <c r="G13" s="12">
        <v>14169</v>
      </c>
    </row>
    <row r="14" spans="1:7" ht="13.5" thickBot="1">
      <c r="A14" s="310" t="s">
        <v>9</v>
      </c>
      <c r="B14" s="311"/>
      <c r="C14" s="135">
        <f>SUM(C15:C31)</f>
        <v>119460</v>
      </c>
      <c r="D14" s="135">
        <f>SUM(D15:D31)</f>
        <v>123522</v>
      </c>
      <c r="E14" s="135">
        <f>SUM(E15:E31)</f>
        <v>134722</v>
      </c>
      <c r="F14" s="135">
        <f>SUM(F15:F31)</f>
        <v>141442</v>
      </c>
      <c r="G14" s="135">
        <f>SUM(G15:G31)</f>
        <v>96729</v>
      </c>
    </row>
    <row r="15" spans="1:7" ht="12.75">
      <c r="A15" s="14">
        <v>212</v>
      </c>
      <c r="B15" s="15" t="s">
        <v>10</v>
      </c>
      <c r="C15" s="16">
        <v>490</v>
      </c>
      <c r="D15" s="16">
        <v>490</v>
      </c>
      <c r="E15" s="16">
        <v>490</v>
      </c>
      <c r="F15" s="16">
        <v>490</v>
      </c>
      <c r="G15" s="16">
        <v>286</v>
      </c>
    </row>
    <row r="16" spans="1:7" ht="12.75">
      <c r="A16" s="4">
        <v>212</v>
      </c>
      <c r="B16" s="5" t="s">
        <v>11</v>
      </c>
      <c r="C16" s="6">
        <v>200</v>
      </c>
      <c r="D16" s="6">
        <v>200</v>
      </c>
      <c r="E16" s="6">
        <v>200</v>
      </c>
      <c r="F16" s="6">
        <v>200</v>
      </c>
      <c r="G16" s="6">
        <v>149</v>
      </c>
    </row>
    <row r="17" spans="1:7" ht="12.75">
      <c r="A17" s="7">
        <v>212</v>
      </c>
      <c r="B17" s="8" t="s">
        <v>12</v>
      </c>
      <c r="C17" s="9">
        <v>3943</v>
      </c>
      <c r="D17" s="204">
        <v>3943</v>
      </c>
      <c r="E17" s="204">
        <v>3943</v>
      </c>
      <c r="F17" s="204">
        <f>3943</f>
        <v>3943</v>
      </c>
      <c r="G17" s="9">
        <v>2919</v>
      </c>
    </row>
    <row r="18" spans="1:7" ht="12.75">
      <c r="A18" s="7">
        <v>212</v>
      </c>
      <c r="B18" s="8" t="s">
        <v>198</v>
      </c>
      <c r="C18" s="9">
        <v>12157</v>
      </c>
      <c r="D18" s="181">
        <f>13089+100+300</f>
        <v>13489</v>
      </c>
      <c r="E18" s="181">
        <f>15189+500</f>
        <v>15689</v>
      </c>
      <c r="F18" s="204">
        <f>15189+500</f>
        <v>15689</v>
      </c>
      <c r="G18" s="9">
        <v>9981</v>
      </c>
    </row>
    <row r="19" spans="1:9" ht="13.5" thickBot="1">
      <c r="A19" s="17">
        <v>212</v>
      </c>
      <c r="B19" s="18" t="s">
        <v>199</v>
      </c>
      <c r="C19" s="19">
        <v>20</v>
      </c>
      <c r="D19" s="19">
        <v>20</v>
      </c>
      <c r="E19" s="19">
        <v>20</v>
      </c>
      <c r="F19" s="19">
        <v>20</v>
      </c>
      <c r="G19" s="19">
        <v>0</v>
      </c>
      <c r="H19" s="114">
        <f>SUM(F15:F19)</f>
        <v>20342</v>
      </c>
      <c r="I19" s="114">
        <f>SUM(G15:G19)</f>
        <v>13335</v>
      </c>
    </row>
    <row r="20" spans="1:7" ht="13.5" thickBot="1">
      <c r="A20" s="20">
        <v>221</v>
      </c>
      <c r="B20" s="21" t="s">
        <v>13</v>
      </c>
      <c r="C20" s="22">
        <v>10800</v>
      </c>
      <c r="D20" s="22">
        <v>10800</v>
      </c>
      <c r="E20" s="22">
        <v>10800</v>
      </c>
      <c r="F20" s="22">
        <v>10800</v>
      </c>
      <c r="G20" s="22">
        <v>3194</v>
      </c>
    </row>
    <row r="21" spans="1:7" ht="13.5" thickBot="1">
      <c r="A21" s="20">
        <v>222</v>
      </c>
      <c r="B21" s="21" t="s">
        <v>14</v>
      </c>
      <c r="C21" s="23">
        <v>500</v>
      </c>
      <c r="D21" s="23">
        <v>500</v>
      </c>
      <c r="E21" s="23">
        <v>500</v>
      </c>
      <c r="F21" s="23">
        <v>500</v>
      </c>
      <c r="G21" s="23">
        <v>0</v>
      </c>
    </row>
    <row r="22" spans="1:7" ht="12.75">
      <c r="A22" s="4">
        <v>223</v>
      </c>
      <c r="B22" s="5" t="s">
        <v>15</v>
      </c>
      <c r="C22" s="6">
        <v>900</v>
      </c>
      <c r="D22" s="6">
        <v>900</v>
      </c>
      <c r="E22" s="6">
        <v>900</v>
      </c>
      <c r="F22" s="6">
        <v>900</v>
      </c>
      <c r="G22" s="6">
        <v>398</v>
      </c>
    </row>
    <row r="23" spans="1:7" ht="12.75">
      <c r="A23" s="7">
        <v>223</v>
      </c>
      <c r="B23" s="8" t="s">
        <v>16</v>
      </c>
      <c r="C23" s="9">
        <v>11000</v>
      </c>
      <c r="D23" s="9">
        <v>11000</v>
      </c>
      <c r="E23" s="9">
        <v>11000</v>
      </c>
      <c r="F23" s="9">
        <v>11000</v>
      </c>
      <c r="G23" s="9">
        <v>7374</v>
      </c>
    </row>
    <row r="24" spans="1:7" ht="12.75">
      <c r="A24" s="7">
        <v>223</v>
      </c>
      <c r="B24" s="8" t="s">
        <v>17</v>
      </c>
      <c r="C24" s="9">
        <v>15500</v>
      </c>
      <c r="D24" s="9">
        <v>15500</v>
      </c>
      <c r="E24" s="181">
        <f>21500+3000</f>
        <v>24500</v>
      </c>
      <c r="F24" s="181">
        <f>21500+3000+6720</f>
        <v>31220</v>
      </c>
      <c r="G24" s="9">
        <v>30831</v>
      </c>
    </row>
    <row r="25" spans="1:7" ht="12.75">
      <c r="A25" s="7">
        <v>223</v>
      </c>
      <c r="B25" s="8" t="s">
        <v>18</v>
      </c>
      <c r="C25" s="9">
        <v>200</v>
      </c>
      <c r="D25" s="181">
        <f>200+2630</f>
        <v>2830</v>
      </c>
      <c r="E25" s="204">
        <f>200+2630</f>
        <v>2830</v>
      </c>
      <c r="F25" s="204">
        <f>200+2630</f>
        <v>2830</v>
      </c>
      <c r="G25" s="9">
        <f>157+2630</f>
        <v>2787</v>
      </c>
    </row>
    <row r="26" spans="1:7" ht="12.75">
      <c r="A26" s="7">
        <v>223</v>
      </c>
      <c r="B26" s="8" t="s">
        <v>19</v>
      </c>
      <c r="C26" s="9">
        <v>600</v>
      </c>
      <c r="D26" s="9">
        <v>600</v>
      </c>
      <c r="E26" s="9">
        <v>600</v>
      </c>
      <c r="F26" s="9">
        <v>600</v>
      </c>
      <c r="G26" s="9">
        <v>477</v>
      </c>
    </row>
    <row r="27" spans="1:7" ht="12.75">
      <c r="A27" s="7">
        <v>223</v>
      </c>
      <c r="B27" s="8" t="s">
        <v>20</v>
      </c>
      <c r="C27" s="9">
        <v>30000</v>
      </c>
      <c r="D27" s="9">
        <v>30000</v>
      </c>
      <c r="E27" s="9">
        <v>30000</v>
      </c>
      <c r="F27" s="9">
        <v>30000</v>
      </c>
      <c r="G27" s="9">
        <v>19392</v>
      </c>
    </row>
    <row r="28" spans="1:7" ht="12.75">
      <c r="A28" s="7">
        <v>223</v>
      </c>
      <c r="B28" s="8" t="s">
        <v>21</v>
      </c>
      <c r="C28" s="9">
        <v>23050</v>
      </c>
      <c r="D28" s="181">
        <v>23150</v>
      </c>
      <c r="E28" s="204">
        <v>23150</v>
      </c>
      <c r="F28" s="204">
        <v>23150</v>
      </c>
      <c r="G28" s="9">
        <v>14087</v>
      </c>
    </row>
    <row r="29" spans="1:7" ht="12.75">
      <c r="A29" s="7">
        <v>223</v>
      </c>
      <c r="B29" s="8" t="s">
        <v>22</v>
      </c>
      <c r="C29" s="24">
        <v>9000</v>
      </c>
      <c r="D29" s="24">
        <v>9000</v>
      </c>
      <c r="E29" s="24">
        <v>9000</v>
      </c>
      <c r="F29" s="24">
        <v>9000</v>
      </c>
      <c r="G29" s="24">
        <v>4120</v>
      </c>
    </row>
    <row r="30" spans="1:7" ht="12.75">
      <c r="A30" s="7">
        <v>223</v>
      </c>
      <c r="B30" s="8" t="s">
        <v>23</v>
      </c>
      <c r="C30" s="9">
        <v>1000</v>
      </c>
      <c r="D30" s="9">
        <v>1000</v>
      </c>
      <c r="E30" s="9">
        <v>1000</v>
      </c>
      <c r="F30" s="9">
        <v>1000</v>
      </c>
      <c r="G30" s="9">
        <v>724</v>
      </c>
    </row>
    <row r="31" spans="1:9" ht="13.5" thickBot="1">
      <c r="A31" s="10">
        <v>223</v>
      </c>
      <c r="B31" s="11" t="s">
        <v>24</v>
      </c>
      <c r="C31" s="12">
        <v>100</v>
      </c>
      <c r="D31" s="12">
        <v>100</v>
      </c>
      <c r="E31" s="12">
        <v>100</v>
      </c>
      <c r="F31" s="12">
        <v>100</v>
      </c>
      <c r="G31" s="12">
        <v>10</v>
      </c>
      <c r="H31" s="114">
        <f>SUM(F20:F31)</f>
        <v>121100</v>
      </c>
      <c r="I31" s="114">
        <f>SUM(G20:G31)</f>
        <v>83394</v>
      </c>
    </row>
    <row r="32" spans="1:7" ht="13.5" thickBot="1">
      <c r="A32" s="310" t="s">
        <v>25</v>
      </c>
      <c r="B32" s="311"/>
      <c r="C32" s="135">
        <f>SUM(C33)</f>
        <v>490</v>
      </c>
      <c r="D32" s="135">
        <f>SUM(D33)</f>
        <v>490</v>
      </c>
      <c r="E32" s="135">
        <f>SUM(E33)</f>
        <v>700</v>
      </c>
      <c r="F32" s="135">
        <f>SUM(F33)</f>
        <v>700</v>
      </c>
      <c r="G32" s="135">
        <f>SUM(G33)</f>
        <v>520</v>
      </c>
    </row>
    <row r="33" spans="1:7" ht="13.5" thickBot="1">
      <c r="A33" s="25">
        <v>240</v>
      </c>
      <c r="B33" s="18" t="s">
        <v>26</v>
      </c>
      <c r="C33" s="19">
        <v>490</v>
      </c>
      <c r="D33" s="19">
        <v>490</v>
      </c>
      <c r="E33" s="253">
        <f>490+210</f>
        <v>700</v>
      </c>
      <c r="F33" s="268">
        <f>490+210</f>
        <v>700</v>
      </c>
      <c r="G33" s="19">
        <v>520</v>
      </c>
    </row>
    <row r="34" spans="1:7" ht="13.5" thickBot="1">
      <c r="A34" s="310" t="s">
        <v>27</v>
      </c>
      <c r="B34" s="311"/>
      <c r="C34" s="135">
        <f>SUM(C35:C47)</f>
        <v>32789</v>
      </c>
      <c r="D34" s="135">
        <f>SUM(D35:D47)</f>
        <v>34905</v>
      </c>
      <c r="E34" s="135">
        <f>SUM(E35:E47)</f>
        <v>37017</v>
      </c>
      <c r="F34" s="135">
        <f>SUM(F35:F47)</f>
        <v>37017</v>
      </c>
      <c r="G34" s="135">
        <f>SUM(G35:G47)</f>
        <v>19052</v>
      </c>
    </row>
    <row r="35" spans="1:7" ht="12.75">
      <c r="A35" s="26">
        <v>292</v>
      </c>
      <c r="B35" s="27" t="s">
        <v>182</v>
      </c>
      <c r="C35" s="28">
        <v>200</v>
      </c>
      <c r="D35" s="28">
        <v>200</v>
      </c>
      <c r="E35" s="28">
        <v>200</v>
      </c>
      <c r="F35" s="28">
        <v>200</v>
      </c>
      <c r="G35" s="28">
        <v>0</v>
      </c>
    </row>
    <row r="36" spans="1:7" ht="12.75">
      <c r="A36" s="26">
        <v>292</v>
      </c>
      <c r="B36" s="27" t="s">
        <v>28</v>
      </c>
      <c r="C36" s="28">
        <v>100</v>
      </c>
      <c r="D36" s="28">
        <v>100</v>
      </c>
      <c r="E36" s="249">
        <v>200</v>
      </c>
      <c r="F36" s="28">
        <v>200</v>
      </c>
      <c r="G36" s="28">
        <v>135</v>
      </c>
    </row>
    <row r="37" spans="1:7" ht="12.75">
      <c r="A37" s="29">
        <v>292</v>
      </c>
      <c r="B37" s="30" t="s">
        <v>29</v>
      </c>
      <c r="C37" s="31">
        <v>5000</v>
      </c>
      <c r="D37" s="183">
        <v>5025</v>
      </c>
      <c r="E37" s="31">
        <v>5025</v>
      </c>
      <c r="F37" s="31">
        <v>5025</v>
      </c>
      <c r="G37" s="31">
        <f>25</f>
        <v>25</v>
      </c>
    </row>
    <row r="38" spans="1:7" ht="12.75">
      <c r="A38" s="29">
        <v>292</v>
      </c>
      <c r="B38" s="8" t="s">
        <v>183</v>
      </c>
      <c r="C38" s="32">
        <v>160</v>
      </c>
      <c r="D38" s="32">
        <v>160</v>
      </c>
      <c r="E38" s="182">
        <v>172</v>
      </c>
      <c r="F38" s="136">
        <v>172</v>
      </c>
      <c r="G38" s="136">
        <v>86</v>
      </c>
    </row>
    <row r="39" spans="1:7" ht="12.75">
      <c r="A39" s="29">
        <v>292</v>
      </c>
      <c r="B39" s="30" t="s">
        <v>184</v>
      </c>
      <c r="C39" s="31">
        <v>2000</v>
      </c>
      <c r="D39" s="31">
        <v>2000</v>
      </c>
      <c r="E39" s="31">
        <v>2000</v>
      </c>
      <c r="F39" s="183">
        <v>1500</v>
      </c>
      <c r="G39" s="31">
        <v>106</v>
      </c>
    </row>
    <row r="40" spans="1:7" ht="12.75">
      <c r="A40" s="29">
        <v>292</v>
      </c>
      <c r="B40" s="30" t="s">
        <v>30</v>
      </c>
      <c r="C40" s="31">
        <v>300</v>
      </c>
      <c r="D40" s="31">
        <v>300</v>
      </c>
      <c r="E40" s="31">
        <v>300</v>
      </c>
      <c r="F40" s="31">
        <v>300</v>
      </c>
      <c r="G40" s="31">
        <v>0</v>
      </c>
    </row>
    <row r="41" spans="1:7" ht="12.75">
      <c r="A41" s="29">
        <v>292</v>
      </c>
      <c r="B41" s="30" t="s">
        <v>237</v>
      </c>
      <c r="C41" s="31">
        <v>120</v>
      </c>
      <c r="D41" s="183">
        <f>1587-794</f>
        <v>793</v>
      </c>
      <c r="E41" s="31">
        <f>1587-794</f>
        <v>793</v>
      </c>
      <c r="F41" s="31">
        <f>1587-794</f>
        <v>793</v>
      </c>
      <c r="G41" s="31">
        <v>793</v>
      </c>
    </row>
    <row r="42" spans="1:7" ht="12.75">
      <c r="A42" s="137">
        <v>292</v>
      </c>
      <c r="B42" s="138" t="s">
        <v>185</v>
      </c>
      <c r="C42" s="139">
        <v>1509</v>
      </c>
      <c r="D42" s="184">
        <v>1527</v>
      </c>
      <c r="E42" s="245">
        <v>1527</v>
      </c>
      <c r="F42" s="245">
        <v>1527</v>
      </c>
      <c r="G42" s="139">
        <v>1527</v>
      </c>
    </row>
    <row r="43" spans="1:7" ht="12.75">
      <c r="A43" s="29">
        <v>292</v>
      </c>
      <c r="B43" s="8" t="s">
        <v>31</v>
      </c>
      <c r="C43" s="32">
        <v>6800</v>
      </c>
      <c r="D43" s="182">
        <v>8200</v>
      </c>
      <c r="E43" s="182">
        <f>8200+2000</f>
        <v>10200</v>
      </c>
      <c r="F43" s="182">
        <v>10700</v>
      </c>
      <c r="G43" s="32">
        <v>5526</v>
      </c>
    </row>
    <row r="44" spans="1:7" ht="12.75">
      <c r="A44" s="29">
        <v>292</v>
      </c>
      <c r="B44" s="8" t="s">
        <v>32</v>
      </c>
      <c r="C44" s="32">
        <v>2000</v>
      </c>
      <c r="D44" s="182">
        <v>2000</v>
      </c>
      <c r="E44" s="136">
        <v>2000</v>
      </c>
      <c r="F44" s="136">
        <v>2000</v>
      </c>
      <c r="G44" s="32">
        <v>758</v>
      </c>
    </row>
    <row r="45" spans="1:7" ht="12.75">
      <c r="A45" s="29">
        <v>292</v>
      </c>
      <c r="B45" s="8" t="s">
        <v>33</v>
      </c>
      <c r="C45" s="32">
        <v>100</v>
      </c>
      <c r="D45" s="32">
        <v>100</v>
      </c>
      <c r="E45" s="32">
        <v>100</v>
      </c>
      <c r="F45" s="32">
        <v>100</v>
      </c>
      <c r="G45" s="32">
        <v>60</v>
      </c>
    </row>
    <row r="46" spans="1:7" ht="12.75">
      <c r="A46" s="7">
        <v>292</v>
      </c>
      <c r="B46" s="8" t="s">
        <v>186</v>
      </c>
      <c r="C46" s="9">
        <v>12000</v>
      </c>
      <c r="D46" s="9">
        <v>12000</v>
      </c>
      <c r="E46" s="9">
        <v>12000</v>
      </c>
      <c r="F46" s="9">
        <v>12000</v>
      </c>
      <c r="G46" s="9">
        <v>7657</v>
      </c>
    </row>
    <row r="47" spans="1:7" ht="13.5" thickBot="1">
      <c r="A47" s="29">
        <v>292</v>
      </c>
      <c r="B47" s="30" t="s">
        <v>187</v>
      </c>
      <c r="C47" s="31">
        <v>2500</v>
      </c>
      <c r="D47" s="31">
        <v>2500</v>
      </c>
      <c r="E47" s="31">
        <v>2500</v>
      </c>
      <c r="F47" s="31">
        <v>2500</v>
      </c>
      <c r="G47" s="31">
        <v>2379</v>
      </c>
    </row>
    <row r="48" spans="1:7" ht="13.5" thickBot="1">
      <c r="A48" s="33" t="s">
        <v>34</v>
      </c>
      <c r="B48" s="34"/>
      <c r="C48" s="140">
        <f>SUM(C49:C63)</f>
        <v>473565</v>
      </c>
      <c r="D48" s="140">
        <f>SUM(D49:D63)</f>
        <v>496974</v>
      </c>
      <c r="E48" s="140">
        <f>SUM(E49:E63)</f>
        <v>513233</v>
      </c>
      <c r="F48" s="140">
        <f>SUM(F49:F63)</f>
        <v>517273</v>
      </c>
      <c r="G48" s="140">
        <f>SUM(G49:G63)</f>
        <v>361216</v>
      </c>
    </row>
    <row r="49" spans="1:7" ht="12.75">
      <c r="A49" s="35">
        <v>311</v>
      </c>
      <c r="B49" s="5" t="s">
        <v>293</v>
      </c>
      <c r="C49" s="6">
        <v>0</v>
      </c>
      <c r="D49" s="6">
        <v>0</v>
      </c>
      <c r="E49" s="247">
        <f>2000+200</f>
        <v>2200</v>
      </c>
      <c r="F49" s="148">
        <f>2000+200</f>
        <v>2200</v>
      </c>
      <c r="G49" s="6">
        <v>2200</v>
      </c>
    </row>
    <row r="50" spans="1:7" ht="12.75">
      <c r="A50" s="141">
        <v>312</v>
      </c>
      <c r="B50" s="142" t="s">
        <v>36</v>
      </c>
      <c r="C50" s="143">
        <v>15600</v>
      </c>
      <c r="D50" s="143">
        <v>15600</v>
      </c>
      <c r="E50" s="143">
        <v>15600</v>
      </c>
      <c r="F50" s="143">
        <v>15600</v>
      </c>
      <c r="G50" s="143">
        <v>9407</v>
      </c>
    </row>
    <row r="51" spans="1:7" ht="12.75">
      <c r="A51" s="144">
        <v>312</v>
      </c>
      <c r="B51" s="145" t="s">
        <v>200</v>
      </c>
      <c r="C51" s="146">
        <v>12000</v>
      </c>
      <c r="D51" s="185">
        <v>10000</v>
      </c>
      <c r="E51" s="185">
        <v>11400</v>
      </c>
      <c r="F51" s="146">
        <v>11400</v>
      </c>
      <c r="G51" s="146">
        <v>7849</v>
      </c>
    </row>
    <row r="52" spans="1:7" ht="12.75">
      <c r="A52" s="35">
        <v>312</v>
      </c>
      <c r="B52" s="8" t="s">
        <v>37</v>
      </c>
      <c r="C52" s="6">
        <v>7200</v>
      </c>
      <c r="D52" s="6">
        <v>7200</v>
      </c>
      <c r="E52" s="6">
        <v>7200</v>
      </c>
      <c r="F52" s="6">
        <v>7200</v>
      </c>
      <c r="G52" s="6">
        <v>4990</v>
      </c>
    </row>
    <row r="53" spans="1:7" ht="12.75">
      <c r="A53" s="35">
        <v>312</v>
      </c>
      <c r="B53" s="8" t="s">
        <v>327</v>
      </c>
      <c r="C53" s="6">
        <v>0</v>
      </c>
      <c r="D53" s="6">
        <v>0</v>
      </c>
      <c r="E53" s="6">
        <v>0</v>
      </c>
      <c r="F53" s="247">
        <v>72</v>
      </c>
      <c r="G53" s="6">
        <v>24</v>
      </c>
    </row>
    <row r="54" spans="1:7" ht="12.75">
      <c r="A54" s="35">
        <v>312</v>
      </c>
      <c r="B54" s="36" t="s">
        <v>38</v>
      </c>
      <c r="C54" s="147">
        <v>13500</v>
      </c>
      <c r="D54" s="260">
        <f>4100+9400+794</f>
        <v>14294</v>
      </c>
      <c r="E54" s="260">
        <f>4100+9400+794+12000</f>
        <v>26294</v>
      </c>
      <c r="F54" s="147">
        <f>4100+9400+794+12000</f>
        <v>26294</v>
      </c>
      <c r="G54" s="147">
        <f>794+4895+5897</f>
        <v>11586</v>
      </c>
    </row>
    <row r="55" spans="1:7" ht="12.75">
      <c r="A55" s="35">
        <v>312</v>
      </c>
      <c r="B55" s="36" t="s">
        <v>188</v>
      </c>
      <c r="C55" s="147">
        <v>44465</v>
      </c>
      <c r="D55" s="147">
        <v>44465</v>
      </c>
      <c r="E55" s="147">
        <v>44465</v>
      </c>
      <c r="F55" s="147">
        <v>44465</v>
      </c>
      <c r="G55" s="148">
        <v>18420</v>
      </c>
    </row>
    <row r="56" spans="1:7" ht="12.75">
      <c r="A56" s="35">
        <v>312</v>
      </c>
      <c r="B56" s="36" t="s">
        <v>39</v>
      </c>
      <c r="C56" s="6">
        <v>10000</v>
      </c>
      <c r="D56" s="6">
        <v>10000</v>
      </c>
      <c r="E56" s="6">
        <v>10000</v>
      </c>
      <c r="F56" s="6">
        <v>10000</v>
      </c>
      <c r="G56" s="6">
        <v>7510</v>
      </c>
    </row>
    <row r="57" spans="1:7" ht="12.75">
      <c r="A57" s="35">
        <v>312</v>
      </c>
      <c r="B57" s="36" t="s">
        <v>40</v>
      </c>
      <c r="C57" s="6">
        <v>18000</v>
      </c>
      <c r="D57" s="6">
        <v>18000</v>
      </c>
      <c r="E57" s="6">
        <v>18000</v>
      </c>
      <c r="F57" s="6">
        <v>18000</v>
      </c>
      <c r="G57" s="6">
        <v>13500</v>
      </c>
    </row>
    <row r="58" spans="1:7" ht="12.75">
      <c r="A58" s="35">
        <v>312</v>
      </c>
      <c r="B58" s="36" t="s">
        <v>41</v>
      </c>
      <c r="C58" s="6">
        <v>6400</v>
      </c>
      <c r="D58" s="6">
        <v>6400</v>
      </c>
      <c r="E58" s="6">
        <v>6400</v>
      </c>
      <c r="F58" s="6">
        <v>6400</v>
      </c>
      <c r="G58" s="148">
        <v>5219</v>
      </c>
    </row>
    <row r="59" spans="1:7" ht="12.75">
      <c r="A59" s="35">
        <v>312</v>
      </c>
      <c r="B59" s="36" t="s">
        <v>209</v>
      </c>
      <c r="C59" s="6">
        <v>0</v>
      </c>
      <c r="D59" s="6">
        <v>0</v>
      </c>
      <c r="E59" s="247">
        <v>600</v>
      </c>
      <c r="F59" s="148">
        <v>600</v>
      </c>
      <c r="G59" s="147">
        <v>0</v>
      </c>
    </row>
    <row r="60" spans="1:7" ht="12.75">
      <c r="A60" s="37">
        <v>312</v>
      </c>
      <c r="B60" s="8" t="s">
        <v>190</v>
      </c>
      <c r="C60" s="9">
        <v>3700</v>
      </c>
      <c r="D60" s="181">
        <v>3720</v>
      </c>
      <c r="E60" s="204">
        <v>3720</v>
      </c>
      <c r="F60" s="181">
        <f>3720+62</f>
        <v>3782</v>
      </c>
      <c r="G60" s="9">
        <v>3778</v>
      </c>
    </row>
    <row r="61" spans="1:7" ht="12.75">
      <c r="A61" s="37">
        <v>312</v>
      </c>
      <c r="B61" s="38" t="s">
        <v>202</v>
      </c>
      <c r="C61" s="39">
        <v>3000</v>
      </c>
      <c r="D61" s="39">
        <v>3000</v>
      </c>
      <c r="E61" s="248">
        <v>3000</v>
      </c>
      <c r="F61" s="248">
        <v>3000</v>
      </c>
      <c r="G61" s="39">
        <v>2939</v>
      </c>
    </row>
    <row r="62" spans="1:7" ht="12.75">
      <c r="A62" s="37">
        <v>312</v>
      </c>
      <c r="B62" s="40" t="s">
        <v>42</v>
      </c>
      <c r="C62" s="39">
        <v>2000</v>
      </c>
      <c r="D62" s="186">
        <v>2116</v>
      </c>
      <c r="E62" s="248">
        <v>2116</v>
      </c>
      <c r="F62" s="248">
        <v>2116</v>
      </c>
      <c r="G62" s="39">
        <v>1411</v>
      </c>
    </row>
    <row r="63" spans="1:7" ht="13.5" thickBot="1">
      <c r="A63" s="37">
        <v>312</v>
      </c>
      <c r="B63" s="41" t="s">
        <v>43</v>
      </c>
      <c r="C63" s="42">
        <v>337700</v>
      </c>
      <c r="D63" s="261">
        <v>362179</v>
      </c>
      <c r="E63" s="261">
        <f>362179+59</f>
        <v>362238</v>
      </c>
      <c r="F63" s="261">
        <f>362179+59+2600+1306</f>
        <v>366144</v>
      </c>
      <c r="G63" s="42">
        <v>272383</v>
      </c>
    </row>
    <row r="64" spans="1:7" ht="16.5" thickBot="1">
      <c r="A64" s="43" t="s">
        <v>44</v>
      </c>
      <c r="B64" s="44"/>
      <c r="C64" s="149">
        <f>SUM(C6+C14+C32+C34+C48)</f>
        <v>1378857</v>
      </c>
      <c r="D64" s="149">
        <f>SUM(D6+D14+D32+D34+D48)</f>
        <v>1409444</v>
      </c>
      <c r="E64" s="149">
        <f>SUM(E6+E14+E32+E34+E48)</f>
        <v>1440525</v>
      </c>
      <c r="F64" s="149">
        <f>SUM(F6+F14+F32+F34+F48)</f>
        <v>1451785</v>
      </c>
      <c r="G64" s="149">
        <f>SUM(G6+G14+G32+G34+G48)</f>
        <v>1049244</v>
      </c>
    </row>
    <row r="65" spans="1:7" ht="16.5" thickBot="1">
      <c r="A65" s="45"/>
      <c r="B65" s="46" t="s">
        <v>45</v>
      </c>
      <c r="C65" s="150">
        <v>900</v>
      </c>
      <c r="D65" s="150">
        <v>900</v>
      </c>
      <c r="E65" s="150">
        <v>900</v>
      </c>
      <c r="F65" s="150">
        <v>900</v>
      </c>
      <c r="G65" s="150">
        <v>640</v>
      </c>
    </row>
    <row r="66" spans="1:7" ht="16.5" thickBot="1">
      <c r="A66" s="43" t="s">
        <v>46</v>
      </c>
      <c r="B66" s="34"/>
      <c r="C66" s="149">
        <f>SUM(C64:C65)</f>
        <v>1379757</v>
      </c>
      <c r="D66" s="149">
        <f>SUM(D64:D65)</f>
        <v>1410344</v>
      </c>
      <c r="E66" s="149">
        <f>SUM(E64:E65)</f>
        <v>1441425</v>
      </c>
      <c r="F66" s="149">
        <f>SUM(F64:F65)</f>
        <v>1452685</v>
      </c>
      <c r="G66" s="149">
        <f>SUM(G64:G65)</f>
        <v>1049884</v>
      </c>
    </row>
    <row r="67" spans="1:7" ht="15.75">
      <c r="A67" s="47"/>
      <c r="B67" s="48"/>
      <c r="C67" s="48"/>
      <c r="D67" s="49"/>
      <c r="E67" s="49"/>
      <c r="F67" s="49"/>
      <c r="G67" s="49"/>
    </row>
    <row r="68" spans="1:7" ht="16.5" thickBot="1">
      <c r="A68" s="47"/>
      <c r="B68" s="48"/>
      <c r="C68" s="48"/>
      <c r="D68" s="48"/>
      <c r="E68" s="48"/>
      <c r="F68" s="48"/>
      <c r="G68" s="48"/>
    </row>
    <row r="69" spans="1:7" ht="32.25" customHeight="1" thickBot="1">
      <c r="A69" s="307" t="s">
        <v>47</v>
      </c>
      <c r="B69" s="308"/>
      <c r="C69" s="308"/>
      <c r="D69" s="308"/>
      <c r="E69" s="308"/>
      <c r="F69" s="308"/>
      <c r="G69" s="309"/>
    </row>
    <row r="70" spans="1:7" ht="12.75" customHeight="1">
      <c r="A70" s="301" t="s">
        <v>1</v>
      </c>
      <c r="B70" s="302"/>
      <c r="C70" s="305" t="s">
        <v>207</v>
      </c>
      <c r="D70" s="305" t="s">
        <v>276</v>
      </c>
      <c r="E70" s="305" t="s">
        <v>277</v>
      </c>
      <c r="F70" s="305" t="s">
        <v>325</v>
      </c>
      <c r="G70" s="305" t="s">
        <v>356</v>
      </c>
    </row>
    <row r="71" spans="1:7" ht="13.5" thickBot="1">
      <c r="A71" s="303"/>
      <c r="B71" s="304"/>
      <c r="C71" s="306"/>
      <c r="D71" s="306"/>
      <c r="E71" s="306"/>
      <c r="F71" s="306"/>
      <c r="G71" s="306"/>
    </row>
    <row r="72" spans="1:7" ht="13.5" thickBot="1">
      <c r="A72" s="50" t="s">
        <v>48</v>
      </c>
      <c r="B72" s="51"/>
      <c r="C72" s="151">
        <f>SUM(C73:C76)</f>
        <v>192000</v>
      </c>
      <c r="D72" s="151">
        <f>SUM(D73:D76)</f>
        <v>191950</v>
      </c>
      <c r="E72" s="151">
        <f>SUM(E73:E76)</f>
        <v>193900</v>
      </c>
      <c r="F72" s="151">
        <f>SUM(F73:F76)</f>
        <v>193962</v>
      </c>
      <c r="G72" s="151">
        <f>SUM(G73:G76)</f>
        <v>112165</v>
      </c>
    </row>
    <row r="73" spans="1:7" ht="12.75">
      <c r="A73" s="52" t="s">
        <v>49</v>
      </c>
      <c r="B73" s="53" t="s">
        <v>50</v>
      </c>
      <c r="C73" s="152">
        <v>148300</v>
      </c>
      <c r="D73" s="152">
        <v>148300</v>
      </c>
      <c r="E73" s="250">
        <f>148300+500</f>
        <v>148800</v>
      </c>
      <c r="F73" s="152">
        <f>148300+500</f>
        <v>148800</v>
      </c>
      <c r="G73" s="152">
        <v>84920</v>
      </c>
    </row>
    <row r="74" spans="1:7" ht="12.75">
      <c r="A74" s="54" t="s">
        <v>51</v>
      </c>
      <c r="B74" s="36" t="s">
        <v>52</v>
      </c>
      <c r="C74" s="153">
        <v>28000</v>
      </c>
      <c r="D74" s="205">
        <f>28000+1000</f>
        <v>29000</v>
      </c>
      <c r="E74" s="153">
        <f>28000+1000</f>
        <v>29000</v>
      </c>
      <c r="F74" s="153">
        <f>28000+1000</f>
        <v>29000</v>
      </c>
      <c r="G74" s="153">
        <v>16156</v>
      </c>
    </row>
    <row r="75" spans="1:7" ht="12.75">
      <c r="A75" s="56" t="s">
        <v>53</v>
      </c>
      <c r="B75" s="36" t="s">
        <v>54</v>
      </c>
      <c r="C75" s="153">
        <v>3700</v>
      </c>
      <c r="D75" s="234">
        <f>3700+20+930</f>
        <v>4650</v>
      </c>
      <c r="E75" s="234">
        <f>3700+20+930+50</f>
        <v>4700</v>
      </c>
      <c r="F75" s="234">
        <f>3700+20+930+50+62</f>
        <v>4762</v>
      </c>
      <c r="G75" s="153">
        <v>3221</v>
      </c>
    </row>
    <row r="76" spans="1:7" ht="13.5" thickBot="1">
      <c r="A76" s="57" t="s">
        <v>55</v>
      </c>
      <c r="B76" s="58" t="s">
        <v>56</v>
      </c>
      <c r="C76" s="154">
        <v>12000</v>
      </c>
      <c r="D76" s="235">
        <v>10000</v>
      </c>
      <c r="E76" s="235">
        <v>11400</v>
      </c>
      <c r="F76" s="269">
        <v>11400</v>
      </c>
      <c r="G76" s="154">
        <v>7868</v>
      </c>
    </row>
    <row r="77" spans="1:7" ht="13.5" thickBot="1">
      <c r="A77" s="312" t="s">
        <v>57</v>
      </c>
      <c r="B77" s="313"/>
      <c r="C77" s="151">
        <f>SUM(C78)</f>
        <v>160</v>
      </c>
      <c r="D77" s="151">
        <f>SUM(D78)</f>
        <v>160</v>
      </c>
      <c r="E77" s="151">
        <f>SUM(E78)</f>
        <v>172</v>
      </c>
      <c r="F77" s="151">
        <f>SUM(F78)</f>
        <v>172</v>
      </c>
      <c r="G77" s="151">
        <f>SUM(G78)</f>
        <v>86</v>
      </c>
    </row>
    <row r="78" spans="1:7" ht="13.5" thickBot="1">
      <c r="A78" s="59" t="s">
        <v>58</v>
      </c>
      <c r="B78" s="48" t="s">
        <v>59</v>
      </c>
      <c r="C78" s="155">
        <v>160</v>
      </c>
      <c r="D78" s="155">
        <v>160</v>
      </c>
      <c r="E78" s="251">
        <v>172</v>
      </c>
      <c r="F78" s="155">
        <v>172</v>
      </c>
      <c r="G78" s="155">
        <v>86</v>
      </c>
    </row>
    <row r="79" spans="1:7" ht="13.5" thickBot="1">
      <c r="A79" s="312" t="s">
        <v>60</v>
      </c>
      <c r="B79" s="313"/>
      <c r="C79" s="151">
        <f>SUM(C80)</f>
        <v>11400</v>
      </c>
      <c r="D79" s="151">
        <f>SUM(D80)</f>
        <v>11400</v>
      </c>
      <c r="E79" s="151">
        <f>SUM(E80)</f>
        <v>11400</v>
      </c>
      <c r="F79" s="151">
        <f>SUM(F80)</f>
        <v>11400</v>
      </c>
      <c r="G79" s="151">
        <f>SUM(G80)</f>
        <v>3775</v>
      </c>
    </row>
    <row r="80" spans="1:7" ht="13.5" thickBot="1">
      <c r="A80" s="60" t="s">
        <v>61</v>
      </c>
      <c r="B80" s="61" t="s">
        <v>326</v>
      </c>
      <c r="C80" s="62">
        <v>11400</v>
      </c>
      <c r="D80" s="62">
        <v>11400</v>
      </c>
      <c r="E80" s="62">
        <v>11400</v>
      </c>
      <c r="F80" s="62">
        <v>11400</v>
      </c>
      <c r="G80" s="62">
        <v>3775</v>
      </c>
    </row>
    <row r="81" spans="1:7" ht="13.5" thickBot="1">
      <c r="A81" s="50" t="s">
        <v>63</v>
      </c>
      <c r="B81" s="63"/>
      <c r="C81" s="151">
        <f>SUM(C82:C87)</f>
        <v>176582</v>
      </c>
      <c r="D81" s="151">
        <f>SUM(D82:D87)</f>
        <v>181582</v>
      </c>
      <c r="E81" s="151">
        <f>SUM(E82:E87)</f>
        <v>182642</v>
      </c>
      <c r="F81" s="151">
        <f>SUM(F82:F87)</f>
        <v>178642</v>
      </c>
      <c r="G81" s="151">
        <f>SUM(G82:G87)</f>
        <v>117847</v>
      </c>
    </row>
    <row r="82" spans="1:7" ht="12.75">
      <c r="A82" s="64" t="s">
        <v>64</v>
      </c>
      <c r="B82" s="27" t="s">
        <v>65</v>
      </c>
      <c r="C82" s="28">
        <v>1500</v>
      </c>
      <c r="D82" s="28">
        <v>1500</v>
      </c>
      <c r="E82" s="28">
        <v>1500</v>
      </c>
      <c r="F82" s="28">
        <v>1500</v>
      </c>
      <c r="G82" s="28">
        <v>860</v>
      </c>
    </row>
    <row r="83" spans="1:7" ht="12.75">
      <c r="A83" s="56" t="s">
        <v>66</v>
      </c>
      <c r="B83" s="36" t="s">
        <v>67</v>
      </c>
      <c r="C83" s="153">
        <v>12600</v>
      </c>
      <c r="D83" s="153">
        <v>12600</v>
      </c>
      <c r="E83" s="153">
        <v>12600</v>
      </c>
      <c r="F83" s="153">
        <v>12600</v>
      </c>
      <c r="G83" s="153">
        <f>16613-6417</f>
        <v>10196</v>
      </c>
    </row>
    <row r="84" spans="1:8" ht="12.75">
      <c r="A84" s="56" t="s">
        <v>66</v>
      </c>
      <c r="B84" s="36" t="s">
        <v>168</v>
      </c>
      <c r="C84" s="153">
        <f>21140-C83</f>
        <v>8540</v>
      </c>
      <c r="D84" s="153">
        <f>21140-D83</f>
        <v>8540</v>
      </c>
      <c r="E84" s="183">
        <v>8640</v>
      </c>
      <c r="F84" s="31">
        <v>8640</v>
      </c>
      <c r="G84" s="153">
        <v>6417</v>
      </c>
      <c r="H84" s="114"/>
    </row>
    <row r="85" spans="1:9" ht="12.75">
      <c r="A85" s="56" t="s">
        <v>66</v>
      </c>
      <c r="B85" s="36" t="s">
        <v>191</v>
      </c>
      <c r="C85" s="153">
        <v>300</v>
      </c>
      <c r="D85" s="153">
        <v>300</v>
      </c>
      <c r="E85" s="153">
        <v>300</v>
      </c>
      <c r="F85" s="153">
        <v>300</v>
      </c>
      <c r="G85" s="153">
        <v>0</v>
      </c>
      <c r="H85" s="114">
        <f>SUM(E83:E85)</f>
        <v>21540</v>
      </c>
      <c r="I85" s="114">
        <f>SUM(G83:G85)</f>
        <v>16613</v>
      </c>
    </row>
    <row r="86" spans="1:8" ht="12.75">
      <c r="A86" s="56" t="s">
        <v>68</v>
      </c>
      <c r="B86" s="36" t="s">
        <v>69</v>
      </c>
      <c r="C86" s="31">
        <v>47500</v>
      </c>
      <c r="D86" s="31">
        <v>47500</v>
      </c>
      <c r="E86" s="31">
        <v>47500</v>
      </c>
      <c r="F86" s="31">
        <v>47500</v>
      </c>
      <c r="G86" s="31">
        <v>37531</v>
      </c>
      <c r="H86" s="177"/>
    </row>
    <row r="87" spans="1:7" ht="13.5" thickBot="1">
      <c r="A87" s="66" t="s">
        <v>70</v>
      </c>
      <c r="B87" s="67" t="s">
        <v>192</v>
      </c>
      <c r="C87" s="156">
        <v>106142</v>
      </c>
      <c r="D87" s="236">
        <f>106142+3000+2000</f>
        <v>111142</v>
      </c>
      <c r="E87" s="236">
        <v>112102</v>
      </c>
      <c r="F87" s="236">
        <f>112102-4000</f>
        <v>108102</v>
      </c>
      <c r="G87" s="156">
        <v>62843</v>
      </c>
    </row>
    <row r="88" spans="1:7" ht="13.5" thickBot="1">
      <c r="A88" s="50" t="s">
        <v>71</v>
      </c>
      <c r="B88" s="51"/>
      <c r="C88" s="151">
        <f>SUM(C89:C91)</f>
        <v>120808</v>
      </c>
      <c r="D88" s="151">
        <f>SUM(D89:D91)</f>
        <v>114048</v>
      </c>
      <c r="E88" s="151">
        <f>SUM(E89:E91)</f>
        <v>110948</v>
      </c>
      <c r="F88" s="151">
        <f>SUM(F89:F91)</f>
        <v>111448</v>
      </c>
      <c r="G88" s="151">
        <f>SUM(G89:G91)</f>
        <v>63140</v>
      </c>
    </row>
    <row r="89" spans="1:7" ht="12.75">
      <c r="A89" s="68" t="s">
        <v>72</v>
      </c>
      <c r="B89" s="69" t="s">
        <v>201</v>
      </c>
      <c r="C89" s="157">
        <v>63978</v>
      </c>
      <c r="D89" s="237">
        <f>63978+1740+400+200+800+100</f>
        <v>67218</v>
      </c>
      <c r="E89" s="237">
        <v>68118</v>
      </c>
      <c r="F89" s="270">
        <v>68118</v>
      </c>
      <c r="G89" s="157">
        <v>32989</v>
      </c>
    </row>
    <row r="90" spans="1:8" ht="12.75">
      <c r="A90" s="59" t="s">
        <v>73</v>
      </c>
      <c r="B90" s="71" t="s">
        <v>74</v>
      </c>
      <c r="C90" s="154">
        <v>48630</v>
      </c>
      <c r="D90" s="203">
        <v>38630</v>
      </c>
      <c r="E90" s="154">
        <v>38630</v>
      </c>
      <c r="F90" s="203">
        <f>38630+500</f>
        <v>39130</v>
      </c>
      <c r="G90" s="154">
        <v>27795</v>
      </c>
      <c r="H90" s="177"/>
    </row>
    <row r="91" spans="1:8" ht="13.5" thickBot="1">
      <c r="A91" s="72" t="s">
        <v>75</v>
      </c>
      <c r="B91" s="73" t="s">
        <v>76</v>
      </c>
      <c r="C91" s="158">
        <f>6400+1800</f>
        <v>8200</v>
      </c>
      <c r="D91" s="158">
        <f>6400+1800</f>
        <v>8200</v>
      </c>
      <c r="E91" s="207">
        <f>6400+1800-4000</f>
        <v>4200</v>
      </c>
      <c r="F91" s="158">
        <f>6400+1800-4000</f>
        <v>4200</v>
      </c>
      <c r="G91" s="158">
        <v>2356</v>
      </c>
      <c r="H91" s="177"/>
    </row>
    <row r="92" spans="1:7" ht="13.5" thickBot="1">
      <c r="A92" s="50" t="s">
        <v>77</v>
      </c>
      <c r="B92" s="63"/>
      <c r="C92" s="151">
        <f>SUM(C93)</f>
        <v>15500</v>
      </c>
      <c r="D92" s="151">
        <f>SUM(D93)</f>
        <v>16800</v>
      </c>
      <c r="E92" s="151">
        <f>SUM(E93)</f>
        <v>16800</v>
      </c>
      <c r="F92" s="151">
        <f>SUM(F93)</f>
        <v>16800</v>
      </c>
      <c r="G92" s="151">
        <f>SUM(G93)</f>
        <v>12337</v>
      </c>
    </row>
    <row r="93" spans="1:7" ht="13.5" thickBot="1">
      <c r="A93" s="74" t="s">
        <v>78</v>
      </c>
      <c r="B93" s="67" t="s">
        <v>79</v>
      </c>
      <c r="C93" s="83">
        <v>15500</v>
      </c>
      <c r="D93" s="238">
        <f>15500+1300</f>
        <v>16800</v>
      </c>
      <c r="E93" s="252">
        <f>15500+1300</f>
        <v>16800</v>
      </c>
      <c r="F93" s="252">
        <f>15500+1300</f>
        <v>16800</v>
      </c>
      <c r="G93" s="83">
        <v>12337</v>
      </c>
    </row>
    <row r="94" spans="1:7" ht="13.5" thickBot="1">
      <c r="A94" s="75" t="s">
        <v>80</v>
      </c>
      <c r="B94" s="51"/>
      <c r="C94" s="151">
        <f>SUM(C95:C109)</f>
        <v>77100</v>
      </c>
      <c r="D94" s="151">
        <f>SUM(D95:D109)</f>
        <v>77700</v>
      </c>
      <c r="E94" s="151">
        <f>SUM(E95:E109)</f>
        <v>91700</v>
      </c>
      <c r="F94" s="151">
        <f>SUM(F95:F109)</f>
        <v>97420</v>
      </c>
      <c r="G94" s="151">
        <f>SUM(G95:G109)</f>
        <v>77195</v>
      </c>
    </row>
    <row r="95" spans="1:7" ht="13.5" thickBot="1">
      <c r="A95" s="72" t="s">
        <v>81</v>
      </c>
      <c r="B95" s="73" t="s">
        <v>288</v>
      </c>
      <c r="C95" s="158">
        <v>7000</v>
      </c>
      <c r="D95" s="158">
        <v>7000</v>
      </c>
      <c r="E95" s="207">
        <v>9000</v>
      </c>
      <c r="F95" s="158">
        <v>9000</v>
      </c>
      <c r="G95" s="158">
        <v>6919</v>
      </c>
    </row>
    <row r="96" spans="1:7" ht="12.75">
      <c r="A96" s="76" t="s">
        <v>81</v>
      </c>
      <c r="B96" s="53" t="s">
        <v>83</v>
      </c>
      <c r="C96" s="152">
        <v>7000</v>
      </c>
      <c r="D96" s="152">
        <v>7000</v>
      </c>
      <c r="E96" s="152">
        <v>7000</v>
      </c>
      <c r="F96" s="152">
        <v>7000</v>
      </c>
      <c r="G96" s="152">
        <v>6000</v>
      </c>
    </row>
    <row r="97" spans="1:7" ht="12.75">
      <c r="A97" s="76" t="s">
        <v>84</v>
      </c>
      <c r="B97" s="77" t="s">
        <v>85</v>
      </c>
      <c r="C97" s="28">
        <v>17300</v>
      </c>
      <c r="D97" s="28">
        <v>17300</v>
      </c>
      <c r="E97" s="28">
        <v>17300</v>
      </c>
      <c r="F97" s="28">
        <v>17300</v>
      </c>
      <c r="G97" s="28">
        <v>11847</v>
      </c>
    </row>
    <row r="98" spans="1:7" ht="12.75">
      <c r="A98" s="56" t="s">
        <v>86</v>
      </c>
      <c r="B98" s="78" t="s">
        <v>87</v>
      </c>
      <c r="C98" s="153">
        <v>1200</v>
      </c>
      <c r="D98" s="153">
        <v>1200</v>
      </c>
      <c r="E98" s="153">
        <v>1200</v>
      </c>
      <c r="F98" s="153">
        <v>1200</v>
      </c>
      <c r="G98" s="153">
        <v>543</v>
      </c>
    </row>
    <row r="99" spans="1:7" ht="13.5" thickBot="1">
      <c r="A99" s="72" t="s">
        <v>88</v>
      </c>
      <c r="B99" s="73" t="s">
        <v>89</v>
      </c>
      <c r="C99" s="158">
        <v>1000</v>
      </c>
      <c r="D99" s="158">
        <v>1000</v>
      </c>
      <c r="E99" s="158">
        <v>1000</v>
      </c>
      <c r="F99" s="158">
        <v>1000</v>
      </c>
      <c r="G99" s="158">
        <v>396</v>
      </c>
    </row>
    <row r="100" spans="1:7" ht="12.75">
      <c r="A100" s="56" t="s">
        <v>90</v>
      </c>
      <c r="B100" s="36" t="s">
        <v>91</v>
      </c>
      <c r="C100" s="153">
        <v>200</v>
      </c>
      <c r="D100" s="153">
        <v>200</v>
      </c>
      <c r="E100" s="153">
        <v>200</v>
      </c>
      <c r="F100" s="153">
        <v>200</v>
      </c>
      <c r="G100" s="153">
        <v>159</v>
      </c>
    </row>
    <row r="101" spans="1:7" ht="12.75">
      <c r="A101" s="56" t="s">
        <v>90</v>
      </c>
      <c r="B101" s="36" t="s">
        <v>92</v>
      </c>
      <c r="C101" s="153">
        <v>1000</v>
      </c>
      <c r="D101" s="205">
        <f>1000+200</f>
        <v>1200</v>
      </c>
      <c r="E101" s="153">
        <f>1000+200</f>
        <v>1200</v>
      </c>
      <c r="F101" s="153">
        <f>1000+200</f>
        <v>1200</v>
      </c>
      <c r="G101" s="153">
        <v>1180</v>
      </c>
    </row>
    <row r="102" spans="1:7" ht="12.75">
      <c r="A102" s="56" t="s">
        <v>90</v>
      </c>
      <c r="B102" s="36" t="s">
        <v>289</v>
      </c>
      <c r="C102" s="153">
        <v>2000</v>
      </c>
      <c r="D102" s="153">
        <v>2000</v>
      </c>
      <c r="E102" s="205">
        <f>900+600</f>
        <v>1500</v>
      </c>
      <c r="F102" s="153">
        <f>900+600</f>
        <v>1500</v>
      </c>
      <c r="G102" s="153">
        <v>1437</v>
      </c>
    </row>
    <row r="103" spans="1:7" ht="12.75">
      <c r="A103" s="56" t="s">
        <v>90</v>
      </c>
      <c r="B103" s="36" t="s">
        <v>94</v>
      </c>
      <c r="C103" s="153">
        <v>12000</v>
      </c>
      <c r="D103" s="153">
        <v>12000</v>
      </c>
      <c r="E103" s="205">
        <v>13200</v>
      </c>
      <c r="F103" s="205">
        <f>13200-300</f>
        <v>12900</v>
      </c>
      <c r="G103" s="153">
        <v>12729</v>
      </c>
    </row>
    <row r="104" spans="1:7" ht="12.75">
      <c r="A104" s="56" t="s">
        <v>90</v>
      </c>
      <c r="B104" s="36" t="s">
        <v>249</v>
      </c>
      <c r="C104" s="153">
        <v>200</v>
      </c>
      <c r="D104" s="205">
        <f>200+100</f>
        <v>300</v>
      </c>
      <c r="E104" s="205">
        <f>200+200+6000</f>
        <v>6400</v>
      </c>
      <c r="F104" s="205">
        <f>200+200+6000+6720-200</f>
        <v>12920</v>
      </c>
      <c r="G104" s="153">
        <f>120+12720</f>
        <v>12840</v>
      </c>
    </row>
    <row r="105" spans="1:7" ht="12.75">
      <c r="A105" s="56" t="s">
        <v>90</v>
      </c>
      <c r="B105" s="36" t="s">
        <v>96</v>
      </c>
      <c r="C105" s="153">
        <v>700</v>
      </c>
      <c r="D105" s="153">
        <v>700</v>
      </c>
      <c r="E105" s="153">
        <v>700</v>
      </c>
      <c r="F105" s="153">
        <v>700</v>
      </c>
      <c r="G105" s="153">
        <v>0</v>
      </c>
    </row>
    <row r="106" spans="1:7" ht="13.5" thickBot="1">
      <c r="A106" s="72" t="s">
        <v>90</v>
      </c>
      <c r="B106" s="73" t="s">
        <v>194</v>
      </c>
      <c r="C106" s="158">
        <v>13000</v>
      </c>
      <c r="D106" s="158">
        <v>13000</v>
      </c>
      <c r="E106" s="207">
        <f>13000+3000</f>
        <v>16000</v>
      </c>
      <c r="F106" s="158">
        <f>13000+3000</f>
        <v>16000</v>
      </c>
      <c r="G106" s="158">
        <v>15995</v>
      </c>
    </row>
    <row r="107" spans="1:7" ht="12.75">
      <c r="A107" s="68" t="s">
        <v>97</v>
      </c>
      <c r="B107" s="69" t="s">
        <v>98</v>
      </c>
      <c r="C107" s="157">
        <v>3300</v>
      </c>
      <c r="D107" s="157">
        <v>3300</v>
      </c>
      <c r="E107" s="157">
        <v>3300</v>
      </c>
      <c r="F107" s="157">
        <v>3300</v>
      </c>
      <c r="G107" s="157">
        <v>1567</v>
      </c>
    </row>
    <row r="108" spans="1:7" ht="12.75">
      <c r="A108" s="76" t="s">
        <v>99</v>
      </c>
      <c r="B108" s="53" t="s">
        <v>100</v>
      </c>
      <c r="C108" s="152">
        <v>8500</v>
      </c>
      <c r="D108" s="152">
        <v>8500</v>
      </c>
      <c r="E108" s="152">
        <v>8500</v>
      </c>
      <c r="F108" s="250">
        <f>8500-1000</f>
        <v>7500</v>
      </c>
      <c r="G108" s="152">
        <v>2332</v>
      </c>
    </row>
    <row r="109" spans="1:7" ht="13.5" thickBot="1">
      <c r="A109" s="72" t="s">
        <v>101</v>
      </c>
      <c r="B109" s="73" t="s">
        <v>195</v>
      </c>
      <c r="C109" s="158">
        <v>2700</v>
      </c>
      <c r="D109" s="207">
        <f>2700+300</f>
        <v>3000</v>
      </c>
      <c r="E109" s="207">
        <f>2700+300+1700+350+150</f>
        <v>5200</v>
      </c>
      <c r="F109" s="207">
        <f>2700+300+1700+350+150+200+200+100</f>
        <v>5700</v>
      </c>
      <c r="G109" s="158">
        <v>3251</v>
      </c>
    </row>
    <row r="110" spans="1:7" ht="13.5" thickBot="1">
      <c r="A110" s="312" t="s">
        <v>102</v>
      </c>
      <c r="B110" s="313"/>
      <c r="C110" s="151">
        <f>SUM(C111:C114)</f>
        <v>300500</v>
      </c>
      <c r="D110" s="151">
        <f>SUM(D111:D114)</f>
        <v>300500</v>
      </c>
      <c r="E110" s="151">
        <f>SUM(E111:E114)</f>
        <v>304500</v>
      </c>
      <c r="F110" s="151">
        <f>SUM(F111:F114)</f>
        <v>303680</v>
      </c>
      <c r="G110" s="151">
        <f>SUM(G111:G114)</f>
        <v>205741</v>
      </c>
    </row>
    <row r="111" spans="1:7" ht="12.75">
      <c r="A111" s="79" t="s">
        <v>103</v>
      </c>
      <c r="B111" s="80" t="s">
        <v>234</v>
      </c>
      <c r="C111" s="81">
        <v>97000</v>
      </c>
      <c r="D111" s="81">
        <v>97000</v>
      </c>
      <c r="E111" s="259">
        <f>97000+4000</f>
        <v>101000</v>
      </c>
      <c r="F111" s="259">
        <f>97000+4000-820</f>
        <v>100180</v>
      </c>
      <c r="G111" s="81">
        <v>63334</v>
      </c>
    </row>
    <row r="112" spans="1:7" ht="12.75">
      <c r="A112" s="82" t="s">
        <v>106</v>
      </c>
      <c r="B112" s="30" t="s">
        <v>235</v>
      </c>
      <c r="C112" s="31">
        <v>132200</v>
      </c>
      <c r="D112" s="31">
        <v>132200</v>
      </c>
      <c r="E112" s="31">
        <v>132200</v>
      </c>
      <c r="F112" s="31">
        <v>132200</v>
      </c>
      <c r="G112" s="31">
        <v>88540</v>
      </c>
    </row>
    <row r="113" spans="1:7" ht="12.75">
      <c r="A113" s="82" t="s">
        <v>108</v>
      </c>
      <c r="B113" s="30" t="s">
        <v>109</v>
      </c>
      <c r="C113" s="31">
        <v>53300</v>
      </c>
      <c r="D113" s="31">
        <v>53300</v>
      </c>
      <c r="E113" s="31">
        <v>53300</v>
      </c>
      <c r="F113" s="31">
        <v>53300</v>
      </c>
      <c r="G113" s="31">
        <v>38129</v>
      </c>
    </row>
    <row r="114" spans="1:7" ht="13.5" thickBot="1">
      <c r="A114" s="66" t="s">
        <v>110</v>
      </c>
      <c r="B114" s="67" t="s">
        <v>111</v>
      </c>
      <c r="C114" s="83">
        <v>18000</v>
      </c>
      <c r="D114" s="83">
        <v>18000</v>
      </c>
      <c r="E114" s="83">
        <v>18000</v>
      </c>
      <c r="F114" s="83">
        <v>18000</v>
      </c>
      <c r="G114" s="83">
        <v>15738</v>
      </c>
    </row>
    <row r="115" spans="1:7" ht="13.5" thickBot="1">
      <c r="A115" s="50" t="s">
        <v>112</v>
      </c>
      <c r="B115" s="51"/>
      <c r="C115" s="151">
        <f>SUM(C116:C124)</f>
        <v>104940</v>
      </c>
      <c r="D115" s="151">
        <f>SUM(D116:D124)</f>
        <v>104940</v>
      </c>
      <c r="E115" s="151">
        <f>SUM(E116:E124)</f>
        <v>119940</v>
      </c>
      <c r="F115" s="151">
        <f>SUM(F116:F124)</f>
        <v>125012</v>
      </c>
      <c r="G115" s="151">
        <f>SUM(G116:G124)</f>
        <v>76228</v>
      </c>
    </row>
    <row r="116" spans="1:7" ht="12.75">
      <c r="A116" s="76" t="s">
        <v>113</v>
      </c>
      <c r="B116" s="53" t="s">
        <v>114</v>
      </c>
      <c r="C116" s="152">
        <f>67500-1800</f>
        <v>65700</v>
      </c>
      <c r="D116" s="152">
        <f>67500-1800</f>
        <v>65700</v>
      </c>
      <c r="E116" s="152">
        <f>67500-1800</f>
        <v>65700</v>
      </c>
      <c r="F116" s="152">
        <f>67500-1800</f>
        <v>65700</v>
      </c>
      <c r="G116" s="152">
        <f>43771-G117</f>
        <v>42941</v>
      </c>
    </row>
    <row r="117" spans="1:8" ht="12.75">
      <c r="A117" s="56" t="s">
        <v>113</v>
      </c>
      <c r="B117" s="36" t="s">
        <v>115</v>
      </c>
      <c r="C117" s="153">
        <v>1800</v>
      </c>
      <c r="D117" s="153">
        <v>1800</v>
      </c>
      <c r="E117" s="153">
        <v>1800</v>
      </c>
      <c r="F117" s="153">
        <v>1800</v>
      </c>
      <c r="G117" s="153">
        <v>830</v>
      </c>
      <c r="H117" s="114">
        <f>SUM(D116:D117)</f>
        <v>67500</v>
      </c>
    </row>
    <row r="118" spans="1:7" ht="13.5" thickBot="1">
      <c r="A118" s="72" t="s">
        <v>116</v>
      </c>
      <c r="B118" s="73" t="s">
        <v>117</v>
      </c>
      <c r="C118" s="158">
        <v>12000</v>
      </c>
      <c r="D118" s="158">
        <v>12000</v>
      </c>
      <c r="E118" s="158">
        <v>12000</v>
      </c>
      <c r="F118" s="158">
        <v>12000</v>
      </c>
      <c r="G118" s="158">
        <v>8714</v>
      </c>
    </row>
    <row r="119" spans="1:7" ht="12.75">
      <c r="A119" s="76" t="s">
        <v>197</v>
      </c>
      <c r="B119" s="53" t="s">
        <v>118</v>
      </c>
      <c r="C119" s="152">
        <v>300</v>
      </c>
      <c r="D119" s="152">
        <v>300</v>
      </c>
      <c r="E119" s="152">
        <v>300</v>
      </c>
      <c r="F119" s="152">
        <v>300</v>
      </c>
      <c r="G119" s="152">
        <v>121</v>
      </c>
    </row>
    <row r="120" spans="1:7" ht="12.75">
      <c r="A120" s="76" t="s">
        <v>329</v>
      </c>
      <c r="B120" s="53" t="s">
        <v>330</v>
      </c>
      <c r="C120" s="152">
        <v>0</v>
      </c>
      <c r="D120" s="152">
        <v>0</v>
      </c>
      <c r="E120" s="152">
        <v>0</v>
      </c>
      <c r="F120" s="250">
        <v>72</v>
      </c>
      <c r="G120" s="152">
        <v>24</v>
      </c>
    </row>
    <row r="121" spans="1:7" ht="12.75">
      <c r="A121" s="56" t="s">
        <v>119</v>
      </c>
      <c r="B121" s="36" t="s">
        <v>120</v>
      </c>
      <c r="C121" s="153">
        <v>17240</v>
      </c>
      <c r="D121" s="153">
        <v>17240</v>
      </c>
      <c r="E121" s="205">
        <f>17240+15000</f>
        <v>32240</v>
      </c>
      <c r="F121" s="205">
        <f>17240+15000+1000+4000</f>
        <v>37240</v>
      </c>
      <c r="G121" s="153">
        <v>19429</v>
      </c>
    </row>
    <row r="122" spans="1:7" ht="12.75">
      <c r="A122" s="56" t="s">
        <v>121</v>
      </c>
      <c r="B122" s="36" t="s">
        <v>122</v>
      </c>
      <c r="C122" s="153">
        <v>7200</v>
      </c>
      <c r="D122" s="153">
        <v>7200</v>
      </c>
      <c r="E122" s="153">
        <v>7200</v>
      </c>
      <c r="F122" s="153">
        <v>7200</v>
      </c>
      <c r="G122" s="153">
        <v>4169</v>
      </c>
    </row>
    <row r="123" spans="1:7" ht="12.75">
      <c r="A123" s="56" t="s">
        <v>123</v>
      </c>
      <c r="B123" s="36" t="s">
        <v>124</v>
      </c>
      <c r="C123" s="153">
        <v>400</v>
      </c>
      <c r="D123" s="153">
        <v>400</v>
      </c>
      <c r="E123" s="153">
        <v>400</v>
      </c>
      <c r="F123" s="153">
        <v>400</v>
      </c>
      <c r="G123" s="153">
        <v>0</v>
      </c>
    </row>
    <row r="124" spans="1:7" ht="13.5" thickBot="1">
      <c r="A124" s="72" t="s">
        <v>125</v>
      </c>
      <c r="B124" s="73" t="s">
        <v>126</v>
      </c>
      <c r="C124" s="158">
        <v>300</v>
      </c>
      <c r="D124" s="158">
        <v>300</v>
      </c>
      <c r="E124" s="158">
        <v>300</v>
      </c>
      <c r="F124" s="158">
        <v>300</v>
      </c>
      <c r="G124" s="158">
        <v>0</v>
      </c>
    </row>
    <row r="125" spans="1:7" ht="16.5" thickBot="1">
      <c r="A125" s="84" t="s">
        <v>127</v>
      </c>
      <c r="B125" s="85"/>
      <c r="C125" s="159">
        <f>SUM(C72+C77+C79+C81+C88+C92+C94+C110+C115)</f>
        <v>998990</v>
      </c>
      <c r="D125" s="159">
        <f>SUM(D72+D77+D79+D81+D88+D92+D94+D110+D115)</f>
        <v>999080</v>
      </c>
      <c r="E125" s="159">
        <f>SUM(E72+E77+E79+E81+E88+E92+E94+E110+E115)</f>
        <v>1032002</v>
      </c>
      <c r="F125" s="159">
        <f>SUM(F72+F77+F79+F81+F88+F92+F94+F110+F115)</f>
        <v>1038536</v>
      </c>
      <c r="G125" s="159">
        <f>SUM(G72+G77+G79+G81+G88+G92+G94+G110+G115)</f>
        <v>668514</v>
      </c>
    </row>
    <row r="126" spans="1:7" ht="12.75">
      <c r="A126" s="86" t="s">
        <v>105</v>
      </c>
      <c r="B126" s="87" t="s">
        <v>128</v>
      </c>
      <c r="C126" s="160">
        <f>C50+C63+C65+C42</f>
        <v>355709</v>
      </c>
      <c r="D126" s="239">
        <f>D50+D63+D65+D42</f>
        <v>380206</v>
      </c>
      <c r="E126" s="239">
        <f>E50+E63+E65+E42</f>
        <v>380265</v>
      </c>
      <c r="F126" s="239">
        <f>F50+F63+F65+F42</f>
        <v>384171</v>
      </c>
      <c r="G126" s="239">
        <f>G50+G63+G65+G42</f>
        <v>283957</v>
      </c>
    </row>
    <row r="127" spans="1:7" ht="12.75">
      <c r="A127" s="88" t="s">
        <v>129</v>
      </c>
      <c r="B127" s="41" t="s">
        <v>130</v>
      </c>
      <c r="C127" s="161">
        <v>17000</v>
      </c>
      <c r="D127" s="161">
        <v>17000</v>
      </c>
      <c r="E127" s="161">
        <v>17000</v>
      </c>
      <c r="F127" s="161">
        <v>17000</v>
      </c>
      <c r="G127" s="161">
        <v>14200</v>
      </c>
    </row>
    <row r="128" spans="1:7" ht="13.5" thickBot="1">
      <c r="A128" s="314" t="s">
        <v>131</v>
      </c>
      <c r="B128" s="315"/>
      <c r="C128" s="162">
        <f>SUM(C126:C127)</f>
        <v>372709</v>
      </c>
      <c r="D128" s="162">
        <f>SUM(D126:D127)</f>
        <v>397206</v>
      </c>
      <c r="E128" s="162">
        <f>SUM(E126:E127)</f>
        <v>397265</v>
      </c>
      <c r="F128" s="162">
        <f>SUM(F126:F127)</f>
        <v>401171</v>
      </c>
      <c r="G128" s="162">
        <f>SUM(G126:G127)</f>
        <v>298157</v>
      </c>
    </row>
    <row r="129" spans="1:7" ht="16.5" thickBot="1">
      <c r="A129" s="89" t="s">
        <v>132</v>
      </c>
      <c r="B129" s="63"/>
      <c r="C129" s="163">
        <f>C125+C128</f>
        <v>1371699</v>
      </c>
      <c r="D129" s="163">
        <f>D125+D128</f>
        <v>1396286</v>
      </c>
      <c r="E129" s="163">
        <f>E125+E128</f>
        <v>1429267</v>
      </c>
      <c r="F129" s="163">
        <f>F125+F128</f>
        <v>1439707</v>
      </c>
      <c r="G129" s="163">
        <f>G125+G128</f>
        <v>966671</v>
      </c>
    </row>
    <row r="131" spans="4:6" ht="13.5" customHeight="1">
      <c r="D131" s="114"/>
      <c r="E131" s="114"/>
      <c r="F131" s="114"/>
    </row>
    <row r="132" spans="1:7" ht="14.25" customHeight="1" thickBot="1">
      <c r="A132" s="90"/>
      <c r="B132" s="91"/>
      <c r="C132" s="91"/>
      <c r="D132" s="91"/>
      <c r="E132" s="91"/>
      <c r="F132" s="91"/>
      <c r="G132" s="91"/>
    </row>
    <row r="133" spans="1:7" ht="23.25" customHeight="1" thickBot="1">
      <c r="A133" s="340" t="s">
        <v>133</v>
      </c>
      <c r="B133" s="341"/>
      <c r="C133" s="341"/>
      <c r="D133" s="341"/>
      <c r="E133" s="341"/>
      <c r="F133" s="341"/>
      <c r="G133" s="342"/>
    </row>
    <row r="134" spans="1:7" ht="12.75" customHeight="1">
      <c r="A134" s="301" t="s">
        <v>1</v>
      </c>
      <c r="B134" s="302"/>
      <c r="C134" s="305" t="s">
        <v>207</v>
      </c>
      <c r="D134" s="305" t="s">
        <v>276</v>
      </c>
      <c r="E134" s="305" t="s">
        <v>277</v>
      </c>
      <c r="F134" s="305" t="s">
        <v>325</v>
      </c>
      <c r="G134" s="305" t="s">
        <v>356</v>
      </c>
    </row>
    <row r="135" spans="1:7" ht="13.5" thickBot="1">
      <c r="A135" s="321"/>
      <c r="B135" s="322"/>
      <c r="C135" s="306"/>
      <c r="D135" s="306"/>
      <c r="E135" s="306"/>
      <c r="F135" s="306"/>
      <c r="G135" s="306"/>
    </row>
    <row r="136" spans="1:7" ht="16.5" thickBot="1">
      <c r="A136" s="316" t="s">
        <v>134</v>
      </c>
      <c r="B136" s="317"/>
      <c r="C136" s="164">
        <f>SUM(C137:C139)</f>
        <v>536820</v>
      </c>
      <c r="D136" s="164">
        <f>SUM(D137:D139)</f>
        <v>537820</v>
      </c>
      <c r="E136" s="164">
        <f>SUM(E137:E139)</f>
        <v>539820</v>
      </c>
      <c r="F136" s="164">
        <f>SUM(F137:F139)</f>
        <v>539820</v>
      </c>
      <c r="G136" s="164">
        <f>SUM(G137:G139)</f>
        <v>252583</v>
      </c>
    </row>
    <row r="137" spans="1:7" ht="13.5" thickBot="1">
      <c r="A137" s="92">
        <v>230</v>
      </c>
      <c r="B137" s="93" t="s">
        <v>135</v>
      </c>
      <c r="C137" s="165">
        <v>30000</v>
      </c>
      <c r="D137" s="240">
        <v>31000</v>
      </c>
      <c r="E137" s="240">
        <f>31000+2000</f>
        <v>33000</v>
      </c>
      <c r="F137" s="271">
        <f>31000+2000</f>
        <v>33000</v>
      </c>
      <c r="G137" s="165">
        <v>63</v>
      </c>
    </row>
    <row r="138" spans="1:7" ht="12.75">
      <c r="A138" s="35">
        <v>322</v>
      </c>
      <c r="B138" s="53" t="s">
        <v>136</v>
      </c>
      <c r="C138" s="166">
        <v>326446</v>
      </c>
      <c r="D138" s="166">
        <v>326446</v>
      </c>
      <c r="E138" s="166">
        <v>326446</v>
      </c>
      <c r="F138" s="166">
        <v>326446</v>
      </c>
      <c r="G138" s="166">
        <v>252520</v>
      </c>
    </row>
    <row r="139" spans="1:7" ht="13.5" thickBot="1">
      <c r="A139" s="200">
        <v>322</v>
      </c>
      <c r="B139" s="73" t="s">
        <v>138</v>
      </c>
      <c r="C139" s="201">
        <v>180374</v>
      </c>
      <c r="D139" s="201">
        <v>180374</v>
      </c>
      <c r="E139" s="201">
        <v>180374</v>
      </c>
      <c r="F139" s="201">
        <v>180374</v>
      </c>
      <c r="G139" s="201"/>
    </row>
    <row r="140" spans="1:7" ht="16.5" thickBot="1">
      <c r="A140" s="316" t="s">
        <v>139</v>
      </c>
      <c r="B140" s="317"/>
      <c r="C140" s="164">
        <f>SUM(C141:C148)</f>
        <v>692978</v>
      </c>
      <c r="D140" s="164">
        <f>SUM(D141:D148)</f>
        <v>692978</v>
      </c>
      <c r="E140" s="164">
        <f>SUM(E141:E148)</f>
        <v>772078</v>
      </c>
      <c r="F140" s="164">
        <f>SUM(F141:F148)</f>
        <v>772898</v>
      </c>
      <c r="G140" s="164">
        <f>SUM(G141:G148)</f>
        <v>322344</v>
      </c>
    </row>
    <row r="141" spans="1:7" ht="12.75">
      <c r="A141" s="56" t="s">
        <v>66</v>
      </c>
      <c r="B141" s="8" t="s">
        <v>140</v>
      </c>
      <c r="C141" s="168">
        <v>0</v>
      </c>
      <c r="D141" s="168">
        <v>0</v>
      </c>
      <c r="E141" s="262">
        <v>1100</v>
      </c>
      <c r="F141" s="262">
        <f>1100+2600</f>
        <v>3700</v>
      </c>
      <c r="G141" s="168">
        <v>3651</v>
      </c>
    </row>
    <row r="142" spans="1:7" ht="12.75">
      <c r="A142" s="94" t="s">
        <v>66</v>
      </c>
      <c r="B142" s="8" t="s">
        <v>141</v>
      </c>
      <c r="C142" s="168">
        <v>30000</v>
      </c>
      <c r="D142" s="168">
        <v>30000</v>
      </c>
      <c r="E142" s="168">
        <v>30000</v>
      </c>
      <c r="F142" s="168">
        <v>30000</v>
      </c>
      <c r="G142" s="168">
        <v>0</v>
      </c>
    </row>
    <row r="143" spans="1:7" ht="12.75">
      <c r="A143" s="52" t="s">
        <v>66</v>
      </c>
      <c r="B143" s="96" t="s">
        <v>313</v>
      </c>
      <c r="C143" s="169">
        <v>1420</v>
      </c>
      <c r="D143" s="169">
        <v>1420</v>
      </c>
      <c r="E143" s="266">
        <v>12920</v>
      </c>
      <c r="F143" s="272">
        <v>12920</v>
      </c>
      <c r="G143" s="169">
        <v>1500</v>
      </c>
    </row>
    <row r="144" spans="1:7" ht="12.75">
      <c r="A144" s="52" t="s">
        <v>72</v>
      </c>
      <c r="B144" s="5" t="s">
        <v>142</v>
      </c>
      <c r="C144" s="168">
        <f>377688+30000</f>
        <v>407688</v>
      </c>
      <c r="D144" s="168">
        <f>377688+30000</f>
        <v>407688</v>
      </c>
      <c r="E144" s="262">
        <v>405188</v>
      </c>
      <c r="F144" s="262">
        <f>405188-2600</f>
        <v>402588</v>
      </c>
      <c r="G144" s="168">
        <v>315260</v>
      </c>
    </row>
    <row r="145" spans="1:8" ht="12.75">
      <c r="A145" s="82" t="s">
        <v>73</v>
      </c>
      <c r="B145" s="95" t="s">
        <v>143</v>
      </c>
      <c r="C145" s="168">
        <v>30000</v>
      </c>
      <c r="D145" s="168">
        <v>30000</v>
      </c>
      <c r="E145" s="262">
        <v>99000</v>
      </c>
      <c r="F145" s="168">
        <v>99000</v>
      </c>
      <c r="G145" s="168">
        <v>1613</v>
      </c>
      <c r="H145" s="176"/>
    </row>
    <row r="146" spans="1:8" ht="12.75">
      <c r="A146" s="54" t="s">
        <v>78</v>
      </c>
      <c r="B146" s="8" t="s">
        <v>144</v>
      </c>
      <c r="C146" s="168">
        <v>189870</v>
      </c>
      <c r="D146" s="168">
        <v>189870</v>
      </c>
      <c r="E146" s="168">
        <v>189870</v>
      </c>
      <c r="F146" s="168">
        <v>189870</v>
      </c>
      <c r="G146" s="168">
        <v>0</v>
      </c>
      <c r="H146" s="176"/>
    </row>
    <row r="147" spans="1:7" ht="12.75">
      <c r="A147" s="54" t="s">
        <v>103</v>
      </c>
      <c r="B147" s="8" t="s">
        <v>342</v>
      </c>
      <c r="C147" s="168">
        <v>34000</v>
      </c>
      <c r="D147" s="168">
        <v>34000</v>
      </c>
      <c r="E147" s="168">
        <v>34000</v>
      </c>
      <c r="F147" s="262">
        <f>34000-5000+320</f>
        <v>29320</v>
      </c>
      <c r="G147" s="168">
        <v>320</v>
      </c>
    </row>
    <row r="148" spans="1:7" ht="13.5" thickBot="1">
      <c r="A148" s="178" t="s">
        <v>103</v>
      </c>
      <c r="B148" s="18" t="s">
        <v>343</v>
      </c>
      <c r="C148" s="179">
        <v>0</v>
      </c>
      <c r="D148" s="179">
        <v>0</v>
      </c>
      <c r="E148" s="179">
        <v>0</v>
      </c>
      <c r="F148" s="275">
        <v>5500</v>
      </c>
      <c r="G148" s="179">
        <v>0</v>
      </c>
    </row>
    <row r="150" spans="1:7" ht="12.75" customHeight="1" thickBot="1">
      <c r="A150" s="97"/>
      <c r="B150" s="98"/>
      <c r="C150" s="98"/>
      <c r="D150" s="98"/>
      <c r="E150" s="98"/>
      <c r="F150" s="98"/>
      <c r="G150" s="98"/>
    </row>
    <row r="151" spans="1:7" ht="18.75" thickBot="1">
      <c r="A151" s="318" t="s">
        <v>145</v>
      </c>
      <c r="B151" s="319"/>
      <c r="C151" s="319"/>
      <c r="D151" s="319"/>
      <c r="E151" s="319"/>
      <c r="F151" s="319"/>
      <c r="G151" s="320"/>
    </row>
    <row r="152" spans="1:7" ht="12.75" customHeight="1">
      <c r="A152" s="301" t="s">
        <v>1</v>
      </c>
      <c r="B152" s="302"/>
      <c r="C152" s="305" t="s">
        <v>207</v>
      </c>
      <c r="D152" s="305" t="s">
        <v>276</v>
      </c>
      <c r="E152" s="305" t="s">
        <v>277</v>
      </c>
      <c r="F152" s="305" t="s">
        <v>325</v>
      </c>
      <c r="G152" s="305" t="s">
        <v>356</v>
      </c>
    </row>
    <row r="153" spans="1:7" ht="13.5" thickBot="1">
      <c r="A153" s="321"/>
      <c r="B153" s="322"/>
      <c r="C153" s="306"/>
      <c r="D153" s="306"/>
      <c r="E153" s="306"/>
      <c r="F153" s="306"/>
      <c r="G153" s="306"/>
    </row>
    <row r="154" spans="1:7" ht="16.5" thickBot="1">
      <c r="A154" s="323" t="s">
        <v>146</v>
      </c>
      <c r="B154" s="324"/>
      <c r="C154" s="170">
        <f>SUM(C155:C156)</f>
        <v>182000</v>
      </c>
      <c r="D154" s="170">
        <f>SUM(D155:D156)</f>
        <v>175000</v>
      </c>
      <c r="E154" s="170">
        <f>SUM(E155:E156)</f>
        <v>254000</v>
      </c>
      <c r="F154" s="170">
        <f>SUM(F155:F156)</f>
        <v>254000</v>
      </c>
      <c r="G154" s="170">
        <f>SUM(G155:G156)</f>
        <v>70628</v>
      </c>
    </row>
    <row r="155" spans="1:7" ht="12.75">
      <c r="A155" s="102">
        <v>454</v>
      </c>
      <c r="B155" s="38" t="s">
        <v>148</v>
      </c>
      <c r="C155" s="171">
        <v>129000</v>
      </c>
      <c r="D155" s="206">
        <f>129000+2100+900</f>
        <v>132000</v>
      </c>
      <c r="E155" s="206">
        <f>129000+2100+900+79000</f>
        <v>211000</v>
      </c>
      <c r="F155" s="273">
        <f>129000+2100+900+79000</f>
        <v>211000</v>
      </c>
      <c r="G155" s="171">
        <v>52563</v>
      </c>
    </row>
    <row r="156" spans="1:7" ht="13.5" thickBot="1">
      <c r="A156" s="103">
        <v>513</v>
      </c>
      <c r="B156" s="104" t="s">
        <v>149</v>
      </c>
      <c r="C156" s="172">
        <f>22000+31000</f>
        <v>53000</v>
      </c>
      <c r="D156" s="202">
        <v>43000</v>
      </c>
      <c r="E156" s="174">
        <v>43000</v>
      </c>
      <c r="F156" s="174">
        <v>43000</v>
      </c>
      <c r="G156" s="172">
        <v>18065</v>
      </c>
    </row>
    <row r="157" spans="1:7" ht="16.5" thickBot="1">
      <c r="A157" s="323" t="s">
        <v>150</v>
      </c>
      <c r="B157" s="324"/>
      <c r="C157" s="170">
        <f>SUM(C158:C159)</f>
        <v>33900</v>
      </c>
      <c r="D157" s="170">
        <f>SUM(D158:D159)</f>
        <v>33900</v>
      </c>
      <c r="E157" s="170">
        <f>SUM(E158:E159)</f>
        <v>33900</v>
      </c>
      <c r="F157" s="170">
        <f>SUM(F158:F159)</f>
        <v>33900</v>
      </c>
      <c r="G157" s="170">
        <f>SUM(G158:G159)</f>
        <v>23733</v>
      </c>
    </row>
    <row r="158" spans="1:7" ht="12.75">
      <c r="A158" s="105">
        <v>821</v>
      </c>
      <c r="B158" s="100" t="s">
        <v>151</v>
      </c>
      <c r="C158" s="106">
        <v>33000</v>
      </c>
      <c r="D158" s="106">
        <v>33000</v>
      </c>
      <c r="E158" s="106">
        <v>33000</v>
      </c>
      <c r="F158" s="106">
        <v>33000</v>
      </c>
      <c r="G158" s="106">
        <v>23213</v>
      </c>
    </row>
    <row r="159" spans="1:7" ht="13.5" thickBot="1">
      <c r="A159" s="25">
        <v>821</v>
      </c>
      <c r="B159" s="107" t="s">
        <v>152</v>
      </c>
      <c r="C159" s="175">
        <v>900</v>
      </c>
      <c r="D159" s="175">
        <v>900</v>
      </c>
      <c r="E159" s="175">
        <v>900</v>
      </c>
      <c r="F159" s="175">
        <v>900</v>
      </c>
      <c r="G159" s="175">
        <v>520</v>
      </c>
    </row>
    <row r="160" spans="1:7" ht="15.75">
      <c r="A160" s="47"/>
      <c r="B160" s="90"/>
      <c r="C160" s="90"/>
      <c r="D160" s="90"/>
      <c r="E160" s="90"/>
      <c r="F160" s="90"/>
      <c r="G160" s="90"/>
    </row>
    <row r="161" spans="1:7" ht="15.75">
      <c r="A161" s="47"/>
      <c r="B161" s="90"/>
      <c r="C161" s="90"/>
      <c r="D161" s="90"/>
      <c r="E161" s="90"/>
      <c r="F161" s="90"/>
      <c r="G161" s="90"/>
    </row>
    <row r="162" spans="2:7" ht="12.75" customHeight="1" thickBot="1">
      <c r="B162" s="91"/>
      <c r="C162" s="91"/>
      <c r="D162" s="91"/>
      <c r="E162" s="91"/>
      <c r="F162" s="91"/>
      <c r="G162" s="91"/>
    </row>
    <row r="163" spans="1:7" ht="18.75" thickBot="1">
      <c r="A163" s="325" t="s">
        <v>153</v>
      </c>
      <c r="B163" s="326"/>
      <c r="C163" s="326"/>
      <c r="D163" s="326"/>
      <c r="E163" s="326"/>
      <c r="F163" s="326"/>
      <c r="G163" s="327"/>
    </row>
    <row r="164" spans="1:7" ht="12.75" customHeight="1">
      <c r="A164" s="301" t="s">
        <v>1</v>
      </c>
      <c r="B164" s="302"/>
      <c r="C164" s="305" t="s">
        <v>207</v>
      </c>
      <c r="D164" s="305" t="s">
        <v>276</v>
      </c>
      <c r="E164" s="305" t="s">
        <v>277</v>
      </c>
      <c r="F164" s="305" t="s">
        <v>325</v>
      </c>
      <c r="G164" s="305" t="s">
        <v>356</v>
      </c>
    </row>
    <row r="165" spans="1:7" ht="13.5" thickBot="1">
      <c r="A165" s="328"/>
      <c r="B165" s="329"/>
      <c r="C165" s="306"/>
      <c r="D165" s="306"/>
      <c r="E165" s="306"/>
      <c r="F165" s="306"/>
      <c r="G165" s="306"/>
    </row>
    <row r="166" spans="1:7" ht="15">
      <c r="A166" s="108" t="s">
        <v>154</v>
      </c>
      <c r="B166" s="15"/>
      <c r="C166" s="70">
        <f>C66</f>
        <v>1379757</v>
      </c>
      <c r="D166" s="70">
        <f>D66</f>
        <v>1410344</v>
      </c>
      <c r="E166" s="70">
        <f>E66</f>
        <v>1441425</v>
      </c>
      <c r="F166" s="70">
        <f>F66</f>
        <v>1452685</v>
      </c>
      <c r="G166" s="70">
        <f>G66</f>
        <v>1049884</v>
      </c>
    </row>
    <row r="167" spans="1:7" ht="15">
      <c r="A167" s="109" t="s">
        <v>155</v>
      </c>
      <c r="B167" s="8"/>
      <c r="C167" s="55">
        <f>C129</f>
        <v>1371699</v>
      </c>
      <c r="D167" s="55">
        <f>D129</f>
        <v>1396286</v>
      </c>
      <c r="E167" s="55">
        <f>E129</f>
        <v>1429267</v>
      </c>
      <c r="F167" s="55">
        <f>F129</f>
        <v>1439707</v>
      </c>
      <c r="G167" s="55">
        <f>G129</f>
        <v>966671</v>
      </c>
    </row>
    <row r="168" spans="1:7" ht="15.75">
      <c r="A168" s="330" t="s">
        <v>156</v>
      </c>
      <c r="B168" s="331"/>
      <c r="C168" s="110">
        <f>C166-C167</f>
        <v>8058</v>
      </c>
      <c r="D168" s="110">
        <f>D166-D167</f>
        <v>14058</v>
      </c>
      <c r="E168" s="110">
        <f>E166-E167</f>
        <v>12158</v>
      </c>
      <c r="F168" s="110">
        <f>F166-F167</f>
        <v>12978</v>
      </c>
      <c r="G168" s="110">
        <f>G166-G167</f>
        <v>83213</v>
      </c>
    </row>
    <row r="169" spans="1:7" ht="15">
      <c r="A169" s="109" t="s">
        <v>157</v>
      </c>
      <c r="B169" s="8"/>
      <c r="C169" s="55">
        <f>C136</f>
        <v>536820</v>
      </c>
      <c r="D169" s="55">
        <f>D136</f>
        <v>537820</v>
      </c>
      <c r="E169" s="55">
        <f>E136</f>
        <v>539820</v>
      </c>
      <c r="F169" s="55">
        <f>F136</f>
        <v>539820</v>
      </c>
      <c r="G169" s="55">
        <f>G136</f>
        <v>252583</v>
      </c>
    </row>
    <row r="170" spans="1:7" ht="15">
      <c r="A170" s="109" t="s">
        <v>158</v>
      </c>
      <c r="B170" s="8"/>
      <c r="C170" s="9">
        <f>C140</f>
        <v>692978</v>
      </c>
      <c r="D170" s="9">
        <f>D140</f>
        <v>692978</v>
      </c>
      <c r="E170" s="9">
        <f>E140</f>
        <v>772078</v>
      </c>
      <c r="F170" s="9">
        <f>F140</f>
        <v>772898</v>
      </c>
      <c r="G170" s="9">
        <f>G140</f>
        <v>322344</v>
      </c>
    </row>
    <row r="171" spans="1:7" ht="15.75">
      <c r="A171" s="332" t="s">
        <v>159</v>
      </c>
      <c r="B171" s="333"/>
      <c r="C171" s="110">
        <f>C169-C170</f>
        <v>-156158</v>
      </c>
      <c r="D171" s="110">
        <f>D169-D170</f>
        <v>-155158</v>
      </c>
      <c r="E171" s="110">
        <f>E169-E170</f>
        <v>-232258</v>
      </c>
      <c r="F171" s="110">
        <f>F169-F170</f>
        <v>-233078</v>
      </c>
      <c r="G171" s="110">
        <f>G169-G170</f>
        <v>-69761</v>
      </c>
    </row>
    <row r="172" spans="1:7" ht="15">
      <c r="A172" s="334" t="s">
        <v>160</v>
      </c>
      <c r="B172" s="335"/>
      <c r="C172" s="65">
        <f>C154</f>
        <v>182000</v>
      </c>
      <c r="D172" s="65">
        <f>D154</f>
        <v>175000</v>
      </c>
      <c r="E172" s="65">
        <f>E154</f>
        <v>254000</v>
      </c>
      <c r="F172" s="65">
        <f>F154</f>
        <v>254000</v>
      </c>
      <c r="G172" s="65">
        <f>G154</f>
        <v>70628</v>
      </c>
    </row>
    <row r="173" spans="1:7" ht="15">
      <c r="A173" s="334" t="s">
        <v>161</v>
      </c>
      <c r="B173" s="335"/>
      <c r="C173" s="65">
        <f>C157</f>
        <v>33900</v>
      </c>
      <c r="D173" s="65">
        <f>D157</f>
        <v>33900</v>
      </c>
      <c r="E173" s="65">
        <f>E157</f>
        <v>33900</v>
      </c>
      <c r="F173" s="65">
        <f>F157</f>
        <v>33900</v>
      </c>
      <c r="G173" s="65">
        <f>G157</f>
        <v>23733</v>
      </c>
    </row>
    <row r="174" spans="1:7" ht="16.5" thickBot="1">
      <c r="A174" s="336" t="s">
        <v>162</v>
      </c>
      <c r="B174" s="337"/>
      <c r="C174" s="111">
        <f>C172-C173</f>
        <v>148100</v>
      </c>
      <c r="D174" s="111">
        <f>D172-D173</f>
        <v>141100</v>
      </c>
      <c r="E174" s="111">
        <f>E172-E173</f>
        <v>220100</v>
      </c>
      <c r="F174" s="111">
        <f>F172-F173</f>
        <v>220100</v>
      </c>
      <c r="G174" s="111">
        <f>G172-G173</f>
        <v>46895</v>
      </c>
    </row>
    <row r="175" spans="1:7" ht="16.5" thickBot="1">
      <c r="A175" s="338" t="s">
        <v>163</v>
      </c>
      <c r="B175" s="339"/>
      <c r="C175" s="112">
        <f>C168+C171+C174</f>
        <v>0</v>
      </c>
      <c r="D175" s="112">
        <f>D168+D171+D174</f>
        <v>0</v>
      </c>
      <c r="E175" s="112">
        <f>E168+E171+E174</f>
        <v>0</v>
      </c>
      <c r="F175" s="112">
        <f>F168+F171+F174</f>
        <v>0</v>
      </c>
      <c r="G175" s="112">
        <f>G168+G171+G174</f>
        <v>60347</v>
      </c>
    </row>
    <row r="177" spans="2:7" ht="12.75">
      <c r="B177" s="113" t="s">
        <v>164</v>
      </c>
      <c r="C177" s="114">
        <f aca="true" t="shared" si="0" ref="C177:G178">C166+C169+C172</f>
        <v>2098577</v>
      </c>
      <c r="D177" s="114">
        <f t="shared" si="0"/>
        <v>2123164</v>
      </c>
      <c r="E177" s="114">
        <f t="shared" si="0"/>
        <v>2235245</v>
      </c>
      <c r="F177" s="114">
        <f>F166+F169+F172</f>
        <v>2246505</v>
      </c>
      <c r="G177" s="114">
        <f t="shared" si="0"/>
        <v>1373095</v>
      </c>
    </row>
    <row r="178" spans="2:7" ht="12.75">
      <c r="B178" s="113" t="s">
        <v>165</v>
      </c>
      <c r="C178" s="114">
        <f t="shared" si="0"/>
        <v>2098577</v>
      </c>
      <c r="D178" s="114">
        <f t="shared" si="0"/>
        <v>2123164</v>
      </c>
      <c r="E178" s="114">
        <f t="shared" si="0"/>
        <v>2235245</v>
      </c>
      <c r="F178" s="114">
        <f>F167+F170+F173</f>
        <v>2246505</v>
      </c>
      <c r="G178" s="114">
        <f t="shared" si="0"/>
        <v>1312748</v>
      </c>
    </row>
    <row r="179" spans="2:7" ht="12.75">
      <c r="B179" s="113"/>
      <c r="C179" s="114"/>
      <c r="D179" s="114"/>
      <c r="E179" s="114"/>
      <c r="F179" s="114"/>
      <c r="G179" s="114"/>
    </row>
    <row r="180" spans="2:7" ht="12.75">
      <c r="B180" s="113" t="s">
        <v>166</v>
      </c>
      <c r="C180" s="114">
        <f>C177-C65</f>
        <v>2097677</v>
      </c>
      <c r="D180" s="114">
        <f>D177-D65</f>
        <v>2122264</v>
      </c>
      <c r="E180" s="114">
        <f>E177-E65</f>
        <v>2234345</v>
      </c>
      <c r="F180" s="114">
        <f>F177-F65</f>
        <v>2245605</v>
      </c>
      <c r="G180" s="114">
        <f>G177-G65</f>
        <v>1372455</v>
      </c>
    </row>
    <row r="181" spans="2:7" ht="12.75">
      <c r="B181" s="113" t="s">
        <v>167</v>
      </c>
      <c r="C181" s="114">
        <f>C178-C128</f>
        <v>1725868</v>
      </c>
      <c r="D181" s="114">
        <f>D178-D128</f>
        <v>1725958</v>
      </c>
      <c r="E181" s="114">
        <f>E178-E128</f>
        <v>1837980</v>
      </c>
      <c r="F181" s="114">
        <f>F178-F128</f>
        <v>1845334</v>
      </c>
      <c r="G181" s="114">
        <f>G178-G128</f>
        <v>1014591</v>
      </c>
    </row>
    <row r="182" spans="4:6" ht="12.75">
      <c r="D182" s="114"/>
      <c r="E182" s="114"/>
      <c r="F182" s="114"/>
    </row>
    <row r="183" spans="2:6" ht="12.75">
      <c r="B183" t="s">
        <v>278</v>
      </c>
      <c r="D183" s="114"/>
      <c r="E183" s="114"/>
      <c r="F183" s="114"/>
    </row>
    <row r="184" spans="2:7" ht="12.75">
      <c r="B184" s="296" t="s">
        <v>205</v>
      </c>
      <c r="C184" s="296"/>
      <c r="D184" s="296"/>
      <c r="E184" s="296"/>
      <c r="F184" s="296"/>
      <c r="G184" s="296"/>
    </row>
    <row r="185" spans="2:7" ht="12.75">
      <c r="B185" s="296" t="s">
        <v>345</v>
      </c>
      <c r="C185" s="296"/>
      <c r="D185" s="296"/>
      <c r="E185" s="296"/>
      <c r="F185" s="296"/>
      <c r="G185" s="296"/>
    </row>
    <row r="186" spans="2:7" ht="12.75">
      <c r="B186" s="296" t="s">
        <v>344</v>
      </c>
      <c r="C186" s="296"/>
      <c r="D186" s="296"/>
      <c r="E186" s="296"/>
      <c r="F186" s="296"/>
      <c r="G186" s="296"/>
    </row>
    <row r="187" spans="2:7" ht="12.75">
      <c r="B187" s="296" t="s">
        <v>351</v>
      </c>
      <c r="C187" s="296"/>
      <c r="D187" s="296"/>
      <c r="E187" s="296"/>
      <c r="F187" s="296"/>
      <c r="G187" s="296"/>
    </row>
  </sheetData>
  <sheetProtection/>
  <mergeCells count="58">
    <mergeCell ref="B187:G187"/>
    <mergeCell ref="B186:G186"/>
    <mergeCell ref="A1:G1"/>
    <mergeCell ref="A3:G3"/>
    <mergeCell ref="A4:B5"/>
    <mergeCell ref="C4:C5"/>
    <mergeCell ref="D4:D5"/>
    <mergeCell ref="G4:G5"/>
    <mergeCell ref="E4:E5"/>
    <mergeCell ref="A69:G69"/>
    <mergeCell ref="A70:B71"/>
    <mergeCell ref="C70:C71"/>
    <mergeCell ref="D70:D71"/>
    <mergeCell ref="G70:G71"/>
    <mergeCell ref="E70:E71"/>
    <mergeCell ref="A6:B6"/>
    <mergeCell ref="A14:B14"/>
    <mergeCell ref="A32:B32"/>
    <mergeCell ref="A34:B34"/>
    <mergeCell ref="A77:B77"/>
    <mergeCell ref="A79:B79"/>
    <mergeCell ref="A110:B110"/>
    <mergeCell ref="A128:B128"/>
    <mergeCell ref="A136:B136"/>
    <mergeCell ref="A140:B140"/>
    <mergeCell ref="A151:G151"/>
    <mergeCell ref="A152:B153"/>
    <mergeCell ref="C152:C153"/>
    <mergeCell ref="D152:D153"/>
    <mergeCell ref="G152:G153"/>
    <mergeCell ref="E152:E153"/>
    <mergeCell ref="A154:B154"/>
    <mergeCell ref="A157:B157"/>
    <mergeCell ref="A163:G163"/>
    <mergeCell ref="A164:B165"/>
    <mergeCell ref="C164:C165"/>
    <mergeCell ref="D164:D165"/>
    <mergeCell ref="G164:G165"/>
    <mergeCell ref="E164:E165"/>
    <mergeCell ref="F164:F165"/>
    <mergeCell ref="B184:G184"/>
    <mergeCell ref="B185:G185"/>
    <mergeCell ref="A168:B168"/>
    <mergeCell ref="A171:B171"/>
    <mergeCell ref="A172:B172"/>
    <mergeCell ref="A173:B173"/>
    <mergeCell ref="A174:B174"/>
    <mergeCell ref="A175:B175"/>
    <mergeCell ref="F4:F5"/>
    <mergeCell ref="F70:F71"/>
    <mergeCell ref="F134:F135"/>
    <mergeCell ref="F152:F153"/>
    <mergeCell ref="A133:G133"/>
    <mergeCell ref="A134:B135"/>
    <mergeCell ref="C134:C135"/>
    <mergeCell ref="D134:D135"/>
    <mergeCell ref="G134:G135"/>
    <mergeCell ref="E134:E135"/>
  </mergeCells>
  <printOptions/>
  <pageMargins left="0.4" right="0.48" top="0.57" bottom="0.64" header="0.4921259845" footer="0.492125984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4"/>
  <sheetViews>
    <sheetView workbookViewId="0" topLeftCell="A1">
      <selection activeCell="A1" sqref="A1:F1"/>
    </sheetView>
  </sheetViews>
  <sheetFormatPr defaultColWidth="9.140625" defaultRowHeight="12.75"/>
  <cols>
    <col min="1" max="1" width="6.57421875" style="0" customWidth="1"/>
    <col min="2" max="2" width="44.8515625" style="0" customWidth="1"/>
    <col min="3" max="3" width="12.57421875" style="0" customWidth="1"/>
    <col min="4" max="5" width="11.28125" style="0" customWidth="1"/>
    <col min="6" max="6" width="12.57421875" style="0" customWidth="1"/>
  </cols>
  <sheetData>
    <row r="1" spans="1:6" ht="20.25">
      <c r="A1" s="297" t="s">
        <v>210</v>
      </c>
      <c r="B1" s="297"/>
      <c r="C1" s="297"/>
      <c r="D1" s="297"/>
      <c r="E1" s="297"/>
      <c r="F1" s="297"/>
    </row>
    <row r="2" ht="13.5" thickBot="1">
      <c r="F2" s="134"/>
    </row>
    <row r="3" spans="1:6" ht="18.75" thickBot="1">
      <c r="A3" s="298" t="s">
        <v>0</v>
      </c>
      <c r="B3" s="299"/>
      <c r="C3" s="299"/>
      <c r="D3" s="299"/>
      <c r="E3" s="299"/>
      <c r="F3" s="300"/>
    </row>
    <row r="4" spans="1:6" ht="12.75">
      <c r="A4" s="301" t="s">
        <v>1</v>
      </c>
      <c r="B4" s="302"/>
      <c r="C4" s="305" t="s">
        <v>207</v>
      </c>
      <c r="D4" s="305" t="s">
        <v>276</v>
      </c>
      <c r="E4" s="305" t="s">
        <v>277</v>
      </c>
      <c r="F4" s="305" t="s">
        <v>306</v>
      </c>
    </row>
    <row r="5" spans="1:6" ht="13.5" thickBot="1">
      <c r="A5" s="303"/>
      <c r="B5" s="304"/>
      <c r="C5" s="306"/>
      <c r="D5" s="306"/>
      <c r="E5" s="306"/>
      <c r="F5" s="306"/>
    </row>
    <row r="6" spans="1:6" ht="13.5" thickBot="1">
      <c r="A6" s="310" t="s">
        <v>2</v>
      </c>
      <c r="B6" s="311"/>
      <c r="C6" s="135">
        <f>SUM(C7:C13)</f>
        <v>752553</v>
      </c>
      <c r="D6" s="135">
        <f>SUM(D7:D13)</f>
        <v>753553</v>
      </c>
      <c r="E6" s="135">
        <f>SUM(E7:E13)</f>
        <v>754853</v>
      </c>
      <c r="F6" s="135">
        <f>SUM(F7:F13)</f>
        <v>378956</v>
      </c>
    </row>
    <row r="7" spans="1:6" ht="13.5" thickBot="1">
      <c r="A7" s="1">
        <v>111</v>
      </c>
      <c r="B7" s="2" t="s">
        <v>3</v>
      </c>
      <c r="C7" s="3">
        <v>700000</v>
      </c>
      <c r="D7" s="3">
        <v>700000</v>
      </c>
      <c r="E7" s="3">
        <v>700000</v>
      </c>
      <c r="F7" s="3">
        <v>345134</v>
      </c>
    </row>
    <row r="8" spans="1:6" ht="13.5" thickBot="1">
      <c r="A8" s="20">
        <v>121</v>
      </c>
      <c r="B8" s="21" t="s">
        <v>181</v>
      </c>
      <c r="C8" s="23">
        <v>30273</v>
      </c>
      <c r="D8" s="23">
        <v>30273</v>
      </c>
      <c r="E8" s="23">
        <v>30273</v>
      </c>
      <c r="F8" s="23">
        <v>18273</v>
      </c>
    </row>
    <row r="9" spans="1:6" ht="12.75">
      <c r="A9" s="4">
        <v>133</v>
      </c>
      <c r="B9" s="5" t="s">
        <v>4</v>
      </c>
      <c r="C9" s="6">
        <v>1000</v>
      </c>
      <c r="D9" s="6">
        <v>1000</v>
      </c>
      <c r="E9" s="6">
        <v>1000</v>
      </c>
      <c r="F9" s="6">
        <v>940</v>
      </c>
    </row>
    <row r="10" spans="1:6" ht="12.75">
      <c r="A10" s="7">
        <v>133</v>
      </c>
      <c r="B10" s="8" t="s">
        <v>5</v>
      </c>
      <c r="C10" s="9">
        <v>280</v>
      </c>
      <c r="D10" s="9">
        <v>280</v>
      </c>
      <c r="E10" s="9">
        <v>280</v>
      </c>
      <c r="F10" s="9">
        <v>239</v>
      </c>
    </row>
    <row r="11" spans="1:6" ht="12.75">
      <c r="A11" s="7">
        <v>133</v>
      </c>
      <c r="B11" s="8" t="s">
        <v>6</v>
      </c>
      <c r="C11" s="9">
        <v>1000</v>
      </c>
      <c r="D11" s="9">
        <v>1000</v>
      </c>
      <c r="E11" s="181">
        <v>1300</v>
      </c>
      <c r="F11" s="9">
        <v>676</v>
      </c>
    </row>
    <row r="12" spans="1:6" ht="12.75">
      <c r="A12" s="7">
        <v>133</v>
      </c>
      <c r="B12" s="8" t="s">
        <v>7</v>
      </c>
      <c r="C12" s="9">
        <v>5000</v>
      </c>
      <c r="D12" s="9">
        <v>5000</v>
      </c>
      <c r="E12" s="9">
        <v>5000</v>
      </c>
      <c r="F12" s="9">
        <v>2481</v>
      </c>
    </row>
    <row r="13" spans="1:6" ht="13.5" thickBot="1">
      <c r="A13" s="10">
        <v>133</v>
      </c>
      <c r="B13" s="11" t="s">
        <v>8</v>
      </c>
      <c r="C13" s="13">
        <v>15000</v>
      </c>
      <c r="D13" s="180">
        <v>16000</v>
      </c>
      <c r="E13" s="180">
        <v>17000</v>
      </c>
      <c r="F13" s="12">
        <v>11213</v>
      </c>
    </row>
    <row r="14" spans="1:6" ht="13.5" thickBot="1">
      <c r="A14" s="310" t="s">
        <v>9</v>
      </c>
      <c r="B14" s="311"/>
      <c r="C14" s="135">
        <f>SUM(C15:C31)</f>
        <v>119460</v>
      </c>
      <c r="D14" s="135">
        <f>SUM(D15:D31)</f>
        <v>123522</v>
      </c>
      <c r="E14" s="135">
        <f>SUM(E15:E31)</f>
        <v>134722</v>
      </c>
      <c r="F14" s="135">
        <f>SUM(F15:F31)</f>
        <v>64204</v>
      </c>
    </row>
    <row r="15" spans="1:6" ht="12.75">
      <c r="A15" s="14">
        <v>212</v>
      </c>
      <c r="B15" s="15" t="s">
        <v>10</v>
      </c>
      <c r="C15" s="16">
        <v>490</v>
      </c>
      <c r="D15" s="16">
        <v>490</v>
      </c>
      <c r="E15" s="16">
        <v>490</v>
      </c>
      <c r="F15" s="16">
        <v>286</v>
      </c>
    </row>
    <row r="16" spans="1:6" ht="12.75">
      <c r="A16" s="4">
        <v>212</v>
      </c>
      <c r="B16" s="5" t="s">
        <v>11</v>
      </c>
      <c r="C16" s="6">
        <v>200</v>
      </c>
      <c r="D16" s="6">
        <v>200</v>
      </c>
      <c r="E16" s="6">
        <v>200</v>
      </c>
      <c r="F16" s="6">
        <v>83</v>
      </c>
    </row>
    <row r="17" spans="1:6" ht="12.75">
      <c r="A17" s="7">
        <v>212</v>
      </c>
      <c r="B17" s="8" t="s">
        <v>12</v>
      </c>
      <c r="C17" s="9">
        <v>3943</v>
      </c>
      <c r="D17" s="204">
        <v>3943</v>
      </c>
      <c r="E17" s="204">
        <v>3943</v>
      </c>
      <c r="F17" s="9">
        <v>1731</v>
      </c>
    </row>
    <row r="18" spans="1:6" ht="12.75">
      <c r="A18" s="7">
        <v>212</v>
      </c>
      <c r="B18" s="8" t="s">
        <v>198</v>
      </c>
      <c r="C18" s="9">
        <v>12157</v>
      </c>
      <c r="D18" s="181">
        <f>13089+100+300</f>
        <v>13489</v>
      </c>
      <c r="E18" s="181">
        <f>15189+500</f>
        <v>15689</v>
      </c>
      <c r="F18" s="9">
        <v>6765</v>
      </c>
    </row>
    <row r="19" spans="1:8" ht="13.5" thickBot="1">
      <c r="A19" s="17">
        <v>212</v>
      </c>
      <c r="B19" s="18" t="s">
        <v>199</v>
      </c>
      <c r="C19" s="19">
        <v>20</v>
      </c>
      <c r="D19" s="19">
        <v>20</v>
      </c>
      <c r="E19" s="19">
        <v>20</v>
      </c>
      <c r="F19" s="19">
        <v>0</v>
      </c>
      <c r="G19" s="114">
        <f>SUM(E15:E19)</f>
        <v>20342</v>
      </c>
      <c r="H19" s="114">
        <f>SUM(F15:F19)</f>
        <v>8865</v>
      </c>
    </row>
    <row r="20" spans="1:6" ht="13.5" thickBot="1">
      <c r="A20" s="20">
        <v>221</v>
      </c>
      <c r="B20" s="21" t="s">
        <v>13</v>
      </c>
      <c r="C20" s="22">
        <v>10800</v>
      </c>
      <c r="D20" s="22">
        <v>10800</v>
      </c>
      <c r="E20" s="22">
        <v>10800</v>
      </c>
      <c r="F20" s="22">
        <v>1969</v>
      </c>
    </row>
    <row r="21" spans="1:6" ht="13.5" thickBot="1">
      <c r="A21" s="20">
        <v>222</v>
      </c>
      <c r="B21" s="21" t="s">
        <v>14</v>
      </c>
      <c r="C21" s="23">
        <v>500</v>
      </c>
      <c r="D21" s="23">
        <v>500</v>
      </c>
      <c r="E21" s="23">
        <v>500</v>
      </c>
      <c r="F21" s="23">
        <v>0</v>
      </c>
    </row>
    <row r="22" spans="1:6" ht="12.75">
      <c r="A22" s="4">
        <v>223</v>
      </c>
      <c r="B22" s="5" t="s">
        <v>15</v>
      </c>
      <c r="C22" s="6">
        <v>900</v>
      </c>
      <c r="D22" s="6">
        <v>900</v>
      </c>
      <c r="E22" s="6">
        <v>900</v>
      </c>
      <c r="F22" s="6">
        <v>237</v>
      </c>
    </row>
    <row r="23" spans="1:6" ht="12.75">
      <c r="A23" s="7">
        <v>223</v>
      </c>
      <c r="B23" s="8" t="s">
        <v>16</v>
      </c>
      <c r="C23" s="9">
        <v>11000</v>
      </c>
      <c r="D23" s="9">
        <v>11000</v>
      </c>
      <c r="E23" s="9">
        <v>11000</v>
      </c>
      <c r="F23" s="9">
        <v>5194</v>
      </c>
    </row>
    <row r="24" spans="1:6" ht="12.75">
      <c r="A24" s="7">
        <v>223</v>
      </c>
      <c r="B24" s="8" t="s">
        <v>17</v>
      </c>
      <c r="C24" s="9">
        <v>15500</v>
      </c>
      <c r="D24" s="9">
        <v>15500</v>
      </c>
      <c r="E24" s="181">
        <f>21500+3000</f>
        <v>24500</v>
      </c>
      <c r="F24" s="9">
        <v>18111</v>
      </c>
    </row>
    <row r="25" spans="1:6" ht="12.75">
      <c r="A25" s="7">
        <v>223</v>
      </c>
      <c r="B25" s="8" t="s">
        <v>18</v>
      </c>
      <c r="C25" s="9">
        <v>200</v>
      </c>
      <c r="D25" s="181">
        <f>200+2630</f>
        <v>2830</v>
      </c>
      <c r="E25" s="204">
        <f>200+2630</f>
        <v>2830</v>
      </c>
      <c r="F25" s="9">
        <f>157+2630</f>
        <v>2787</v>
      </c>
    </row>
    <row r="26" spans="1:6" ht="12.75">
      <c r="A26" s="7">
        <v>223</v>
      </c>
      <c r="B26" s="8" t="s">
        <v>19</v>
      </c>
      <c r="C26" s="9">
        <v>600</v>
      </c>
      <c r="D26" s="9">
        <v>600</v>
      </c>
      <c r="E26" s="9">
        <v>600</v>
      </c>
      <c r="F26" s="9">
        <v>385</v>
      </c>
    </row>
    <row r="27" spans="1:6" ht="12.75">
      <c r="A27" s="7">
        <v>223</v>
      </c>
      <c r="B27" s="8" t="s">
        <v>20</v>
      </c>
      <c r="C27" s="9">
        <v>30000</v>
      </c>
      <c r="D27" s="9">
        <v>30000</v>
      </c>
      <c r="E27" s="9">
        <v>30000</v>
      </c>
      <c r="F27" s="9">
        <v>12316</v>
      </c>
    </row>
    <row r="28" spans="1:6" ht="12.75">
      <c r="A28" s="7">
        <v>223</v>
      </c>
      <c r="B28" s="8" t="s">
        <v>21</v>
      </c>
      <c r="C28" s="9">
        <v>23050</v>
      </c>
      <c r="D28" s="181">
        <v>23150</v>
      </c>
      <c r="E28" s="204">
        <v>23150</v>
      </c>
      <c r="F28" s="9">
        <v>9626</v>
      </c>
    </row>
    <row r="29" spans="1:6" ht="12.75">
      <c r="A29" s="7">
        <v>223</v>
      </c>
      <c r="B29" s="8" t="s">
        <v>22</v>
      </c>
      <c r="C29" s="24">
        <v>9000</v>
      </c>
      <c r="D29" s="24">
        <v>9000</v>
      </c>
      <c r="E29" s="24">
        <v>9000</v>
      </c>
      <c r="F29" s="24">
        <v>4120</v>
      </c>
    </row>
    <row r="30" spans="1:6" ht="12.75">
      <c r="A30" s="7">
        <v>223</v>
      </c>
      <c r="B30" s="8" t="s">
        <v>23</v>
      </c>
      <c r="C30" s="9">
        <v>1000</v>
      </c>
      <c r="D30" s="9">
        <v>1000</v>
      </c>
      <c r="E30" s="9">
        <v>1000</v>
      </c>
      <c r="F30" s="9">
        <v>584</v>
      </c>
    </row>
    <row r="31" spans="1:8" ht="13.5" thickBot="1">
      <c r="A31" s="10">
        <v>223</v>
      </c>
      <c r="B31" s="11" t="s">
        <v>24</v>
      </c>
      <c r="C31" s="12">
        <v>100</v>
      </c>
      <c r="D31" s="12">
        <v>100</v>
      </c>
      <c r="E31" s="12">
        <v>100</v>
      </c>
      <c r="F31" s="12">
        <v>10</v>
      </c>
      <c r="G31" s="114">
        <f>SUM(E20:E31)</f>
        <v>114380</v>
      </c>
      <c r="H31" s="114">
        <f>SUM(F20:F31)</f>
        <v>55339</v>
      </c>
    </row>
    <row r="32" spans="1:6" ht="13.5" thickBot="1">
      <c r="A32" s="310" t="s">
        <v>25</v>
      </c>
      <c r="B32" s="311"/>
      <c r="C32" s="135">
        <f>SUM(C33)</f>
        <v>490</v>
      </c>
      <c r="D32" s="135">
        <f>SUM(D33)</f>
        <v>490</v>
      </c>
      <c r="E32" s="135">
        <f>SUM(E33)</f>
        <v>700</v>
      </c>
      <c r="F32" s="135">
        <f>SUM(F33)</f>
        <v>386</v>
      </c>
    </row>
    <row r="33" spans="1:6" ht="13.5" thickBot="1">
      <c r="A33" s="25">
        <v>240</v>
      </c>
      <c r="B33" s="18" t="s">
        <v>26</v>
      </c>
      <c r="C33" s="19">
        <v>490</v>
      </c>
      <c r="D33" s="19">
        <v>490</v>
      </c>
      <c r="E33" s="253">
        <f>490+210</f>
        <v>700</v>
      </c>
      <c r="F33" s="19">
        <v>386</v>
      </c>
    </row>
    <row r="34" spans="1:6" ht="13.5" thickBot="1">
      <c r="A34" s="310" t="s">
        <v>27</v>
      </c>
      <c r="B34" s="311"/>
      <c r="C34" s="135">
        <f>SUM(C35:C47)</f>
        <v>32789</v>
      </c>
      <c r="D34" s="135">
        <f>SUM(D35:D47)</f>
        <v>34905</v>
      </c>
      <c r="E34" s="135">
        <f>SUM(E35:E47)</f>
        <v>37017</v>
      </c>
      <c r="F34" s="135">
        <f>SUM(F35:F47)</f>
        <v>10118</v>
      </c>
    </row>
    <row r="35" spans="1:6" ht="12.75">
      <c r="A35" s="26">
        <v>292</v>
      </c>
      <c r="B35" s="27" t="s">
        <v>182</v>
      </c>
      <c r="C35" s="28">
        <v>200</v>
      </c>
      <c r="D35" s="28">
        <v>200</v>
      </c>
      <c r="E35" s="28">
        <v>200</v>
      </c>
      <c r="F35" s="28">
        <v>0</v>
      </c>
    </row>
    <row r="36" spans="1:6" ht="12.75">
      <c r="A36" s="26">
        <v>292</v>
      </c>
      <c r="B36" s="27" t="s">
        <v>28</v>
      </c>
      <c r="C36" s="28">
        <v>100</v>
      </c>
      <c r="D36" s="28">
        <v>100</v>
      </c>
      <c r="E36" s="249">
        <v>200</v>
      </c>
      <c r="F36" s="28">
        <v>105</v>
      </c>
    </row>
    <row r="37" spans="1:6" ht="12.75">
      <c r="A37" s="29">
        <v>292</v>
      </c>
      <c r="B37" s="30" t="s">
        <v>29</v>
      </c>
      <c r="C37" s="31">
        <v>5000</v>
      </c>
      <c r="D37" s="183">
        <v>5025</v>
      </c>
      <c r="E37" s="31">
        <v>5025</v>
      </c>
      <c r="F37" s="31">
        <f>25</f>
        <v>25</v>
      </c>
    </row>
    <row r="38" spans="1:6" ht="12.75">
      <c r="A38" s="29">
        <v>292</v>
      </c>
      <c r="B38" s="8" t="s">
        <v>183</v>
      </c>
      <c r="C38" s="32">
        <v>160</v>
      </c>
      <c r="D38" s="32">
        <v>160</v>
      </c>
      <c r="E38" s="182">
        <v>172</v>
      </c>
      <c r="F38" s="136">
        <v>0</v>
      </c>
    </row>
    <row r="39" spans="1:6" ht="12.75">
      <c r="A39" s="29">
        <v>292</v>
      </c>
      <c r="B39" s="30" t="s">
        <v>184</v>
      </c>
      <c r="C39" s="31">
        <v>2000</v>
      </c>
      <c r="D39" s="31">
        <v>2000</v>
      </c>
      <c r="E39" s="31">
        <v>2000</v>
      </c>
      <c r="F39" s="31">
        <v>106</v>
      </c>
    </row>
    <row r="40" spans="1:6" ht="12.75">
      <c r="A40" s="29">
        <v>292</v>
      </c>
      <c r="B40" s="30" t="s">
        <v>30</v>
      </c>
      <c r="C40" s="31">
        <v>300</v>
      </c>
      <c r="D40" s="31">
        <v>300</v>
      </c>
      <c r="E40" s="31">
        <v>300</v>
      </c>
      <c r="F40" s="31">
        <v>0</v>
      </c>
    </row>
    <row r="41" spans="1:6" ht="12.75">
      <c r="A41" s="29">
        <v>292</v>
      </c>
      <c r="B41" s="30" t="s">
        <v>237</v>
      </c>
      <c r="C41" s="31">
        <v>120</v>
      </c>
      <c r="D41" s="183">
        <f>1587-794</f>
        <v>793</v>
      </c>
      <c r="E41" s="31">
        <f>1587-794</f>
        <v>793</v>
      </c>
      <c r="F41" s="31">
        <v>793</v>
      </c>
    </row>
    <row r="42" spans="1:6" ht="12.75">
      <c r="A42" s="137">
        <v>292</v>
      </c>
      <c r="B42" s="138" t="s">
        <v>185</v>
      </c>
      <c r="C42" s="139">
        <v>1509</v>
      </c>
      <c r="D42" s="184">
        <v>1527</v>
      </c>
      <c r="E42" s="245">
        <v>1527</v>
      </c>
      <c r="F42" s="139">
        <v>1527</v>
      </c>
    </row>
    <row r="43" spans="1:6" ht="12.75">
      <c r="A43" s="29">
        <v>292</v>
      </c>
      <c r="B43" s="8" t="s">
        <v>31</v>
      </c>
      <c r="C43" s="32">
        <v>6800</v>
      </c>
      <c r="D43" s="182">
        <v>8200</v>
      </c>
      <c r="E43" s="182">
        <f>8200+2000</f>
        <v>10200</v>
      </c>
      <c r="F43" s="32">
        <v>2564</v>
      </c>
    </row>
    <row r="44" spans="1:6" ht="12.75">
      <c r="A44" s="29">
        <v>292</v>
      </c>
      <c r="B44" s="8" t="s">
        <v>32</v>
      </c>
      <c r="C44" s="32">
        <v>2000</v>
      </c>
      <c r="D44" s="182">
        <v>2000</v>
      </c>
      <c r="E44" s="246">
        <v>2000</v>
      </c>
      <c r="F44" s="32">
        <v>221</v>
      </c>
    </row>
    <row r="45" spans="1:6" ht="12.75">
      <c r="A45" s="29">
        <v>292</v>
      </c>
      <c r="B45" s="8" t="s">
        <v>33</v>
      </c>
      <c r="C45" s="32">
        <v>100</v>
      </c>
      <c r="D45" s="32">
        <v>100</v>
      </c>
      <c r="E45" s="32">
        <v>100</v>
      </c>
      <c r="F45" s="32">
        <v>30</v>
      </c>
    </row>
    <row r="46" spans="1:6" ht="12.75">
      <c r="A46" s="7">
        <v>292</v>
      </c>
      <c r="B46" s="8" t="s">
        <v>186</v>
      </c>
      <c r="C46" s="9">
        <v>12000</v>
      </c>
      <c r="D46" s="9">
        <v>12000</v>
      </c>
      <c r="E46" s="9">
        <v>12000</v>
      </c>
      <c r="F46" s="9">
        <v>4698</v>
      </c>
    </row>
    <row r="47" spans="1:6" ht="13.5" thickBot="1">
      <c r="A47" s="29">
        <v>292</v>
      </c>
      <c r="B47" s="30" t="s">
        <v>187</v>
      </c>
      <c r="C47" s="31">
        <v>2500</v>
      </c>
      <c r="D47" s="31">
        <v>2500</v>
      </c>
      <c r="E47" s="31">
        <v>2500</v>
      </c>
      <c r="F47" s="31">
        <v>49</v>
      </c>
    </row>
    <row r="48" spans="1:6" ht="13.5" thickBot="1">
      <c r="A48" s="33" t="s">
        <v>34</v>
      </c>
      <c r="B48" s="34"/>
      <c r="C48" s="140">
        <f>SUM(C49:C62)</f>
        <v>473565</v>
      </c>
      <c r="D48" s="140">
        <f>SUM(D49:D62)</f>
        <v>496974</v>
      </c>
      <c r="E48" s="140">
        <f>SUM(E49:E62)</f>
        <v>513233</v>
      </c>
      <c r="F48" s="140">
        <f>SUM(F49:F62)</f>
        <v>248353</v>
      </c>
    </row>
    <row r="49" spans="1:6" ht="12.75">
      <c r="A49" s="35">
        <v>311</v>
      </c>
      <c r="B49" s="5" t="s">
        <v>293</v>
      </c>
      <c r="C49" s="6">
        <v>0</v>
      </c>
      <c r="D49" s="6">
        <v>0</v>
      </c>
      <c r="E49" s="247">
        <f>2000+200</f>
        <v>2200</v>
      </c>
      <c r="F49" s="6">
        <f>1800+200</f>
        <v>2000</v>
      </c>
    </row>
    <row r="50" spans="1:6" ht="12.75">
      <c r="A50" s="141">
        <v>312</v>
      </c>
      <c r="B50" s="142" t="s">
        <v>36</v>
      </c>
      <c r="C50" s="143">
        <v>15600</v>
      </c>
      <c r="D50" s="143">
        <v>15600</v>
      </c>
      <c r="E50" s="143">
        <v>15600</v>
      </c>
      <c r="F50" s="143">
        <v>7562</v>
      </c>
    </row>
    <row r="51" spans="1:6" ht="12.75">
      <c r="A51" s="144">
        <v>312</v>
      </c>
      <c r="B51" s="145" t="s">
        <v>200</v>
      </c>
      <c r="C51" s="146">
        <v>12000</v>
      </c>
      <c r="D51" s="185">
        <v>10000</v>
      </c>
      <c r="E51" s="185">
        <v>11400</v>
      </c>
      <c r="F51" s="146">
        <v>7782</v>
      </c>
    </row>
    <row r="52" spans="1:6" ht="12.75">
      <c r="A52" s="35">
        <v>312</v>
      </c>
      <c r="B52" s="8" t="s">
        <v>37</v>
      </c>
      <c r="C52" s="6">
        <v>7200</v>
      </c>
      <c r="D52" s="6">
        <v>7200</v>
      </c>
      <c r="E52" s="6">
        <v>7200</v>
      </c>
      <c r="F52" s="6">
        <v>4703</v>
      </c>
    </row>
    <row r="53" spans="1:6" ht="12.75">
      <c r="A53" s="35">
        <v>312</v>
      </c>
      <c r="B53" s="36" t="s">
        <v>38</v>
      </c>
      <c r="C53" s="147">
        <v>13500</v>
      </c>
      <c r="D53" s="260">
        <f>4100+9400+794</f>
        <v>14294</v>
      </c>
      <c r="E53" s="260">
        <f>4100+9400+794+12000</f>
        <v>26294</v>
      </c>
      <c r="F53" s="147">
        <f>793+3048</f>
        <v>3841</v>
      </c>
    </row>
    <row r="54" spans="1:6" ht="12.75">
      <c r="A54" s="35">
        <v>312</v>
      </c>
      <c r="B54" s="36" t="s">
        <v>188</v>
      </c>
      <c r="C54" s="147">
        <v>44465</v>
      </c>
      <c r="D54" s="147">
        <v>44465</v>
      </c>
      <c r="E54" s="147">
        <v>44465</v>
      </c>
      <c r="F54" s="148">
        <v>18420</v>
      </c>
    </row>
    <row r="55" spans="1:6" ht="12.75">
      <c r="A55" s="35">
        <v>312</v>
      </c>
      <c r="B55" s="36" t="s">
        <v>39</v>
      </c>
      <c r="C55" s="6">
        <v>10000</v>
      </c>
      <c r="D55" s="6">
        <v>10000</v>
      </c>
      <c r="E55" s="6">
        <v>10000</v>
      </c>
      <c r="F55" s="6">
        <v>5013</v>
      </c>
    </row>
    <row r="56" spans="1:6" ht="12.75">
      <c r="A56" s="35">
        <v>312</v>
      </c>
      <c r="B56" s="36" t="s">
        <v>40</v>
      </c>
      <c r="C56" s="6">
        <v>18000</v>
      </c>
      <c r="D56" s="6">
        <v>18000</v>
      </c>
      <c r="E56" s="6">
        <v>18000</v>
      </c>
      <c r="F56" s="6">
        <v>9000</v>
      </c>
    </row>
    <row r="57" spans="1:6" ht="12.75">
      <c r="A57" s="35">
        <v>312</v>
      </c>
      <c r="B57" s="36" t="s">
        <v>41</v>
      </c>
      <c r="C57" s="6">
        <v>6400</v>
      </c>
      <c r="D57" s="6">
        <v>6400</v>
      </c>
      <c r="E57" s="6">
        <v>6400</v>
      </c>
      <c r="F57" s="148">
        <v>1577</v>
      </c>
    </row>
    <row r="58" spans="1:6" ht="12.75">
      <c r="A58" s="35">
        <v>312</v>
      </c>
      <c r="B58" s="36" t="s">
        <v>209</v>
      </c>
      <c r="C58" s="6">
        <v>0</v>
      </c>
      <c r="D58" s="6">
        <v>0</v>
      </c>
      <c r="E58" s="247">
        <v>600</v>
      </c>
      <c r="F58" s="147">
        <v>0</v>
      </c>
    </row>
    <row r="59" spans="1:6" ht="12.75">
      <c r="A59" s="37">
        <v>312</v>
      </c>
      <c r="B59" s="8" t="s">
        <v>190</v>
      </c>
      <c r="C59" s="9">
        <v>3700</v>
      </c>
      <c r="D59" s="181">
        <v>3720</v>
      </c>
      <c r="E59" s="204">
        <v>3720</v>
      </c>
      <c r="F59" s="9">
        <v>3716</v>
      </c>
    </row>
    <row r="60" spans="1:6" ht="12.75">
      <c r="A60" s="37">
        <v>312</v>
      </c>
      <c r="B60" s="38" t="s">
        <v>202</v>
      </c>
      <c r="C60" s="39">
        <v>3000</v>
      </c>
      <c r="D60" s="39">
        <v>3000</v>
      </c>
      <c r="E60" s="248">
        <v>3000</v>
      </c>
      <c r="F60" s="39">
        <v>2939</v>
      </c>
    </row>
    <row r="61" spans="1:6" ht="12.75">
      <c r="A61" s="37">
        <v>312</v>
      </c>
      <c r="B61" s="40" t="s">
        <v>42</v>
      </c>
      <c r="C61" s="39">
        <v>2000</v>
      </c>
      <c r="D61" s="186">
        <v>2116</v>
      </c>
      <c r="E61" s="248">
        <v>2116</v>
      </c>
      <c r="F61" s="39">
        <v>1058</v>
      </c>
    </row>
    <row r="62" spans="1:6" ht="13.5" thickBot="1">
      <c r="A62" s="37">
        <v>312</v>
      </c>
      <c r="B62" s="41" t="s">
        <v>43</v>
      </c>
      <c r="C62" s="42">
        <v>337700</v>
      </c>
      <c r="D62" s="261">
        <v>362179</v>
      </c>
      <c r="E62" s="261">
        <f>362179+59</f>
        <v>362238</v>
      </c>
      <c r="F62" s="42">
        <v>180742</v>
      </c>
    </row>
    <row r="63" spans="1:6" ht="16.5" thickBot="1">
      <c r="A63" s="43" t="s">
        <v>44</v>
      </c>
      <c r="B63" s="44"/>
      <c r="C63" s="149">
        <f>SUM(C6+C14+C32+C34+C48)</f>
        <v>1378857</v>
      </c>
      <c r="D63" s="149">
        <f>SUM(D6+D14+D32+D34+D48)</f>
        <v>1409444</v>
      </c>
      <c r="E63" s="149">
        <f>SUM(E6+E14+E32+E34+E48)</f>
        <v>1440525</v>
      </c>
      <c r="F63" s="149">
        <f>SUM(F6+F14+F32+F34+F48)</f>
        <v>702017</v>
      </c>
    </row>
    <row r="64" spans="1:6" ht="16.5" thickBot="1">
      <c r="A64" s="45"/>
      <c r="B64" s="46" t="s">
        <v>45</v>
      </c>
      <c r="C64" s="150">
        <v>900</v>
      </c>
      <c r="D64" s="150">
        <v>900</v>
      </c>
      <c r="E64" s="150">
        <v>900</v>
      </c>
      <c r="F64" s="150">
        <v>340</v>
      </c>
    </row>
    <row r="65" spans="1:6" ht="16.5" thickBot="1">
      <c r="A65" s="43" t="s">
        <v>46</v>
      </c>
      <c r="B65" s="34"/>
      <c r="C65" s="149">
        <f>SUM(C63:C64)</f>
        <v>1379757</v>
      </c>
      <c r="D65" s="149">
        <f>SUM(D63:D64)</f>
        <v>1410344</v>
      </c>
      <c r="E65" s="149">
        <f>SUM(E63:E64)</f>
        <v>1441425</v>
      </c>
      <c r="F65" s="149">
        <f>SUM(F63:F64)</f>
        <v>702357</v>
      </c>
    </row>
    <row r="66" spans="1:6" ht="15.75">
      <c r="A66" s="47"/>
      <c r="B66" s="48"/>
      <c r="C66" s="48"/>
      <c r="D66" s="49"/>
      <c r="E66" s="49"/>
      <c r="F66" s="49"/>
    </row>
    <row r="67" spans="1:6" ht="16.5" thickBot="1">
      <c r="A67" s="47"/>
      <c r="B67" s="48"/>
      <c r="C67" s="48"/>
      <c r="D67" s="48"/>
      <c r="E67" s="48"/>
      <c r="F67" s="48"/>
    </row>
    <row r="68" spans="1:6" ht="18.75" thickBot="1">
      <c r="A68" s="307" t="s">
        <v>47</v>
      </c>
      <c r="B68" s="308"/>
      <c r="C68" s="308"/>
      <c r="D68" s="308"/>
      <c r="E68" s="308"/>
      <c r="F68" s="309"/>
    </row>
    <row r="69" spans="1:6" ht="12.75" customHeight="1">
      <c r="A69" s="301" t="s">
        <v>1</v>
      </c>
      <c r="B69" s="302"/>
      <c r="C69" s="305" t="s">
        <v>207</v>
      </c>
      <c r="D69" s="305" t="s">
        <v>276</v>
      </c>
      <c r="E69" s="305" t="s">
        <v>277</v>
      </c>
      <c r="F69" s="305" t="s">
        <v>306</v>
      </c>
    </row>
    <row r="70" spans="1:6" ht="13.5" thickBot="1">
      <c r="A70" s="303"/>
      <c r="B70" s="304"/>
      <c r="C70" s="306"/>
      <c r="D70" s="306"/>
      <c r="E70" s="306"/>
      <c r="F70" s="306"/>
    </row>
    <row r="71" spans="1:6" ht="13.5" thickBot="1">
      <c r="A71" s="50" t="s">
        <v>48</v>
      </c>
      <c r="B71" s="51"/>
      <c r="C71" s="151">
        <f>SUM(C72:C75)</f>
        <v>192000</v>
      </c>
      <c r="D71" s="151">
        <f>SUM(D72:D75)</f>
        <v>191950</v>
      </c>
      <c r="E71" s="151">
        <f>SUM(E72:E75)</f>
        <v>193900</v>
      </c>
      <c r="F71" s="151">
        <f>SUM(F72:F75)</f>
        <v>75868</v>
      </c>
    </row>
    <row r="72" spans="1:6" ht="12.75">
      <c r="A72" s="52" t="s">
        <v>49</v>
      </c>
      <c r="B72" s="53" t="s">
        <v>50</v>
      </c>
      <c r="C72" s="152">
        <v>148300</v>
      </c>
      <c r="D72" s="152">
        <v>148300</v>
      </c>
      <c r="E72" s="250">
        <f>148300+500</f>
        <v>148800</v>
      </c>
      <c r="F72" s="152">
        <v>55266</v>
      </c>
    </row>
    <row r="73" spans="1:6" ht="12.75">
      <c r="A73" s="54" t="s">
        <v>51</v>
      </c>
      <c r="B73" s="36" t="s">
        <v>52</v>
      </c>
      <c r="C73" s="153">
        <v>28000</v>
      </c>
      <c r="D73" s="205">
        <f>28000+1000</f>
        <v>29000</v>
      </c>
      <c r="E73" s="153">
        <f>28000+1000</f>
        <v>29000</v>
      </c>
      <c r="F73" s="153">
        <v>10598</v>
      </c>
    </row>
    <row r="74" spans="1:6" ht="12.75">
      <c r="A74" s="56" t="s">
        <v>53</v>
      </c>
      <c r="B74" s="36" t="s">
        <v>54</v>
      </c>
      <c r="C74" s="153">
        <v>3700</v>
      </c>
      <c r="D74" s="234">
        <f>3700+20+930</f>
        <v>4650</v>
      </c>
      <c r="E74" s="234">
        <f>3700+20+930+50</f>
        <v>4700</v>
      </c>
      <c r="F74" s="153">
        <v>2155</v>
      </c>
    </row>
    <row r="75" spans="1:6" ht="13.5" thickBot="1">
      <c r="A75" s="57" t="s">
        <v>55</v>
      </c>
      <c r="B75" s="58" t="s">
        <v>56</v>
      </c>
      <c r="C75" s="154">
        <v>12000</v>
      </c>
      <c r="D75" s="235">
        <v>10000</v>
      </c>
      <c r="E75" s="235">
        <v>11400</v>
      </c>
      <c r="F75" s="154">
        <v>7849</v>
      </c>
    </row>
    <row r="76" spans="1:6" ht="13.5" thickBot="1">
      <c r="A76" s="312" t="s">
        <v>57</v>
      </c>
      <c r="B76" s="313"/>
      <c r="C76" s="151">
        <f>SUM(C77)</f>
        <v>160</v>
      </c>
      <c r="D76" s="151">
        <f>SUM(D77)</f>
        <v>160</v>
      </c>
      <c r="E76" s="151">
        <f>SUM(E77)</f>
        <v>172</v>
      </c>
      <c r="F76" s="151">
        <f>SUM(F77)</f>
        <v>0</v>
      </c>
    </row>
    <row r="77" spans="1:6" ht="13.5" thickBot="1">
      <c r="A77" s="59" t="s">
        <v>58</v>
      </c>
      <c r="B77" s="48" t="s">
        <v>59</v>
      </c>
      <c r="C77" s="155">
        <v>160</v>
      </c>
      <c r="D77" s="155">
        <v>160</v>
      </c>
      <c r="E77" s="251">
        <v>172</v>
      </c>
      <c r="F77" s="155">
        <v>0</v>
      </c>
    </row>
    <row r="78" spans="1:6" ht="13.5" thickBot="1">
      <c r="A78" s="312" t="s">
        <v>60</v>
      </c>
      <c r="B78" s="313"/>
      <c r="C78" s="151">
        <f>SUM(C79)</f>
        <v>11400</v>
      </c>
      <c r="D78" s="151">
        <f>SUM(D79)</f>
        <v>11400</v>
      </c>
      <c r="E78" s="151">
        <f>SUM(E79)</f>
        <v>11400</v>
      </c>
      <c r="F78" s="151">
        <f>SUM(F79)</f>
        <v>2255</v>
      </c>
    </row>
    <row r="79" spans="1:6" ht="13.5" thickBot="1">
      <c r="A79" s="60" t="s">
        <v>61</v>
      </c>
      <c r="B79" s="61" t="s">
        <v>62</v>
      </c>
      <c r="C79" s="62">
        <v>11400</v>
      </c>
      <c r="D79" s="62">
        <v>11400</v>
      </c>
      <c r="E79" s="62">
        <v>11400</v>
      </c>
      <c r="F79" s="62">
        <v>2255</v>
      </c>
    </row>
    <row r="80" spans="1:6" ht="13.5" thickBot="1">
      <c r="A80" s="50" t="s">
        <v>63</v>
      </c>
      <c r="B80" s="63"/>
      <c r="C80" s="151">
        <f>SUM(C81:C86)</f>
        <v>176582</v>
      </c>
      <c r="D80" s="151">
        <f>SUM(D81:D86)</f>
        <v>181582</v>
      </c>
      <c r="E80" s="151">
        <f>SUM(E81:E86)</f>
        <v>182642</v>
      </c>
      <c r="F80" s="151">
        <f>SUM(F81:F86)</f>
        <v>64680</v>
      </c>
    </row>
    <row r="81" spans="1:6" ht="12.75">
      <c r="A81" s="64" t="s">
        <v>64</v>
      </c>
      <c r="B81" s="27" t="s">
        <v>65</v>
      </c>
      <c r="C81" s="28">
        <v>1500</v>
      </c>
      <c r="D81" s="28">
        <v>1500</v>
      </c>
      <c r="E81" s="28">
        <v>1500</v>
      </c>
      <c r="F81" s="28">
        <v>860</v>
      </c>
    </row>
    <row r="82" spans="1:6" ht="12.75">
      <c r="A82" s="56" t="s">
        <v>66</v>
      </c>
      <c r="B82" s="36" t="s">
        <v>67</v>
      </c>
      <c r="C82" s="153">
        <v>12600</v>
      </c>
      <c r="D82" s="153">
        <v>12600</v>
      </c>
      <c r="E82" s="153">
        <v>12600</v>
      </c>
      <c r="F82" s="153">
        <f>12665-6417</f>
        <v>6248</v>
      </c>
    </row>
    <row r="83" spans="1:7" ht="12.75">
      <c r="A83" s="56" t="s">
        <v>66</v>
      </c>
      <c r="B83" s="36" t="s">
        <v>168</v>
      </c>
      <c r="C83" s="153">
        <f>21140-C82</f>
        <v>8540</v>
      </c>
      <c r="D83" s="153">
        <f>21140-D82</f>
        <v>8540</v>
      </c>
      <c r="E83" s="183">
        <v>8640</v>
      </c>
      <c r="F83" s="153">
        <v>6417</v>
      </c>
      <c r="G83" s="114"/>
    </row>
    <row r="84" spans="1:8" ht="12.75">
      <c r="A84" s="56" t="s">
        <v>66</v>
      </c>
      <c r="B84" s="36" t="s">
        <v>191</v>
      </c>
      <c r="C84" s="153">
        <v>300</v>
      </c>
      <c r="D84" s="153">
        <v>300</v>
      </c>
      <c r="E84" s="153">
        <v>300</v>
      </c>
      <c r="F84" s="153">
        <v>0</v>
      </c>
      <c r="G84" s="114">
        <f>SUM(E82:E84)</f>
        <v>21540</v>
      </c>
      <c r="H84" s="114">
        <f>SUM(F82:F84)</f>
        <v>12665</v>
      </c>
    </row>
    <row r="85" spans="1:7" ht="12.75">
      <c r="A85" s="56" t="s">
        <v>68</v>
      </c>
      <c r="B85" s="36" t="s">
        <v>69</v>
      </c>
      <c r="C85" s="31">
        <v>47500</v>
      </c>
      <c r="D85" s="31">
        <v>47500</v>
      </c>
      <c r="E85" s="31">
        <v>47500</v>
      </c>
      <c r="F85" s="31">
        <v>5455</v>
      </c>
      <c r="G85" s="177"/>
    </row>
    <row r="86" spans="1:6" ht="13.5" thickBot="1">
      <c r="A86" s="66" t="s">
        <v>70</v>
      </c>
      <c r="B86" s="67" t="s">
        <v>192</v>
      </c>
      <c r="C86" s="156">
        <v>106142</v>
      </c>
      <c r="D86" s="236">
        <f>106142+3000+2000</f>
        <v>111142</v>
      </c>
      <c r="E86" s="236">
        <v>112102</v>
      </c>
      <c r="F86" s="156">
        <v>45700</v>
      </c>
    </row>
    <row r="87" spans="1:6" ht="13.5" thickBot="1">
      <c r="A87" s="50" t="s">
        <v>71</v>
      </c>
      <c r="B87" s="51"/>
      <c r="C87" s="151">
        <f>SUM(C88:C90)</f>
        <v>120808</v>
      </c>
      <c r="D87" s="151">
        <f>SUM(D88:D90)</f>
        <v>114048</v>
      </c>
      <c r="E87" s="151">
        <f>SUM(E88:E90)</f>
        <v>110948</v>
      </c>
      <c r="F87" s="151">
        <f>SUM(F88:F90)</f>
        <v>47450</v>
      </c>
    </row>
    <row r="88" spans="1:6" ht="12.75">
      <c r="A88" s="68" t="s">
        <v>72</v>
      </c>
      <c r="B88" s="69" t="s">
        <v>201</v>
      </c>
      <c r="C88" s="157">
        <v>63978</v>
      </c>
      <c r="D88" s="237">
        <f>63978+1740+400+200+800+100</f>
        <v>67218</v>
      </c>
      <c r="E88" s="237">
        <v>68118</v>
      </c>
      <c r="F88" s="157">
        <v>25685</v>
      </c>
    </row>
    <row r="89" spans="1:7" ht="12.75">
      <c r="A89" s="59" t="s">
        <v>73</v>
      </c>
      <c r="B89" s="71" t="s">
        <v>74</v>
      </c>
      <c r="C89" s="154">
        <v>48630</v>
      </c>
      <c r="D89" s="203">
        <v>38630</v>
      </c>
      <c r="E89" s="154">
        <v>38630</v>
      </c>
      <c r="F89" s="154">
        <v>19566</v>
      </c>
      <c r="G89" s="177"/>
    </row>
    <row r="90" spans="1:7" ht="13.5" thickBot="1">
      <c r="A90" s="72" t="s">
        <v>75</v>
      </c>
      <c r="B90" s="73" t="s">
        <v>76</v>
      </c>
      <c r="C90" s="158">
        <f>6400+1800</f>
        <v>8200</v>
      </c>
      <c r="D90" s="158">
        <f>6400+1800</f>
        <v>8200</v>
      </c>
      <c r="E90" s="207">
        <f>6400+1800-4000</f>
        <v>4200</v>
      </c>
      <c r="F90" s="158">
        <v>2199</v>
      </c>
      <c r="G90" s="177"/>
    </row>
    <row r="91" spans="1:6" ht="13.5" thickBot="1">
      <c r="A91" s="50" t="s">
        <v>77</v>
      </c>
      <c r="B91" s="63"/>
      <c r="C91" s="151">
        <f>SUM(C92)</f>
        <v>15500</v>
      </c>
      <c r="D91" s="151">
        <f>SUM(D92)</f>
        <v>16800</v>
      </c>
      <c r="E91" s="151">
        <f>SUM(E92)</f>
        <v>16800</v>
      </c>
      <c r="F91" s="151">
        <f>SUM(F92)</f>
        <v>7954</v>
      </c>
    </row>
    <row r="92" spans="1:6" ht="13.5" thickBot="1">
      <c r="A92" s="74" t="s">
        <v>78</v>
      </c>
      <c r="B92" s="67" t="s">
        <v>79</v>
      </c>
      <c r="C92" s="83">
        <v>15500</v>
      </c>
      <c r="D92" s="238">
        <f>15500+1300</f>
        <v>16800</v>
      </c>
      <c r="E92" s="252">
        <f>15500+1300</f>
        <v>16800</v>
      </c>
      <c r="F92" s="83">
        <v>7954</v>
      </c>
    </row>
    <row r="93" spans="1:6" ht="13.5" thickBot="1">
      <c r="A93" s="75" t="s">
        <v>80</v>
      </c>
      <c r="B93" s="51"/>
      <c r="C93" s="151">
        <f>SUM(C94:C108)</f>
        <v>77100</v>
      </c>
      <c r="D93" s="151">
        <f>SUM(D94:D108)</f>
        <v>77700</v>
      </c>
      <c r="E93" s="151">
        <f>SUM(E94:E108)</f>
        <v>91700</v>
      </c>
      <c r="F93" s="151">
        <f>SUM(F94:F108)</f>
        <v>49477</v>
      </c>
    </row>
    <row r="94" spans="1:6" ht="13.5" thickBot="1">
      <c r="A94" s="72" t="s">
        <v>81</v>
      </c>
      <c r="B94" s="73" t="s">
        <v>288</v>
      </c>
      <c r="C94" s="158">
        <v>7000</v>
      </c>
      <c r="D94" s="158">
        <v>7000</v>
      </c>
      <c r="E94" s="207">
        <v>9000</v>
      </c>
      <c r="F94" s="158">
        <v>3004</v>
      </c>
    </row>
    <row r="95" spans="1:6" ht="12.75">
      <c r="A95" s="76" t="s">
        <v>81</v>
      </c>
      <c r="B95" s="53" t="s">
        <v>83</v>
      </c>
      <c r="C95" s="152">
        <v>7000</v>
      </c>
      <c r="D95" s="152">
        <v>7000</v>
      </c>
      <c r="E95" s="152">
        <v>7000</v>
      </c>
      <c r="F95" s="152">
        <v>4000</v>
      </c>
    </row>
    <row r="96" spans="1:6" ht="12.75">
      <c r="A96" s="76" t="s">
        <v>84</v>
      </c>
      <c r="B96" s="77" t="s">
        <v>85</v>
      </c>
      <c r="C96" s="28">
        <v>17300</v>
      </c>
      <c r="D96" s="28">
        <v>17300</v>
      </c>
      <c r="E96" s="28">
        <v>17300</v>
      </c>
      <c r="F96" s="28">
        <v>8049</v>
      </c>
    </row>
    <row r="97" spans="1:6" ht="12.75">
      <c r="A97" s="56" t="s">
        <v>86</v>
      </c>
      <c r="B97" s="78" t="s">
        <v>87</v>
      </c>
      <c r="C97" s="153">
        <v>1200</v>
      </c>
      <c r="D97" s="153">
        <v>1200</v>
      </c>
      <c r="E97" s="153">
        <v>1200</v>
      </c>
      <c r="F97" s="153">
        <v>212</v>
      </c>
    </row>
    <row r="98" spans="1:6" ht="13.5" thickBot="1">
      <c r="A98" s="72" t="s">
        <v>88</v>
      </c>
      <c r="B98" s="73" t="s">
        <v>89</v>
      </c>
      <c r="C98" s="158">
        <v>1000</v>
      </c>
      <c r="D98" s="158">
        <v>1000</v>
      </c>
      <c r="E98" s="158">
        <v>1000</v>
      </c>
      <c r="F98" s="158">
        <v>348</v>
      </c>
    </row>
    <row r="99" spans="1:6" ht="12.75">
      <c r="A99" s="56" t="s">
        <v>90</v>
      </c>
      <c r="B99" s="36" t="s">
        <v>91</v>
      </c>
      <c r="C99" s="153">
        <v>200</v>
      </c>
      <c r="D99" s="153">
        <v>200</v>
      </c>
      <c r="E99" s="153">
        <v>200</v>
      </c>
      <c r="F99" s="153">
        <v>0</v>
      </c>
    </row>
    <row r="100" spans="1:6" ht="12.75">
      <c r="A100" s="56" t="s">
        <v>90</v>
      </c>
      <c r="B100" s="36" t="s">
        <v>92</v>
      </c>
      <c r="C100" s="153">
        <v>1000</v>
      </c>
      <c r="D100" s="205">
        <f>1000+200</f>
        <v>1200</v>
      </c>
      <c r="E100" s="153">
        <f>1000+200</f>
        <v>1200</v>
      </c>
      <c r="F100" s="153">
        <v>1180</v>
      </c>
    </row>
    <row r="101" spans="1:6" ht="12.75">
      <c r="A101" s="56" t="s">
        <v>90</v>
      </c>
      <c r="B101" s="36" t="s">
        <v>289</v>
      </c>
      <c r="C101" s="153">
        <v>2000</v>
      </c>
      <c r="D101" s="153">
        <v>2000</v>
      </c>
      <c r="E101" s="205">
        <f>900+600</f>
        <v>1500</v>
      </c>
      <c r="F101" s="153">
        <v>1437</v>
      </c>
    </row>
    <row r="102" spans="1:6" ht="12.75">
      <c r="A102" s="56" t="s">
        <v>90</v>
      </c>
      <c r="B102" s="36" t="s">
        <v>94</v>
      </c>
      <c r="C102" s="153">
        <v>12000</v>
      </c>
      <c r="D102" s="153">
        <v>12000</v>
      </c>
      <c r="E102" s="205">
        <v>13200</v>
      </c>
      <c r="F102" s="153">
        <v>11615</v>
      </c>
    </row>
    <row r="103" spans="1:6" ht="12.75">
      <c r="A103" s="56" t="s">
        <v>90</v>
      </c>
      <c r="B103" s="36" t="s">
        <v>249</v>
      </c>
      <c r="C103" s="153">
        <v>200</v>
      </c>
      <c r="D103" s="205">
        <f>200+100</f>
        <v>300</v>
      </c>
      <c r="E103" s="205">
        <f>200+200+6000</f>
        <v>6400</v>
      </c>
      <c r="F103" s="153">
        <v>100</v>
      </c>
    </row>
    <row r="104" spans="1:6" ht="12.75">
      <c r="A104" s="56" t="s">
        <v>90</v>
      </c>
      <c r="B104" s="36" t="s">
        <v>96</v>
      </c>
      <c r="C104" s="153">
        <v>700</v>
      </c>
      <c r="D104" s="153">
        <v>700</v>
      </c>
      <c r="E104" s="153">
        <v>700</v>
      </c>
      <c r="F104" s="153">
        <v>0</v>
      </c>
    </row>
    <row r="105" spans="1:6" ht="13.5" thickBot="1">
      <c r="A105" s="72" t="s">
        <v>90</v>
      </c>
      <c r="B105" s="73" t="s">
        <v>194</v>
      </c>
      <c r="C105" s="158">
        <v>13000</v>
      </c>
      <c r="D105" s="158">
        <v>13000</v>
      </c>
      <c r="E105" s="207">
        <f>13000+3000</f>
        <v>16000</v>
      </c>
      <c r="F105" s="158">
        <v>15995</v>
      </c>
    </row>
    <row r="106" spans="1:6" ht="12.75">
      <c r="A106" s="68" t="s">
        <v>97</v>
      </c>
      <c r="B106" s="69" t="s">
        <v>98</v>
      </c>
      <c r="C106" s="157">
        <v>3300</v>
      </c>
      <c r="D106" s="157">
        <v>3300</v>
      </c>
      <c r="E106" s="157">
        <v>3300</v>
      </c>
      <c r="F106" s="157">
        <v>1454</v>
      </c>
    </row>
    <row r="107" spans="1:6" ht="12.75">
      <c r="A107" s="76" t="s">
        <v>99</v>
      </c>
      <c r="B107" s="53" t="s">
        <v>100</v>
      </c>
      <c r="C107" s="152">
        <v>8500</v>
      </c>
      <c r="D107" s="152">
        <v>8500</v>
      </c>
      <c r="E107" s="152">
        <v>8500</v>
      </c>
      <c r="F107" s="152">
        <v>1055</v>
      </c>
    </row>
    <row r="108" spans="1:6" ht="13.5" thickBot="1">
      <c r="A108" s="72" t="s">
        <v>101</v>
      </c>
      <c r="B108" s="73" t="s">
        <v>195</v>
      </c>
      <c r="C108" s="158">
        <v>2700</v>
      </c>
      <c r="D108" s="207">
        <f>2700+300</f>
        <v>3000</v>
      </c>
      <c r="E108" s="207">
        <f>2700+300+1700+350+150</f>
        <v>5200</v>
      </c>
      <c r="F108" s="158">
        <v>1028</v>
      </c>
    </row>
    <row r="109" spans="1:6" ht="13.5" thickBot="1">
      <c r="A109" s="312" t="s">
        <v>102</v>
      </c>
      <c r="B109" s="313"/>
      <c r="C109" s="151">
        <f>SUM(C110:C113)</f>
        <v>300500</v>
      </c>
      <c r="D109" s="151">
        <f>SUM(D110:D113)</f>
        <v>300500</v>
      </c>
      <c r="E109" s="151">
        <f>SUM(E110:E113)</f>
        <v>304500</v>
      </c>
      <c r="F109" s="151">
        <f>SUM(F110:F113)</f>
        <v>137526</v>
      </c>
    </row>
    <row r="110" spans="1:6" ht="12.75">
      <c r="A110" s="79" t="s">
        <v>103</v>
      </c>
      <c r="B110" s="80" t="s">
        <v>234</v>
      </c>
      <c r="C110" s="81">
        <v>97000</v>
      </c>
      <c r="D110" s="81">
        <v>97000</v>
      </c>
      <c r="E110" s="259">
        <f>97000+4000</f>
        <v>101000</v>
      </c>
      <c r="F110" s="81">
        <v>43402</v>
      </c>
    </row>
    <row r="111" spans="1:6" ht="12.75">
      <c r="A111" s="82" t="s">
        <v>106</v>
      </c>
      <c r="B111" s="30" t="s">
        <v>235</v>
      </c>
      <c r="C111" s="31">
        <v>132200</v>
      </c>
      <c r="D111" s="31">
        <v>132200</v>
      </c>
      <c r="E111" s="31">
        <v>132200</v>
      </c>
      <c r="F111" s="31">
        <v>59334</v>
      </c>
    </row>
    <row r="112" spans="1:6" ht="12.75">
      <c r="A112" s="82" t="s">
        <v>108</v>
      </c>
      <c r="B112" s="30" t="s">
        <v>109</v>
      </c>
      <c r="C112" s="31">
        <v>53300</v>
      </c>
      <c r="D112" s="31">
        <v>53300</v>
      </c>
      <c r="E112" s="31">
        <v>53300</v>
      </c>
      <c r="F112" s="31">
        <v>22555</v>
      </c>
    </row>
    <row r="113" spans="1:6" ht="13.5" thickBot="1">
      <c r="A113" s="66" t="s">
        <v>110</v>
      </c>
      <c r="B113" s="67" t="s">
        <v>111</v>
      </c>
      <c r="C113" s="83">
        <v>18000</v>
      </c>
      <c r="D113" s="83">
        <v>18000</v>
      </c>
      <c r="E113" s="83">
        <v>18000</v>
      </c>
      <c r="F113" s="83">
        <v>12235</v>
      </c>
    </row>
    <row r="114" spans="1:6" ht="13.5" thickBot="1">
      <c r="A114" s="50" t="s">
        <v>112</v>
      </c>
      <c r="B114" s="51"/>
      <c r="C114" s="151">
        <f>SUM(C115:C122)</f>
        <v>104940</v>
      </c>
      <c r="D114" s="151">
        <f>SUM(D115:D122)</f>
        <v>104940</v>
      </c>
      <c r="E114" s="151">
        <f>SUM(E115:E122)</f>
        <v>119940</v>
      </c>
      <c r="F114" s="151">
        <f>SUM(F115:F122)</f>
        <v>46357</v>
      </c>
    </row>
    <row r="115" spans="1:6" ht="12.75">
      <c r="A115" s="76" t="s">
        <v>113</v>
      </c>
      <c r="B115" s="53" t="s">
        <v>114</v>
      </c>
      <c r="C115" s="152">
        <f>67500-1800</f>
        <v>65700</v>
      </c>
      <c r="D115" s="152">
        <f>67500-1800</f>
        <v>65700</v>
      </c>
      <c r="E115" s="152">
        <f>67500-1800</f>
        <v>65700</v>
      </c>
      <c r="F115" s="152">
        <v>28369</v>
      </c>
    </row>
    <row r="116" spans="1:7" ht="12.75">
      <c r="A116" s="56" t="s">
        <v>113</v>
      </c>
      <c r="B116" s="36" t="s">
        <v>115</v>
      </c>
      <c r="C116" s="153">
        <v>1800</v>
      </c>
      <c r="D116" s="153">
        <v>1800</v>
      </c>
      <c r="E116" s="153">
        <v>1800</v>
      </c>
      <c r="F116" s="153">
        <v>0</v>
      </c>
      <c r="G116" s="114">
        <f>SUM(D115:D116)</f>
        <v>67500</v>
      </c>
    </row>
    <row r="117" spans="1:6" ht="13.5" thickBot="1">
      <c r="A117" s="72" t="s">
        <v>116</v>
      </c>
      <c r="B117" s="73" t="s">
        <v>117</v>
      </c>
      <c r="C117" s="158">
        <v>12000</v>
      </c>
      <c r="D117" s="158">
        <v>12000</v>
      </c>
      <c r="E117" s="158">
        <v>12000</v>
      </c>
      <c r="F117" s="158">
        <v>5708</v>
      </c>
    </row>
    <row r="118" spans="1:6" ht="12.75">
      <c r="A118" s="76" t="s">
        <v>197</v>
      </c>
      <c r="B118" s="53" t="s">
        <v>118</v>
      </c>
      <c r="C118" s="152">
        <v>300</v>
      </c>
      <c r="D118" s="152">
        <v>300</v>
      </c>
      <c r="E118" s="152">
        <v>300</v>
      </c>
      <c r="F118" s="152">
        <v>0</v>
      </c>
    </row>
    <row r="119" spans="1:6" ht="12.75">
      <c r="A119" s="56" t="s">
        <v>119</v>
      </c>
      <c r="B119" s="36" t="s">
        <v>120</v>
      </c>
      <c r="C119" s="153">
        <v>17240</v>
      </c>
      <c r="D119" s="153">
        <v>17240</v>
      </c>
      <c r="E119" s="205">
        <f>17240+15000</f>
        <v>32240</v>
      </c>
      <c r="F119" s="153">
        <v>8758</v>
      </c>
    </row>
    <row r="120" spans="1:6" ht="12.75">
      <c r="A120" s="56" t="s">
        <v>121</v>
      </c>
      <c r="B120" s="36" t="s">
        <v>122</v>
      </c>
      <c r="C120" s="153">
        <v>7200</v>
      </c>
      <c r="D120" s="153">
        <v>7200</v>
      </c>
      <c r="E120" s="153">
        <v>7200</v>
      </c>
      <c r="F120" s="153">
        <v>3522</v>
      </c>
    </row>
    <row r="121" spans="1:6" ht="12.75">
      <c r="A121" s="56" t="s">
        <v>123</v>
      </c>
      <c r="B121" s="36" t="s">
        <v>124</v>
      </c>
      <c r="C121" s="153">
        <v>400</v>
      </c>
      <c r="D121" s="153">
        <v>400</v>
      </c>
      <c r="E121" s="153">
        <v>400</v>
      </c>
      <c r="F121" s="153">
        <v>0</v>
      </c>
    </row>
    <row r="122" spans="1:6" ht="13.5" thickBot="1">
      <c r="A122" s="72" t="s">
        <v>125</v>
      </c>
      <c r="B122" s="73" t="s">
        <v>126</v>
      </c>
      <c r="C122" s="158">
        <v>300</v>
      </c>
      <c r="D122" s="158">
        <v>300</v>
      </c>
      <c r="E122" s="158">
        <v>300</v>
      </c>
      <c r="F122" s="158">
        <v>0</v>
      </c>
    </row>
    <row r="123" spans="1:6" ht="16.5" thickBot="1">
      <c r="A123" s="84" t="s">
        <v>127</v>
      </c>
      <c r="B123" s="85"/>
      <c r="C123" s="159">
        <f>SUM(C71+C76+C78+C80+C87+C91+C93+C109+C114)</f>
        <v>998990</v>
      </c>
      <c r="D123" s="159">
        <f>SUM(D71+D76+D78+D80+D87+D91+D93+D109+D114)</f>
        <v>999080</v>
      </c>
      <c r="E123" s="159">
        <f>SUM(E71+E76+E78+E80+E87+E91+E93+E109+E114)</f>
        <v>1032002</v>
      </c>
      <c r="F123" s="159">
        <f>SUM(F71+F76+F78+F80+F87+F91+F93+F109+F114)</f>
        <v>431567</v>
      </c>
    </row>
    <row r="124" spans="1:6" ht="12.75">
      <c r="A124" s="86" t="s">
        <v>105</v>
      </c>
      <c r="B124" s="87" t="s">
        <v>128</v>
      </c>
      <c r="C124" s="160">
        <f>C50+C62+C64+C42</f>
        <v>355709</v>
      </c>
      <c r="D124" s="239">
        <f>D50+D62+D64+D42</f>
        <v>380206</v>
      </c>
      <c r="E124" s="239">
        <f>E50+E62+E64+E42</f>
        <v>380265</v>
      </c>
      <c r="F124" s="239">
        <f>F50+F62+F64+F42</f>
        <v>190171</v>
      </c>
    </row>
    <row r="125" spans="1:6" ht="12.75">
      <c r="A125" s="88" t="s">
        <v>129</v>
      </c>
      <c r="B125" s="41" t="s">
        <v>130</v>
      </c>
      <c r="C125" s="161">
        <v>17000</v>
      </c>
      <c r="D125" s="161">
        <v>17000</v>
      </c>
      <c r="E125" s="161">
        <v>17000</v>
      </c>
      <c r="F125" s="161">
        <v>8600</v>
      </c>
    </row>
    <row r="126" spans="1:6" ht="13.5" thickBot="1">
      <c r="A126" s="314" t="s">
        <v>131</v>
      </c>
      <c r="B126" s="315"/>
      <c r="C126" s="162">
        <f>SUM(C124:C125)</f>
        <v>372709</v>
      </c>
      <c r="D126" s="162">
        <f>SUM(D124:D125)</f>
        <v>397206</v>
      </c>
      <c r="E126" s="162">
        <f>SUM(E124:E125)</f>
        <v>397265</v>
      </c>
      <c r="F126" s="162">
        <f>SUM(F124:F125)</f>
        <v>198771</v>
      </c>
    </row>
    <row r="127" spans="1:6" ht="16.5" thickBot="1">
      <c r="A127" s="89" t="s">
        <v>132</v>
      </c>
      <c r="B127" s="63"/>
      <c r="C127" s="163">
        <f>C123+C126</f>
        <v>1371699</v>
      </c>
      <c r="D127" s="163">
        <f>D123+D126</f>
        <v>1396286</v>
      </c>
      <c r="E127" s="163">
        <f>E123+E126</f>
        <v>1429267</v>
      </c>
      <c r="F127" s="163">
        <f>F123+F126</f>
        <v>630338</v>
      </c>
    </row>
    <row r="129" spans="4:5" ht="12.75">
      <c r="D129" s="114"/>
      <c r="E129" s="114"/>
    </row>
    <row r="130" spans="1:6" ht="13.5" thickBot="1">
      <c r="A130" s="90"/>
      <c r="B130" s="91"/>
      <c r="C130" s="91"/>
      <c r="D130" s="91"/>
      <c r="E130" s="91"/>
      <c r="F130" s="91"/>
    </row>
    <row r="131" spans="1:6" ht="18.75" thickBot="1">
      <c r="A131" s="340" t="s">
        <v>133</v>
      </c>
      <c r="B131" s="341"/>
      <c r="C131" s="341"/>
      <c r="D131" s="341"/>
      <c r="E131" s="341"/>
      <c r="F131" s="342"/>
    </row>
    <row r="132" spans="1:6" ht="12.75" customHeight="1">
      <c r="A132" s="301" t="s">
        <v>1</v>
      </c>
      <c r="B132" s="302"/>
      <c r="C132" s="305" t="s">
        <v>207</v>
      </c>
      <c r="D132" s="305" t="s">
        <v>276</v>
      </c>
      <c r="E132" s="305" t="s">
        <v>277</v>
      </c>
      <c r="F132" s="305" t="s">
        <v>306</v>
      </c>
    </row>
    <row r="133" spans="1:6" ht="13.5" thickBot="1">
      <c r="A133" s="321"/>
      <c r="B133" s="322"/>
      <c r="C133" s="306"/>
      <c r="D133" s="306"/>
      <c r="E133" s="306"/>
      <c r="F133" s="306"/>
    </row>
    <row r="134" spans="1:6" ht="16.5" thickBot="1">
      <c r="A134" s="316" t="s">
        <v>134</v>
      </c>
      <c r="B134" s="317"/>
      <c r="C134" s="164">
        <f>SUM(C135:C137)</f>
        <v>536820</v>
      </c>
      <c r="D134" s="164">
        <f>SUM(D135:D137)</f>
        <v>537820</v>
      </c>
      <c r="E134" s="164">
        <f>SUM(E135:E137)</f>
        <v>539820</v>
      </c>
      <c r="F134" s="164">
        <f>SUM(F135:F137)</f>
        <v>252583</v>
      </c>
    </row>
    <row r="135" spans="1:6" ht="13.5" thickBot="1">
      <c r="A135" s="92">
        <v>230</v>
      </c>
      <c r="B135" s="93" t="s">
        <v>135</v>
      </c>
      <c r="C135" s="165">
        <v>30000</v>
      </c>
      <c r="D135" s="240">
        <v>31000</v>
      </c>
      <c r="E135" s="240">
        <f>31000+2000</f>
        <v>33000</v>
      </c>
      <c r="F135" s="165">
        <v>63</v>
      </c>
    </row>
    <row r="136" spans="1:6" ht="12.75">
      <c r="A136" s="35">
        <v>322</v>
      </c>
      <c r="B136" s="53" t="s">
        <v>136</v>
      </c>
      <c r="C136" s="166">
        <v>326446</v>
      </c>
      <c r="D136" s="166">
        <v>326446</v>
      </c>
      <c r="E136" s="166">
        <v>326446</v>
      </c>
      <c r="F136" s="166">
        <v>252520</v>
      </c>
    </row>
    <row r="137" spans="1:6" ht="13.5" thickBot="1">
      <c r="A137" s="200">
        <v>322</v>
      </c>
      <c r="B137" s="73" t="s">
        <v>138</v>
      </c>
      <c r="C137" s="201">
        <v>180374</v>
      </c>
      <c r="D137" s="201">
        <v>180374</v>
      </c>
      <c r="E137" s="201">
        <v>180374</v>
      </c>
      <c r="F137" s="201"/>
    </row>
    <row r="138" spans="1:6" ht="16.5" thickBot="1">
      <c r="A138" s="316" t="s">
        <v>139</v>
      </c>
      <c r="B138" s="317"/>
      <c r="C138" s="164">
        <f>SUM(C139:C145)</f>
        <v>692978</v>
      </c>
      <c r="D138" s="164">
        <f>SUM(D139:D145)</f>
        <v>692978</v>
      </c>
      <c r="E138" s="164">
        <f>SUM(E139:E145)</f>
        <v>772078</v>
      </c>
      <c r="F138" s="164">
        <f>SUM(F139:F145)</f>
        <v>317845</v>
      </c>
    </row>
    <row r="139" spans="1:6" ht="12.75">
      <c r="A139" s="56" t="s">
        <v>66</v>
      </c>
      <c r="B139" s="8" t="s">
        <v>140</v>
      </c>
      <c r="C139" s="168">
        <v>0</v>
      </c>
      <c r="D139" s="168">
        <v>0</v>
      </c>
      <c r="E139" s="262">
        <v>1100</v>
      </c>
      <c r="F139" s="168"/>
    </row>
    <row r="140" spans="1:6" ht="12.75">
      <c r="A140" s="94" t="s">
        <v>66</v>
      </c>
      <c r="B140" s="8" t="s">
        <v>141</v>
      </c>
      <c r="C140" s="168">
        <v>30000</v>
      </c>
      <c r="D140" s="168">
        <v>30000</v>
      </c>
      <c r="E140" s="168">
        <v>30000</v>
      </c>
      <c r="F140" s="168"/>
    </row>
    <row r="141" spans="1:6" ht="12.75">
      <c r="A141" s="52" t="s">
        <v>66</v>
      </c>
      <c r="B141" s="96" t="s">
        <v>313</v>
      </c>
      <c r="C141" s="169">
        <v>1420</v>
      </c>
      <c r="D141" s="169">
        <v>1420</v>
      </c>
      <c r="E141" s="266">
        <v>12920</v>
      </c>
      <c r="F141" s="169">
        <v>1500</v>
      </c>
    </row>
    <row r="142" spans="1:6" ht="12.75">
      <c r="A142" s="52" t="s">
        <v>72</v>
      </c>
      <c r="B142" s="5" t="s">
        <v>142</v>
      </c>
      <c r="C142" s="168">
        <f>377688+30000</f>
        <v>407688</v>
      </c>
      <c r="D142" s="168">
        <f>377688+30000</f>
        <v>407688</v>
      </c>
      <c r="E142" s="262">
        <v>405188</v>
      </c>
      <c r="F142" s="168">
        <v>315260</v>
      </c>
    </row>
    <row r="143" spans="1:6" ht="12.75">
      <c r="A143" s="82" t="s">
        <v>73</v>
      </c>
      <c r="B143" s="95" t="s">
        <v>143</v>
      </c>
      <c r="C143" s="168">
        <v>30000</v>
      </c>
      <c r="D143" s="168">
        <v>30000</v>
      </c>
      <c r="E143" s="262">
        <v>99000</v>
      </c>
      <c r="F143" s="168">
        <v>1085</v>
      </c>
    </row>
    <row r="144" spans="1:7" ht="12.75">
      <c r="A144" s="54" t="s">
        <v>78</v>
      </c>
      <c r="B144" s="8" t="s">
        <v>144</v>
      </c>
      <c r="C144" s="168">
        <v>189870</v>
      </c>
      <c r="D144" s="168">
        <v>189870</v>
      </c>
      <c r="E144" s="168">
        <v>189870</v>
      </c>
      <c r="F144" s="168"/>
      <c r="G144" s="176"/>
    </row>
    <row r="145" spans="1:7" ht="13.5" thickBot="1">
      <c r="A145" s="178" t="s">
        <v>103</v>
      </c>
      <c r="B145" s="18" t="s">
        <v>204</v>
      </c>
      <c r="C145" s="179">
        <v>34000</v>
      </c>
      <c r="D145" s="179">
        <v>34000</v>
      </c>
      <c r="E145" s="179">
        <v>34000</v>
      </c>
      <c r="F145" s="179"/>
      <c r="G145" s="176"/>
    </row>
    <row r="148" spans="1:6" ht="13.5" thickBot="1">
      <c r="A148" s="97"/>
      <c r="B148" s="98"/>
      <c r="C148" s="98"/>
      <c r="D148" s="98"/>
      <c r="E148" s="98"/>
      <c r="F148" s="98"/>
    </row>
    <row r="149" spans="1:6" ht="18.75" thickBot="1">
      <c r="A149" s="318" t="s">
        <v>145</v>
      </c>
      <c r="B149" s="319"/>
      <c r="C149" s="319"/>
      <c r="D149" s="319"/>
      <c r="E149" s="319"/>
      <c r="F149" s="320"/>
    </row>
    <row r="150" spans="1:6" ht="12.75" customHeight="1">
      <c r="A150" s="301" t="s">
        <v>1</v>
      </c>
      <c r="B150" s="302"/>
      <c r="C150" s="305" t="s">
        <v>207</v>
      </c>
      <c r="D150" s="305" t="s">
        <v>276</v>
      </c>
      <c r="E150" s="305" t="s">
        <v>277</v>
      </c>
      <c r="F150" s="305" t="s">
        <v>306</v>
      </c>
    </row>
    <row r="151" spans="1:6" ht="13.5" thickBot="1">
      <c r="A151" s="321"/>
      <c r="B151" s="322"/>
      <c r="C151" s="306"/>
      <c r="D151" s="306"/>
      <c r="E151" s="306"/>
      <c r="F151" s="306"/>
    </row>
    <row r="152" spans="1:6" ht="16.5" thickBot="1">
      <c r="A152" s="323" t="s">
        <v>146</v>
      </c>
      <c r="B152" s="324"/>
      <c r="C152" s="170">
        <f>SUM(C153:C154)</f>
        <v>182000</v>
      </c>
      <c r="D152" s="170">
        <f>SUM(D153:D154)</f>
        <v>175000</v>
      </c>
      <c r="E152" s="170">
        <f>SUM(E153:E154)</f>
        <v>254000</v>
      </c>
      <c r="F152" s="170">
        <f>SUM(F153:F154)</f>
        <v>70100</v>
      </c>
    </row>
    <row r="153" spans="1:6" ht="12.75">
      <c r="A153" s="102">
        <v>454</v>
      </c>
      <c r="B153" s="38" t="s">
        <v>148</v>
      </c>
      <c r="C153" s="171">
        <v>129000</v>
      </c>
      <c r="D153" s="206">
        <f>129000+2100+900</f>
        <v>132000</v>
      </c>
      <c r="E153" s="206">
        <f>129000+2100+900+79000</f>
        <v>211000</v>
      </c>
      <c r="F153" s="171">
        <v>52035</v>
      </c>
    </row>
    <row r="154" spans="1:6" ht="13.5" thickBot="1">
      <c r="A154" s="103">
        <v>513</v>
      </c>
      <c r="B154" s="104" t="s">
        <v>149</v>
      </c>
      <c r="C154" s="172">
        <f>22000+31000</f>
        <v>53000</v>
      </c>
      <c r="D154" s="202">
        <v>43000</v>
      </c>
      <c r="E154" s="174">
        <v>43000</v>
      </c>
      <c r="F154" s="172">
        <v>18065</v>
      </c>
    </row>
    <row r="155" spans="1:6" ht="16.5" thickBot="1">
      <c r="A155" s="323" t="s">
        <v>150</v>
      </c>
      <c r="B155" s="324"/>
      <c r="C155" s="170">
        <f>SUM(C156:C157)</f>
        <v>33900</v>
      </c>
      <c r="D155" s="170">
        <f>SUM(D156:D157)</f>
        <v>33900</v>
      </c>
      <c r="E155" s="170">
        <f>SUM(E156:E157)</f>
        <v>33900</v>
      </c>
      <c r="F155" s="170">
        <f>SUM(F156:F157)</f>
        <v>15846</v>
      </c>
    </row>
    <row r="156" spans="1:6" ht="12.75">
      <c r="A156" s="105">
        <v>821</v>
      </c>
      <c r="B156" s="100" t="s">
        <v>151</v>
      </c>
      <c r="C156" s="106">
        <v>33000</v>
      </c>
      <c r="D156" s="106">
        <v>33000</v>
      </c>
      <c r="E156" s="106">
        <v>33000</v>
      </c>
      <c r="F156" s="106">
        <v>15501</v>
      </c>
    </row>
    <row r="157" spans="1:6" ht="13.5" thickBot="1">
      <c r="A157" s="25">
        <v>821</v>
      </c>
      <c r="B157" s="107" t="s">
        <v>152</v>
      </c>
      <c r="C157" s="175">
        <v>900</v>
      </c>
      <c r="D157" s="175">
        <v>900</v>
      </c>
      <c r="E157" s="175">
        <v>900</v>
      </c>
      <c r="F157" s="175">
        <v>345</v>
      </c>
    </row>
    <row r="158" spans="1:6" ht="15.75">
      <c r="A158" s="47"/>
      <c r="B158" s="90"/>
      <c r="C158" s="90"/>
      <c r="D158" s="90"/>
      <c r="E158" s="90"/>
      <c r="F158" s="90"/>
    </row>
    <row r="159" spans="1:6" ht="15.75">
      <c r="A159" s="47"/>
      <c r="B159" s="90"/>
      <c r="C159" s="90"/>
      <c r="D159" s="90"/>
      <c r="E159" s="90"/>
      <c r="F159" s="90"/>
    </row>
    <row r="160" spans="2:6" ht="13.5" thickBot="1">
      <c r="B160" s="91"/>
      <c r="C160" s="91"/>
      <c r="D160" s="91"/>
      <c r="E160" s="91"/>
      <c r="F160" s="91"/>
    </row>
    <row r="161" spans="1:6" ht="18.75" thickBot="1">
      <c r="A161" s="325" t="s">
        <v>153</v>
      </c>
      <c r="B161" s="326"/>
      <c r="C161" s="326"/>
      <c r="D161" s="326"/>
      <c r="E161" s="326"/>
      <c r="F161" s="327"/>
    </row>
    <row r="162" spans="1:6" ht="12.75" customHeight="1">
      <c r="A162" s="301" t="s">
        <v>1</v>
      </c>
      <c r="B162" s="302"/>
      <c r="C162" s="305" t="s">
        <v>207</v>
      </c>
      <c r="D162" s="305" t="s">
        <v>276</v>
      </c>
      <c r="E162" s="305" t="s">
        <v>277</v>
      </c>
      <c r="F162" s="305" t="s">
        <v>306</v>
      </c>
    </row>
    <row r="163" spans="1:6" ht="13.5" thickBot="1">
      <c r="A163" s="328"/>
      <c r="B163" s="329"/>
      <c r="C163" s="306"/>
      <c r="D163" s="306"/>
      <c r="E163" s="306"/>
      <c r="F163" s="306"/>
    </row>
    <row r="164" spans="1:6" ht="15">
      <c r="A164" s="108" t="s">
        <v>154</v>
      </c>
      <c r="B164" s="15"/>
      <c r="C164" s="70">
        <f>C65</f>
        <v>1379757</v>
      </c>
      <c r="D164" s="70">
        <f>D65</f>
        <v>1410344</v>
      </c>
      <c r="E164" s="70">
        <f>E65</f>
        <v>1441425</v>
      </c>
      <c r="F164" s="70">
        <f>F65</f>
        <v>702357</v>
      </c>
    </row>
    <row r="165" spans="1:6" ht="15">
      <c r="A165" s="109" t="s">
        <v>155</v>
      </c>
      <c r="B165" s="8"/>
      <c r="C165" s="55">
        <f>C127</f>
        <v>1371699</v>
      </c>
      <c r="D165" s="55">
        <f>D127</f>
        <v>1396286</v>
      </c>
      <c r="E165" s="55">
        <f>E127</f>
        <v>1429267</v>
      </c>
      <c r="F165" s="55">
        <f>F127</f>
        <v>630338</v>
      </c>
    </row>
    <row r="166" spans="1:6" ht="15.75">
      <c r="A166" s="330" t="s">
        <v>156</v>
      </c>
      <c r="B166" s="331"/>
      <c r="C166" s="110">
        <f>C164-C165</f>
        <v>8058</v>
      </c>
      <c r="D166" s="110">
        <f>D164-D165</f>
        <v>14058</v>
      </c>
      <c r="E166" s="110">
        <f>E164-E165</f>
        <v>12158</v>
      </c>
      <c r="F166" s="110">
        <f>F164-F165</f>
        <v>72019</v>
      </c>
    </row>
    <row r="167" spans="1:6" ht="15">
      <c r="A167" s="109" t="s">
        <v>157</v>
      </c>
      <c r="B167" s="8"/>
      <c r="C167" s="55">
        <f>C134</f>
        <v>536820</v>
      </c>
      <c r="D167" s="55">
        <f>D134</f>
        <v>537820</v>
      </c>
      <c r="E167" s="55">
        <f>E134</f>
        <v>539820</v>
      </c>
      <c r="F167" s="55">
        <f>F134</f>
        <v>252583</v>
      </c>
    </row>
    <row r="168" spans="1:6" ht="15">
      <c r="A168" s="109" t="s">
        <v>158</v>
      </c>
      <c r="B168" s="8"/>
      <c r="C168" s="9">
        <f>C138</f>
        <v>692978</v>
      </c>
      <c r="D168" s="9">
        <f>D138</f>
        <v>692978</v>
      </c>
      <c r="E168" s="9">
        <f>E138</f>
        <v>772078</v>
      </c>
      <c r="F168" s="9">
        <f>F138</f>
        <v>317845</v>
      </c>
    </row>
    <row r="169" spans="1:6" ht="15.75">
      <c r="A169" s="332" t="s">
        <v>159</v>
      </c>
      <c r="B169" s="333"/>
      <c r="C169" s="110">
        <f>C167-C168</f>
        <v>-156158</v>
      </c>
      <c r="D169" s="110">
        <f>D167-D168</f>
        <v>-155158</v>
      </c>
      <c r="E169" s="110">
        <f>E167-E168</f>
        <v>-232258</v>
      </c>
      <c r="F169" s="110">
        <f>F167-F168</f>
        <v>-65262</v>
      </c>
    </row>
    <row r="170" spans="1:6" ht="15">
      <c r="A170" s="334" t="s">
        <v>160</v>
      </c>
      <c r="B170" s="335"/>
      <c r="C170" s="65">
        <f>C152</f>
        <v>182000</v>
      </c>
      <c r="D170" s="65">
        <f>D152</f>
        <v>175000</v>
      </c>
      <c r="E170" s="65">
        <f>E152</f>
        <v>254000</v>
      </c>
      <c r="F170" s="65">
        <f>F152</f>
        <v>70100</v>
      </c>
    </row>
    <row r="171" spans="1:6" ht="15">
      <c r="A171" s="334" t="s">
        <v>161</v>
      </c>
      <c r="B171" s="335"/>
      <c r="C171" s="65">
        <f>C155</f>
        <v>33900</v>
      </c>
      <c r="D171" s="65">
        <f>D155</f>
        <v>33900</v>
      </c>
      <c r="E171" s="65">
        <f>E155</f>
        <v>33900</v>
      </c>
      <c r="F171" s="65">
        <f>F155</f>
        <v>15846</v>
      </c>
    </row>
    <row r="172" spans="1:6" ht="16.5" thickBot="1">
      <c r="A172" s="336" t="s">
        <v>162</v>
      </c>
      <c r="B172" s="337"/>
      <c r="C172" s="111">
        <f>C170-C171</f>
        <v>148100</v>
      </c>
      <c r="D172" s="111">
        <f>D170-D171</f>
        <v>141100</v>
      </c>
      <c r="E172" s="111">
        <f>E170-E171</f>
        <v>220100</v>
      </c>
      <c r="F172" s="111">
        <f>F170-F171</f>
        <v>54254</v>
      </c>
    </row>
    <row r="173" spans="1:6" ht="16.5" thickBot="1">
      <c r="A173" s="338" t="s">
        <v>163</v>
      </c>
      <c r="B173" s="339"/>
      <c r="C173" s="112">
        <f>C166+C169+C172</f>
        <v>0</v>
      </c>
      <c r="D173" s="112">
        <f>D166+D169+D172</f>
        <v>0</v>
      </c>
      <c r="E173" s="112">
        <f>E166+E169+E172</f>
        <v>0</v>
      </c>
      <c r="F173" s="112">
        <f>F166+F169+F172</f>
        <v>61011</v>
      </c>
    </row>
    <row r="175" spans="2:6" ht="12.75">
      <c r="B175" s="113" t="s">
        <v>164</v>
      </c>
      <c r="C175" s="114">
        <f aca="true" t="shared" si="0" ref="C175:F176">C164+C167+C170</f>
        <v>2098577</v>
      </c>
      <c r="D175" s="114">
        <f t="shared" si="0"/>
        <v>2123164</v>
      </c>
      <c r="E175" s="114">
        <f>E164+E167+E170</f>
        <v>2235245</v>
      </c>
      <c r="F175" s="114">
        <f t="shared" si="0"/>
        <v>1025040</v>
      </c>
    </row>
    <row r="176" spans="2:6" ht="12.75">
      <c r="B176" s="113" t="s">
        <v>165</v>
      </c>
      <c r="C176" s="114">
        <f t="shared" si="0"/>
        <v>2098577</v>
      </c>
      <c r="D176" s="114">
        <f t="shared" si="0"/>
        <v>2123164</v>
      </c>
      <c r="E176" s="114">
        <f>E165+E168+E171</f>
        <v>2235245</v>
      </c>
      <c r="F176" s="114">
        <f t="shared" si="0"/>
        <v>964029</v>
      </c>
    </row>
    <row r="177" spans="2:6" ht="12.75">
      <c r="B177" s="113"/>
      <c r="C177" s="114"/>
      <c r="D177" s="114"/>
      <c r="E177" s="114"/>
      <c r="F177" s="114"/>
    </row>
    <row r="178" spans="2:6" ht="12.75">
      <c r="B178" s="113" t="s">
        <v>166</v>
      </c>
      <c r="C178" s="114">
        <f>C175-C64</f>
        <v>2097677</v>
      </c>
      <c r="D178" s="114">
        <f>D175-D64</f>
        <v>2122264</v>
      </c>
      <c r="E178" s="114">
        <f>E175-E64</f>
        <v>2234345</v>
      </c>
      <c r="F178" s="114">
        <f>F175-F64</f>
        <v>1024700</v>
      </c>
    </row>
    <row r="179" spans="2:6" ht="12.75">
      <c r="B179" s="113" t="s">
        <v>167</v>
      </c>
      <c r="C179" s="114">
        <f>C176-C126</f>
        <v>1725868</v>
      </c>
      <c r="D179" s="114">
        <f>D176-D126</f>
        <v>1725958</v>
      </c>
      <c r="E179" s="114">
        <f>E176-E126</f>
        <v>1837980</v>
      </c>
      <c r="F179" s="114">
        <f>F176-F126</f>
        <v>765258</v>
      </c>
    </row>
    <row r="180" spans="4:5" ht="12.75">
      <c r="D180" s="114"/>
      <c r="E180" s="114"/>
    </row>
    <row r="181" spans="2:5" ht="12.75">
      <c r="B181" t="s">
        <v>278</v>
      </c>
      <c r="D181" s="114"/>
      <c r="E181" s="114"/>
    </row>
    <row r="182" spans="2:6" ht="12.75">
      <c r="B182" s="296" t="s">
        <v>205</v>
      </c>
      <c r="C182" s="296"/>
      <c r="D182" s="296"/>
      <c r="E182" s="296"/>
      <c r="F182" s="296"/>
    </row>
    <row r="183" spans="2:6" ht="12.75">
      <c r="B183" s="296" t="s">
        <v>263</v>
      </c>
      <c r="C183" s="296"/>
      <c r="D183" s="296"/>
      <c r="E183" s="296"/>
      <c r="F183" s="296"/>
    </row>
    <row r="184" spans="2:6" ht="12.75">
      <c r="B184" s="296" t="s">
        <v>307</v>
      </c>
      <c r="C184" s="296"/>
      <c r="D184" s="296"/>
      <c r="E184" s="296"/>
      <c r="F184" s="296"/>
    </row>
  </sheetData>
  <sheetProtection/>
  <mergeCells count="52">
    <mergeCell ref="B182:F182"/>
    <mergeCell ref="B183:F183"/>
    <mergeCell ref="A166:B166"/>
    <mergeCell ref="A169:B169"/>
    <mergeCell ref="A170:B170"/>
    <mergeCell ref="A171:B171"/>
    <mergeCell ref="A172:B172"/>
    <mergeCell ref="A173:B173"/>
    <mergeCell ref="A152:B152"/>
    <mergeCell ref="A155:B155"/>
    <mergeCell ref="A161:F161"/>
    <mergeCell ref="A162:B163"/>
    <mergeCell ref="C162:C163"/>
    <mergeCell ref="D162:D163"/>
    <mergeCell ref="F162:F163"/>
    <mergeCell ref="E162:E163"/>
    <mergeCell ref="A134:B134"/>
    <mergeCell ref="A138:B138"/>
    <mergeCell ref="A149:F149"/>
    <mergeCell ref="A150:B151"/>
    <mergeCell ref="C150:C151"/>
    <mergeCell ref="D150:D151"/>
    <mergeCell ref="F150:F151"/>
    <mergeCell ref="E150:E151"/>
    <mergeCell ref="A76:B76"/>
    <mergeCell ref="A78:B78"/>
    <mergeCell ref="A109:B109"/>
    <mergeCell ref="A126:B126"/>
    <mergeCell ref="A131:F131"/>
    <mergeCell ref="A132:B133"/>
    <mergeCell ref="C132:C133"/>
    <mergeCell ref="D132:D133"/>
    <mergeCell ref="F132:F133"/>
    <mergeCell ref="E132:E133"/>
    <mergeCell ref="A6:B6"/>
    <mergeCell ref="A14:B14"/>
    <mergeCell ref="A32:B32"/>
    <mergeCell ref="A34:B34"/>
    <mergeCell ref="C69:C70"/>
    <mergeCell ref="D69:D70"/>
    <mergeCell ref="F69:F70"/>
    <mergeCell ref="E69:E70"/>
    <mergeCell ref="B184:F184"/>
    <mergeCell ref="A1:F1"/>
    <mergeCell ref="A3:F3"/>
    <mergeCell ref="A4:B5"/>
    <mergeCell ref="C4:C5"/>
    <mergeCell ref="D4:D5"/>
    <mergeCell ref="F4:F5"/>
    <mergeCell ref="E4:E5"/>
    <mergeCell ref="A68:F68"/>
    <mergeCell ref="A69:B70"/>
  </mergeCells>
  <printOptions/>
  <pageMargins left="0.4" right="0.48" top="0.57" bottom="0.64" header="0.4921259845" footer="0.492125984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57421875" style="0" customWidth="1"/>
    <col min="2" max="2" width="44.8515625" style="0" customWidth="1"/>
    <col min="3" max="3" width="12.57421875" style="0" customWidth="1"/>
    <col min="4" max="4" width="11.28125" style="0" customWidth="1"/>
    <col min="5" max="5" width="12.57421875" style="0" customWidth="1"/>
  </cols>
  <sheetData>
    <row r="1" spans="1:5" ht="20.25">
      <c r="A1" s="297" t="s">
        <v>210</v>
      </c>
      <c r="B1" s="297"/>
      <c r="C1" s="297"/>
      <c r="D1" s="297"/>
      <c r="E1" s="297"/>
    </row>
    <row r="2" ht="13.5" thickBot="1">
      <c r="E2" s="134"/>
    </row>
    <row r="3" spans="1:5" ht="18.75" thickBot="1">
      <c r="A3" s="298" t="s">
        <v>0</v>
      </c>
      <c r="B3" s="299"/>
      <c r="C3" s="299"/>
      <c r="D3" s="299"/>
      <c r="E3" s="300"/>
    </row>
    <row r="4" spans="1:5" ht="12.75">
      <c r="A4" s="301" t="s">
        <v>1</v>
      </c>
      <c r="B4" s="302"/>
      <c r="C4" s="305" t="s">
        <v>207</v>
      </c>
      <c r="D4" s="305" t="s">
        <v>208</v>
      </c>
      <c r="E4" s="305" t="s">
        <v>250</v>
      </c>
    </row>
    <row r="5" spans="1:5" ht="13.5" thickBot="1">
      <c r="A5" s="303"/>
      <c r="B5" s="304"/>
      <c r="C5" s="306"/>
      <c r="D5" s="306"/>
      <c r="E5" s="306"/>
    </row>
    <row r="6" spans="1:5" ht="13.5" thickBot="1">
      <c r="A6" s="310" t="s">
        <v>2</v>
      </c>
      <c r="B6" s="311"/>
      <c r="C6" s="135">
        <f>SUM(C7:C13)</f>
        <v>752553</v>
      </c>
      <c r="D6" s="135">
        <f>SUM(D7:D13)</f>
        <v>753553</v>
      </c>
      <c r="E6" s="135">
        <f>SUM(E7:E13)</f>
        <v>221857</v>
      </c>
    </row>
    <row r="7" spans="1:5" ht="13.5" thickBot="1">
      <c r="A7" s="1">
        <v>111</v>
      </c>
      <c r="B7" s="2" t="s">
        <v>3</v>
      </c>
      <c r="C7" s="3">
        <v>700000</v>
      </c>
      <c r="D7" s="3">
        <v>700000</v>
      </c>
      <c r="E7" s="3">
        <v>199042</v>
      </c>
    </row>
    <row r="8" spans="1:5" ht="13.5" thickBot="1">
      <c r="A8" s="20">
        <v>121</v>
      </c>
      <c r="B8" s="21" t="s">
        <v>181</v>
      </c>
      <c r="C8" s="23">
        <v>30273</v>
      </c>
      <c r="D8" s="23">
        <v>30273</v>
      </c>
      <c r="E8" s="23">
        <v>11731</v>
      </c>
    </row>
    <row r="9" spans="1:5" ht="12.75">
      <c r="A9" s="4">
        <v>133</v>
      </c>
      <c r="B9" s="5" t="s">
        <v>4</v>
      </c>
      <c r="C9" s="6">
        <v>1000</v>
      </c>
      <c r="D9" s="6">
        <v>1000</v>
      </c>
      <c r="E9" s="6">
        <v>799</v>
      </c>
    </row>
    <row r="10" spans="1:5" ht="12.75">
      <c r="A10" s="7">
        <v>133</v>
      </c>
      <c r="B10" s="8" t="s">
        <v>5</v>
      </c>
      <c r="C10" s="9">
        <v>280</v>
      </c>
      <c r="D10" s="9">
        <v>280</v>
      </c>
      <c r="E10" s="9">
        <v>199</v>
      </c>
    </row>
    <row r="11" spans="1:5" ht="12.75">
      <c r="A11" s="7">
        <v>133</v>
      </c>
      <c r="B11" s="8" t="s">
        <v>6</v>
      </c>
      <c r="C11" s="9">
        <v>1000</v>
      </c>
      <c r="D11" s="9">
        <v>1000</v>
      </c>
      <c r="E11" s="9">
        <v>354</v>
      </c>
    </row>
    <row r="12" spans="1:5" ht="12.75">
      <c r="A12" s="7">
        <v>133</v>
      </c>
      <c r="B12" s="8" t="s">
        <v>7</v>
      </c>
      <c r="C12" s="9">
        <v>5000</v>
      </c>
      <c r="D12" s="9">
        <v>5000</v>
      </c>
      <c r="E12" s="9">
        <v>500</v>
      </c>
    </row>
    <row r="13" spans="1:5" ht="13.5" thickBot="1">
      <c r="A13" s="10">
        <v>133</v>
      </c>
      <c r="B13" s="11" t="s">
        <v>8</v>
      </c>
      <c r="C13" s="13">
        <v>15000</v>
      </c>
      <c r="D13" s="180">
        <v>16000</v>
      </c>
      <c r="E13" s="12">
        <v>9232</v>
      </c>
    </row>
    <row r="14" spans="1:5" ht="13.5" thickBot="1">
      <c r="A14" s="310" t="s">
        <v>9</v>
      </c>
      <c r="B14" s="311"/>
      <c r="C14" s="135">
        <f>SUM(C15:C31)</f>
        <v>119460</v>
      </c>
      <c r="D14" s="135">
        <f>SUM(D15:D31)</f>
        <v>123522</v>
      </c>
      <c r="E14" s="135">
        <f>SUM(E15:E31)</f>
        <v>21664</v>
      </c>
    </row>
    <row r="15" spans="1:5" ht="12.75">
      <c r="A15" s="14">
        <v>212</v>
      </c>
      <c r="B15" s="15" t="s">
        <v>10</v>
      </c>
      <c r="C15" s="16">
        <v>490</v>
      </c>
      <c r="D15" s="16">
        <v>490</v>
      </c>
      <c r="E15" s="16">
        <v>60</v>
      </c>
    </row>
    <row r="16" spans="1:5" ht="12.75">
      <c r="A16" s="4">
        <v>212</v>
      </c>
      <c r="B16" s="5" t="s">
        <v>11</v>
      </c>
      <c r="C16" s="6">
        <v>200</v>
      </c>
      <c r="D16" s="6">
        <v>200</v>
      </c>
      <c r="E16" s="6">
        <v>33</v>
      </c>
    </row>
    <row r="17" spans="1:5" ht="12.75">
      <c r="A17" s="7">
        <v>212</v>
      </c>
      <c r="B17" s="8" t="s">
        <v>12</v>
      </c>
      <c r="C17" s="9">
        <v>3943</v>
      </c>
      <c r="D17" s="204">
        <v>3943</v>
      </c>
      <c r="E17" s="9">
        <v>927</v>
      </c>
    </row>
    <row r="18" spans="1:5" ht="12.75">
      <c r="A18" s="7">
        <v>212</v>
      </c>
      <c r="B18" s="8" t="s">
        <v>198</v>
      </c>
      <c r="C18" s="9">
        <v>12157</v>
      </c>
      <c r="D18" s="181">
        <f>13089+100+300</f>
        <v>13489</v>
      </c>
      <c r="E18" s="9">
        <v>3339</v>
      </c>
    </row>
    <row r="19" spans="1:5" ht="13.5" thickBot="1">
      <c r="A19" s="17">
        <v>212</v>
      </c>
      <c r="B19" s="18" t="s">
        <v>199</v>
      </c>
      <c r="C19" s="19">
        <v>20</v>
      </c>
      <c r="D19" s="19">
        <v>20</v>
      </c>
      <c r="E19" s="19">
        <v>0</v>
      </c>
    </row>
    <row r="20" spans="1:5" ht="13.5" thickBot="1">
      <c r="A20" s="20">
        <v>221</v>
      </c>
      <c r="B20" s="21" t="s">
        <v>13</v>
      </c>
      <c r="C20" s="22">
        <v>10800</v>
      </c>
      <c r="D20" s="22">
        <v>10800</v>
      </c>
      <c r="E20" s="22">
        <v>610</v>
      </c>
    </row>
    <row r="21" spans="1:5" ht="13.5" thickBot="1">
      <c r="A21" s="20">
        <v>222</v>
      </c>
      <c r="B21" s="21" t="s">
        <v>14</v>
      </c>
      <c r="C21" s="23">
        <v>500</v>
      </c>
      <c r="D21" s="23">
        <v>500</v>
      </c>
      <c r="E21" s="23">
        <v>0</v>
      </c>
    </row>
    <row r="22" spans="1:5" ht="12.75">
      <c r="A22" s="4">
        <v>223</v>
      </c>
      <c r="B22" s="5" t="s">
        <v>15</v>
      </c>
      <c r="C22" s="6">
        <v>900</v>
      </c>
      <c r="D22" s="6">
        <v>900</v>
      </c>
      <c r="E22" s="6">
        <v>118</v>
      </c>
    </row>
    <row r="23" spans="1:5" ht="12.75">
      <c r="A23" s="7">
        <v>223</v>
      </c>
      <c r="B23" s="8" t="s">
        <v>16</v>
      </c>
      <c r="C23" s="9">
        <v>11000</v>
      </c>
      <c r="D23" s="9">
        <v>11000</v>
      </c>
      <c r="E23" s="9">
        <v>2655</v>
      </c>
    </row>
    <row r="24" spans="1:5" ht="12.75">
      <c r="A24" s="7">
        <v>223</v>
      </c>
      <c r="B24" s="8" t="s">
        <v>17</v>
      </c>
      <c r="C24" s="9">
        <v>15500</v>
      </c>
      <c r="D24" s="9">
        <v>15500</v>
      </c>
      <c r="E24" s="9">
        <v>0</v>
      </c>
    </row>
    <row r="25" spans="1:5" ht="12.75">
      <c r="A25" s="7">
        <v>223</v>
      </c>
      <c r="B25" s="8" t="s">
        <v>18</v>
      </c>
      <c r="C25" s="9">
        <v>200</v>
      </c>
      <c r="D25" s="181">
        <f>200+2630</f>
        <v>2830</v>
      </c>
      <c r="E25" s="9">
        <v>31</v>
      </c>
    </row>
    <row r="26" spans="1:5" ht="12.75">
      <c r="A26" s="7">
        <v>223</v>
      </c>
      <c r="B26" s="8" t="s">
        <v>19</v>
      </c>
      <c r="C26" s="9">
        <v>600</v>
      </c>
      <c r="D26" s="9">
        <v>600</v>
      </c>
      <c r="E26" s="9">
        <v>192</v>
      </c>
    </row>
    <row r="27" spans="1:5" ht="12.75">
      <c r="A27" s="7">
        <v>223</v>
      </c>
      <c r="B27" s="8" t="s">
        <v>20</v>
      </c>
      <c r="C27" s="9">
        <v>30000</v>
      </c>
      <c r="D27" s="9">
        <v>30000</v>
      </c>
      <c r="E27" s="9">
        <v>5634</v>
      </c>
    </row>
    <row r="28" spans="1:5" ht="12.75">
      <c r="A28" s="7">
        <v>223</v>
      </c>
      <c r="B28" s="8" t="s">
        <v>21</v>
      </c>
      <c r="C28" s="9">
        <v>23050</v>
      </c>
      <c r="D28" s="181">
        <v>23150</v>
      </c>
      <c r="E28" s="9">
        <v>5142</v>
      </c>
    </row>
    <row r="29" spans="1:5" ht="12.75">
      <c r="A29" s="7">
        <v>223</v>
      </c>
      <c r="B29" s="8" t="s">
        <v>22</v>
      </c>
      <c r="C29" s="24">
        <v>9000</v>
      </c>
      <c r="D29" s="24">
        <v>9000</v>
      </c>
      <c r="E29" s="24">
        <v>2629</v>
      </c>
    </row>
    <row r="30" spans="1:5" ht="12.75">
      <c r="A30" s="7">
        <v>223</v>
      </c>
      <c r="B30" s="8" t="s">
        <v>23</v>
      </c>
      <c r="C30" s="9">
        <v>1000</v>
      </c>
      <c r="D30" s="9">
        <v>1000</v>
      </c>
      <c r="E30" s="9">
        <v>284</v>
      </c>
    </row>
    <row r="31" spans="1:5" ht="13.5" thickBot="1">
      <c r="A31" s="10">
        <v>223</v>
      </c>
      <c r="B31" s="11" t="s">
        <v>24</v>
      </c>
      <c r="C31" s="12">
        <v>100</v>
      </c>
      <c r="D31" s="12">
        <v>100</v>
      </c>
      <c r="E31" s="12">
        <v>10</v>
      </c>
    </row>
    <row r="32" spans="1:5" ht="13.5" thickBot="1">
      <c r="A32" s="310" t="s">
        <v>25</v>
      </c>
      <c r="B32" s="311"/>
      <c r="C32" s="135">
        <f>SUM(C33)</f>
        <v>490</v>
      </c>
      <c r="D32" s="135">
        <f>SUM(D33)</f>
        <v>490</v>
      </c>
      <c r="E32" s="135">
        <f>SUM(E33)</f>
        <v>185</v>
      </c>
    </row>
    <row r="33" spans="1:5" ht="13.5" thickBot="1">
      <c r="A33" s="25">
        <v>240</v>
      </c>
      <c r="B33" s="18" t="s">
        <v>26</v>
      </c>
      <c r="C33" s="19">
        <v>490</v>
      </c>
      <c r="D33" s="19">
        <v>490</v>
      </c>
      <c r="E33" s="19">
        <v>185</v>
      </c>
    </row>
    <row r="34" spans="1:5" ht="13.5" thickBot="1">
      <c r="A34" s="310" t="s">
        <v>27</v>
      </c>
      <c r="B34" s="311"/>
      <c r="C34" s="135">
        <f>SUM(C35:C47)</f>
        <v>32789</v>
      </c>
      <c r="D34" s="135">
        <f>SUM(D35:D47)</f>
        <v>34905</v>
      </c>
      <c r="E34" s="135">
        <f>SUM(E35:E47)</f>
        <v>5843</v>
      </c>
    </row>
    <row r="35" spans="1:5" ht="12.75">
      <c r="A35" s="26">
        <v>292</v>
      </c>
      <c r="B35" s="27" t="s">
        <v>182</v>
      </c>
      <c r="C35" s="28">
        <v>200</v>
      </c>
      <c r="D35" s="28">
        <v>200</v>
      </c>
      <c r="E35" s="28">
        <v>0</v>
      </c>
    </row>
    <row r="36" spans="1:5" ht="12.75">
      <c r="A36" s="26">
        <v>292</v>
      </c>
      <c r="B36" s="27" t="s">
        <v>28</v>
      </c>
      <c r="C36" s="28">
        <v>100</v>
      </c>
      <c r="D36" s="28">
        <v>100</v>
      </c>
      <c r="E36" s="28">
        <v>51</v>
      </c>
    </row>
    <row r="37" spans="1:5" ht="12.75">
      <c r="A37" s="29">
        <v>292</v>
      </c>
      <c r="B37" s="30" t="s">
        <v>29</v>
      </c>
      <c r="C37" s="31">
        <v>5000</v>
      </c>
      <c r="D37" s="183">
        <v>5025</v>
      </c>
      <c r="E37" s="31">
        <f>25</f>
        <v>25</v>
      </c>
    </row>
    <row r="38" spans="1:5" ht="12.75">
      <c r="A38" s="29">
        <v>292</v>
      </c>
      <c r="B38" s="8" t="s">
        <v>183</v>
      </c>
      <c r="C38" s="32">
        <v>160</v>
      </c>
      <c r="D38" s="32">
        <v>160</v>
      </c>
      <c r="E38" s="136">
        <v>0</v>
      </c>
    </row>
    <row r="39" spans="1:5" ht="12.75">
      <c r="A39" s="29">
        <v>292</v>
      </c>
      <c r="B39" s="30" t="s">
        <v>184</v>
      </c>
      <c r="C39" s="31">
        <v>2000</v>
      </c>
      <c r="D39" s="31">
        <v>2000</v>
      </c>
      <c r="E39" s="31">
        <v>0</v>
      </c>
    </row>
    <row r="40" spans="1:5" ht="12.75">
      <c r="A40" s="29">
        <v>292</v>
      </c>
      <c r="B40" s="30" t="s">
        <v>30</v>
      </c>
      <c r="C40" s="31">
        <v>300</v>
      </c>
      <c r="D40" s="31">
        <v>300</v>
      </c>
      <c r="E40" s="31">
        <v>0</v>
      </c>
    </row>
    <row r="41" spans="1:5" ht="12.75">
      <c r="A41" s="29">
        <v>292</v>
      </c>
      <c r="B41" s="30" t="s">
        <v>237</v>
      </c>
      <c r="C41" s="31">
        <v>120</v>
      </c>
      <c r="D41" s="183">
        <f>1587-794</f>
        <v>793</v>
      </c>
      <c r="E41" s="31">
        <v>793</v>
      </c>
    </row>
    <row r="42" spans="1:5" ht="12.75">
      <c r="A42" s="137">
        <v>292</v>
      </c>
      <c r="B42" s="138" t="s">
        <v>185</v>
      </c>
      <c r="C42" s="139">
        <v>1509</v>
      </c>
      <c r="D42" s="184">
        <v>1527</v>
      </c>
      <c r="E42" s="139">
        <v>1527</v>
      </c>
    </row>
    <row r="43" spans="1:5" ht="12.75">
      <c r="A43" s="29">
        <v>292</v>
      </c>
      <c r="B43" s="8" t="s">
        <v>31</v>
      </c>
      <c r="C43" s="32">
        <v>6800</v>
      </c>
      <c r="D43" s="182">
        <v>8200</v>
      </c>
      <c r="E43" s="32">
        <v>1533</v>
      </c>
    </row>
    <row r="44" spans="1:5" ht="12.75">
      <c r="A44" s="29">
        <v>292</v>
      </c>
      <c r="B44" s="8" t="s">
        <v>32</v>
      </c>
      <c r="C44" s="32">
        <v>2000</v>
      </c>
      <c r="D44" s="182">
        <v>2000</v>
      </c>
      <c r="E44" s="32">
        <v>92</v>
      </c>
    </row>
    <row r="45" spans="1:5" ht="12.75">
      <c r="A45" s="29">
        <v>292</v>
      </c>
      <c r="B45" s="8" t="s">
        <v>33</v>
      </c>
      <c r="C45" s="32">
        <v>100</v>
      </c>
      <c r="D45" s="32">
        <v>100</v>
      </c>
      <c r="E45" s="32">
        <v>30</v>
      </c>
    </row>
    <row r="46" spans="1:5" ht="12.75">
      <c r="A46" s="7">
        <v>292</v>
      </c>
      <c r="B46" s="8" t="s">
        <v>186</v>
      </c>
      <c r="C46" s="9">
        <v>12000</v>
      </c>
      <c r="D46" s="9">
        <v>12000</v>
      </c>
      <c r="E46" s="9">
        <v>1792</v>
      </c>
    </row>
    <row r="47" spans="1:5" ht="13.5" thickBot="1">
      <c r="A47" s="29">
        <v>292</v>
      </c>
      <c r="B47" s="30" t="s">
        <v>187</v>
      </c>
      <c r="C47" s="31">
        <v>2500</v>
      </c>
      <c r="D47" s="31">
        <v>2500</v>
      </c>
      <c r="E47" s="31">
        <v>0</v>
      </c>
    </row>
    <row r="48" spans="1:5" ht="13.5" thickBot="1">
      <c r="A48" s="33" t="s">
        <v>34</v>
      </c>
      <c r="B48" s="34"/>
      <c r="C48" s="140">
        <f>SUM(C49:C62)</f>
        <v>473565</v>
      </c>
      <c r="D48" s="140">
        <f>SUM(D49:D62)</f>
        <v>496974</v>
      </c>
      <c r="E48" s="140">
        <f>SUM(E49:E62)</f>
        <v>110847</v>
      </c>
    </row>
    <row r="49" spans="1:5" ht="12.75">
      <c r="A49" s="35">
        <v>311</v>
      </c>
      <c r="B49" s="5" t="s">
        <v>35</v>
      </c>
      <c r="C49" s="6">
        <v>0</v>
      </c>
      <c r="D49" s="6">
        <v>0</v>
      </c>
      <c r="E49" s="6">
        <v>0</v>
      </c>
    </row>
    <row r="50" spans="1:5" ht="12.75">
      <c r="A50" s="141">
        <v>312</v>
      </c>
      <c r="B50" s="142" t="s">
        <v>36</v>
      </c>
      <c r="C50" s="143">
        <v>15600</v>
      </c>
      <c r="D50" s="143">
        <v>15600</v>
      </c>
      <c r="E50" s="143">
        <v>1680</v>
      </c>
    </row>
    <row r="51" spans="1:5" ht="12.75">
      <c r="A51" s="144">
        <v>312</v>
      </c>
      <c r="B51" s="145" t="s">
        <v>200</v>
      </c>
      <c r="C51" s="146">
        <v>12000</v>
      </c>
      <c r="D51" s="185">
        <v>10000</v>
      </c>
      <c r="E51" s="146">
        <v>3690</v>
      </c>
    </row>
    <row r="52" spans="1:5" ht="12.75">
      <c r="A52" s="35">
        <v>312</v>
      </c>
      <c r="B52" s="8" t="s">
        <v>37</v>
      </c>
      <c r="C52" s="6">
        <v>7200</v>
      </c>
      <c r="D52" s="6">
        <v>7200</v>
      </c>
      <c r="E52" s="6">
        <v>3273</v>
      </c>
    </row>
    <row r="53" spans="1:5" ht="12.75">
      <c r="A53" s="35">
        <v>312</v>
      </c>
      <c r="B53" s="36" t="s">
        <v>38</v>
      </c>
      <c r="C53" s="147">
        <v>13500</v>
      </c>
      <c r="D53" s="147">
        <f>4100+9400+794</f>
        <v>14294</v>
      </c>
      <c r="E53" s="147">
        <v>794</v>
      </c>
    </row>
    <row r="54" spans="1:5" ht="12.75">
      <c r="A54" s="35">
        <v>312</v>
      </c>
      <c r="B54" s="36" t="s">
        <v>188</v>
      </c>
      <c r="C54" s="147">
        <v>44465</v>
      </c>
      <c r="D54" s="147">
        <v>44465</v>
      </c>
      <c r="E54" s="148">
        <v>0</v>
      </c>
    </row>
    <row r="55" spans="1:5" ht="12.75">
      <c r="A55" s="35">
        <v>312</v>
      </c>
      <c r="B55" s="36" t="s">
        <v>39</v>
      </c>
      <c r="C55" s="6">
        <v>10000</v>
      </c>
      <c r="D55" s="6">
        <v>10000</v>
      </c>
      <c r="E55" s="6">
        <v>2507</v>
      </c>
    </row>
    <row r="56" spans="1:5" ht="12.75">
      <c r="A56" s="35">
        <v>312</v>
      </c>
      <c r="B56" s="36" t="s">
        <v>40</v>
      </c>
      <c r="C56" s="6">
        <v>18000</v>
      </c>
      <c r="D56" s="6">
        <v>18000</v>
      </c>
      <c r="E56" s="6">
        <v>4500</v>
      </c>
    </row>
    <row r="57" spans="1:5" ht="12.75">
      <c r="A57" s="35">
        <v>312</v>
      </c>
      <c r="B57" s="36" t="s">
        <v>41</v>
      </c>
      <c r="C57" s="6">
        <v>6400</v>
      </c>
      <c r="D57" s="6">
        <v>6400</v>
      </c>
      <c r="E57" s="148">
        <v>413</v>
      </c>
    </row>
    <row r="58" spans="1:5" ht="12.75">
      <c r="A58" s="35">
        <v>312</v>
      </c>
      <c r="B58" s="36" t="s">
        <v>209</v>
      </c>
      <c r="C58" s="6">
        <v>0</v>
      </c>
      <c r="D58" s="6">
        <v>0</v>
      </c>
      <c r="E58" s="147">
        <v>0</v>
      </c>
    </row>
    <row r="59" spans="1:5" ht="12.75">
      <c r="A59" s="37">
        <v>312</v>
      </c>
      <c r="B59" s="8" t="s">
        <v>190</v>
      </c>
      <c r="C59" s="9">
        <v>3700</v>
      </c>
      <c r="D59" s="181">
        <v>3720</v>
      </c>
      <c r="E59" s="9">
        <v>0</v>
      </c>
    </row>
    <row r="60" spans="1:5" ht="12.75">
      <c r="A60" s="37">
        <v>312</v>
      </c>
      <c r="B60" s="38" t="s">
        <v>202</v>
      </c>
      <c r="C60" s="39">
        <v>3000</v>
      </c>
      <c r="D60" s="39">
        <v>3000</v>
      </c>
      <c r="E60" s="39">
        <v>2562</v>
      </c>
    </row>
    <row r="61" spans="1:5" ht="12.75">
      <c r="A61" s="37">
        <v>312</v>
      </c>
      <c r="B61" s="40" t="s">
        <v>42</v>
      </c>
      <c r="C61" s="39">
        <v>2000</v>
      </c>
      <c r="D61" s="186">
        <v>2116</v>
      </c>
      <c r="E61" s="39">
        <v>1058</v>
      </c>
    </row>
    <row r="62" spans="1:5" ht="13.5" thickBot="1">
      <c r="A62" s="37">
        <v>312</v>
      </c>
      <c r="B62" s="41" t="s">
        <v>43</v>
      </c>
      <c r="C62" s="42">
        <v>337700</v>
      </c>
      <c r="D62" s="42">
        <v>362179</v>
      </c>
      <c r="E62" s="42">
        <v>90370</v>
      </c>
    </row>
    <row r="63" spans="1:5" ht="16.5" thickBot="1">
      <c r="A63" s="43" t="s">
        <v>44</v>
      </c>
      <c r="B63" s="44"/>
      <c r="C63" s="149">
        <f>SUM(C6+C14+C32+C34+C48)</f>
        <v>1378857</v>
      </c>
      <c r="D63" s="149">
        <f>SUM(D6+D14+D32+D34+D48)</f>
        <v>1409444</v>
      </c>
      <c r="E63" s="149">
        <f>SUM(E6+E14+E32+E34+E48)</f>
        <v>360396</v>
      </c>
    </row>
    <row r="64" spans="1:5" ht="16.5" thickBot="1">
      <c r="A64" s="45"/>
      <c r="B64" s="46" t="s">
        <v>45</v>
      </c>
      <c r="C64" s="150">
        <v>900</v>
      </c>
      <c r="D64" s="150">
        <v>900</v>
      </c>
      <c r="E64" s="150">
        <v>0</v>
      </c>
    </row>
    <row r="65" spans="1:5" ht="16.5" thickBot="1">
      <c r="A65" s="43" t="s">
        <v>46</v>
      </c>
      <c r="B65" s="34"/>
      <c r="C65" s="149">
        <f>SUM(C63:C64)</f>
        <v>1379757</v>
      </c>
      <c r="D65" s="149">
        <f>SUM(D63:D64)</f>
        <v>1410344</v>
      </c>
      <c r="E65" s="149">
        <f>SUM(E63:E64)</f>
        <v>360396</v>
      </c>
    </row>
    <row r="66" spans="1:5" ht="15.75">
      <c r="A66" s="47"/>
      <c r="B66" s="48"/>
      <c r="C66" s="48"/>
      <c r="D66" s="49"/>
      <c r="E66" s="49"/>
    </row>
    <row r="67" spans="1:5" ht="16.5" thickBot="1">
      <c r="A67" s="47"/>
      <c r="B67" s="48"/>
      <c r="C67" s="48"/>
      <c r="D67" s="48"/>
      <c r="E67" s="48"/>
    </row>
    <row r="68" spans="1:5" ht="18.75" thickBot="1">
      <c r="A68" s="307" t="s">
        <v>47</v>
      </c>
      <c r="B68" s="308"/>
      <c r="C68" s="308"/>
      <c r="D68" s="308"/>
      <c r="E68" s="309"/>
    </row>
    <row r="69" spans="1:5" ht="12.75">
      <c r="A69" s="301" t="s">
        <v>1</v>
      </c>
      <c r="B69" s="302"/>
      <c r="C69" s="305" t="s">
        <v>207</v>
      </c>
      <c r="D69" s="305" t="s">
        <v>208</v>
      </c>
      <c r="E69" s="305" t="s">
        <v>250</v>
      </c>
    </row>
    <row r="70" spans="1:5" ht="13.5" thickBot="1">
      <c r="A70" s="303"/>
      <c r="B70" s="304"/>
      <c r="C70" s="306"/>
      <c r="D70" s="306"/>
      <c r="E70" s="306"/>
    </row>
    <row r="71" spans="1:5" ht="13.5" thickBot="1">
      <c r="A71" s="50" t="s">
        <v>48</v>
      </c>
      <c r="B71" s="51"/>
      <c r="C71" s="151">
        <f>SUM(C72:C75)</f>
        <v>192000</v>
      </c>
      <c r="D71" s="151">
        <f>SUM(D72:D75)</f>
        <v>191950</v>
      </c>
      <c r="E71" s="151">
        <f>SUM(E72:E75)</f>
        <v>38132.35</v>
      </c>
    </row>
    <row r="72" spans="1:5" ht="12.75">
      <c r="A72" s="52" t="s">
        <v>49</v>
      </c>
      <c r="B72" s="53" t="s">
        <v>50</v>
      </c>
      <c r="C72" s="152">
        <v>148300</v>
      </c>
      <c r="D72" s="152">
        <v>148300</v>
      </c>
      <c r="E72" s="152">
        <v>29092</v>
      </c>
    </row>
    <row r="73" spans="1:5" ht="12.75">
      <c r="A73" s="54" t="s">
        <v>51</v>
      </c>
      <c r="B73" s="36" t="s">
        <v>52</v>
      </c>
      <c r="C73" s="153">
        <v>28000</v>
      </c>
      <c r="D73" s="205">
        <f>28000+1000</f>
        <v>29000</v>
      </c>
      <c r="E73" s="153">
        <v>5002</v>
      </c>
    </row>
    <row r="74" spans="1:5" ht="12.75">
      <c r="A74" s="56" t="s">
        <v>53</v>
      </c>
      <c r="B74" s="36" t="s">
        <v>54</v>
      </c>
      <c r="C74" s="153">
        <v>3700</v>
      </c>
      <c r="D74" s="192">
        <f>3700+20+930</f>
        <v>4650</v>
      </c>
      <c r="E74" s="153">
        <v>1038</v>
      </c>
    </row>
    <row r="75" spans="1:5" ht="13.5" thickBot="1">
      <c r="A75" s="57" t="s">
        <v>55</v>
      </c>
      <c r="B75" s="58" t="s">
        <v>56</v>
      </c>
      <c r="C75" s="154">
        <v>12000</v>
      </c>
      <c r="D75" s="193">
        <v>10000</v>
      </c>
      <c r="E75" s="154">
        <v>3000.35</v>
      </c>
    </row>
    <row r="76" spans="1:5" ht="13.5" thickBot="1">
      <c r="A76" s="312" t="s">
        <v>57</v>
      </c>
      <c r="B76" s="313"/>
      <c r="C76" s="151">
        <f>SUM(C77)</f>
        <v>160</v>
      </c>
      <c r="D76" s="151">
        <f>SUM(D77)</f>
        <v>160</v>
      </c>
      <c r="E76" s="151">
        <f>SUM(E77)</f>
        <v>0</v>
      </c>
    </row>
    <row r="77" spans="1:5" ht="13.5" thickBot="1">
      <c r="A77" s="59" t="s">
        <v>58</v>
      </c>
      <c r="B77" s="48" t="s">
        <v>59</v>
      </c>
      <c r="C77" s="155">
        <v>160</v>
      </c>
      <c r="D77" s="155">
        <v>160</v>
      </c>
      <c r="E77" s="155">
        <v>0</v>
      </c>
    </row>
    <row r="78" spans="1:5" ht="13.5" thickBot="1">
      <c r="A78" s="312" t="s">
        <v>60</v>
      </c>
      <c r="B78" s="313"/>
      <c r="C78" s="151">
        <f>SUM(C79)</f>
        <v>11400</v>
      </c>
      <c r="D78" s="151">
        <f>SUM(D79)</f>
        <v>11400</v>
      </c>
      <c r="E78" s="151">
        <f>SUM(E79)</f>
        <v>687</v>
      </c>
    </row>
    <row r="79" spans="1:5" ht="13.5" thickBot="1">
      <c r="A79" s="60" t="s">
        <v>61</v>
      </c>
      <c r="B79" s="61" t="s">
        <v>62</v>
      </c>
      <c r="C79" s="62">
        <v>11400</v>
      </c>
      <c r="D79" s="62">
        <v>11400</v>
      </c>
      <c r="E79" s="62">
        <v>687</v>
      </c>
    </row>
    <row r="80" spans="1:5" ht="13.5" thickBot="1">
      <c r="A80" s="50" t="s">
        <v>63</v>
      </c>
      <c r="B80" s="63"/>
      <c r="C80" s="151">
        <f>SUM(C81:C86)</f>
        <v>176582</v>
      </c>
      <c r="D80" s="151">
        <f>SUM(D81:D86)</f>
        <v>181582</v>
      </c>
      <c r="E80" s="151">
        <f>SUM(E81:E86)</f>
        <v>28357.15</v>
      </c>
    </row>
    <row r="81" spans="1:5" ht="12.75">
      <c r="A81" s="64" t="s">
        <v>64</v>
      </c>
      <c r="B81" s="27" t="s">
        <v>65</v>
      </c>
      <c r="C81" s="28">
        <v>1500</v>
      </c>
      <c r="D81" s="28">
        <v>1500</v>
      </c>
      <c r="E81" s="28">
        <v>590</v>
      </c>
    </row>
    <row r="82" spans="1:5" ht="12.75">
      <c r="A82" s="56" t="s">
        <v>66</v>
      </c>
      <c r="B82" s="36" t="s">
        <v>67</v>
      </c>
      <c r="C82" s="153">
        <v>12600</v>
      </c>
      <c r="D82" s="153">
        <v>12600</v>
      </c>
      <c r="E82" s="153">
        <v>3170.15</v>
      </c>
    </row>
    <row r="83" spans="1:6" ht="12.75">
      <c r="A83" s="56" t="s">
        <v>66</v>
      </c>
      <c r="B83" s="36" t="s">
        <v>168</v>
      </c>
      <c r="C83" s="153">
        <f>21140-C82</f>
        <v>8540</v>
      </c>
      <c r="D83" s="153">
        <f>21140-D82</f>
        <v>8540</v>
      </c>
      <c r="E83" s="153">
        <v>0</v>
      </c>
      <c r="F83" s="114"/>
    </row>
    <row r="84" spans="1:6" ht="12.75">
      <c r="A84" s="56" t="s">
        <v>66</v>
      </c>
      <c r="B84" s="36" t="s">
        <v>191</v>
      </c>
      <c r="C84" s="153">
        <v>300</v>
      </c>
      <c r="D84" s="153">
        <v>300</v>
      </c>
      <c r="E84" s="153">
        <v>0</v>
      </c>
      <c r="F84" s="114">
        <f>SUM(D82:D84)</f>
        <v>21440</v>
      </c>
    </row>
    <row r="85" spans="1:6" ht="12.75">
      <c r="A85" s="56" t="s">
        <v>68</v>
      </c>
      <c r="B85" s="36" t="s">
        <v>69</v>
      </c>
      <c r="C85" s="31">
        <v>47500</v>
      </c>
      <c r="D85" s="31">
        <v>47500</v>
      </c>
      <c r="E85" s="31">
        <v>1655</v>
      </c>
      <c r="F85" s="177"/>
    </row>
    <row r="86" spans="1:5" ht="13.5" thickBot="1">
      <c r="A86" s="66" t="s">
        <v>70</v>
      </c>
      <c r="B86" s="67" t="s">
        <v>192</v>
      </c>
      <c r="C86" s="156">
        <v>106142</v>
      </c>
      <c r="D86" s="196">
        <f>106142+3000+2000</f>
        <v>111142</v>
      </c>
      <c r="E86" s="156">
        <v>22942</v>
      </c>
    </row>
    <row r="87" spans="1:5" ht="13.5" thickBot="1">
      <c r="A87" s="50" t="s">
        <v>71</v>
      </c>
      <c r="B87" s="51"/>
      <c r="C87" s="151">
        <f>SUM(C88:C90)</f>
        <v>120808</v>
      </c>
      <c r="D87" s="151">
        <f>SUM(D88:D90)</f>
        <v>114048</v>
      </c>
      <c r="E87" s="151">
        <f>SUM(E88:E90)</f>
        <v>18121</v>
      </c>
    </row>
    <row r="88" spans="1:5" ht="12.75">
      <c r="A88" s="68" t="s">
        <v>72</v>
      </c>
      <c r="B88" s="69" t="s">
        <v>201</v>
      </c>
      <c r="C88" s="157">
        <v>63978</v>
      </c>
      <c r="D88" s="195">
        <f>63978+1740+400+200+800+100</f>
        <v>67218</v>
      </c>
      <c r="E88" s="157">
        <v>4984</v>
      </c>
    </row>
    <row r="89" spans="1:6" ht="12.75">
      <c r="A89" s="59" t="s">
        <v>73</v>
      </c>
      <c r="B89" s="71" t="s">
        <v>74</v>
      </c>
      <c r="C89" s="154">
        <v>48630</v>
      </c>
      <c r="D89" s="203">
        <v>38630</v>
      </c>
      <c r="E89" s="154">
        <v>11393</v>
      </c>
      <c r="F89" s="177"/>
    </row>
    <row r="90" spans="1:6" ht="13.5" thickBot="1">
      <c r="A90" s="72" t="s">
        <v>75</v>
      </c>
      <c r="B90" s="73" t="s">
        <v>76</v>
      </c>
      <c r="C90" s="158">
        <f>6400+1800</f>
        <v>8200</v>
      </c>
      <c r="D90" s="158">
        <f>6400+1800</f>
        <v>8200</v>
      </c>
      <c r="E90" s="158">
        <v>1744</v>
      </c>
      <c r="F90" s="177"/>
    </row>
    <row r="91" spans="1:5" ht="13.5" thickBot="1">
      <c r="A91" s="50" t="s">
        <v>77</v>
      </c>
      <c r="B91" s="63"/>
      <c r="C91" s="151">
        <f>SUM(C92)</f>
        <v>15500</v>
      </c>
      <c r="D91" s="151">
        <f>SUM(D92)</f>
        <v>16800</v>
      </c>
      <c r="E91" s="151">
        <f>SUM(E92)</f>
        <v>3927</v>
      </c>
    </row>
    <row r="92" spans="1:5" ht="13.5" thickBot="1">
      <c r="A92" s="74" t="s">
        <v>78</v>
      </c>
      <c r="B92" s="67" t="s">
        <v>79</v>
      </c>
      <c r="C92" s="83">
        <v>15500</v>
      </c>
      <c r="D92" s="197">
        <f>15500+1300</f>
        <v>16800</v>
      </c>
      <c r="E92" s="83">
        <v>3927</v>
      </c>
    </row>
    <row r="93" spans="1:5" ht="13.5" thickBot="1">
      <c r="A93" s="75" t="s">
        <v>80</v>
      </c>
      <c r="B93" s="51"/>
      <c r="C93" s="151">
        <f>SUM(C94:C108)</f>
        <v>77100</v>
      </c>
      <c r="D93" s="151">
        <f>SUM(D94:D108)</f>
        <v>77700</v>
      </c>
      <c r="E93" s="151">
        <f>SUM(E94:E108)</f>
        <v>10704</v>
      </c>
    </row>
    <row r="94" spans="1:5" ht="13.5" thickBot="1">
      <c r="A94" s="72" t="s">
        <v>81</v>
      </c>
      <c r="B94" s="73" t="s">
        <v>82</v>
      </c>
      <c r="C94" s="158">
        <v>7000</v>
      </c>
      <c r="D94" s="158">
        <v>7000</v>
      </c>
      <c r="E94" s="158">
        <v>1509</v>
      </c>
    </row>
    <row r="95" spans="1:5" ht="12.75">
      <c r="A95" s="76" t="s">
        <v>81</v>
      </c>
      <c r="B95" s="53" t="s">
        <v>83</v>
      </c>
      <c r="C95" s="152">
        <v>7000</v>
      </c>
      <c r="D95" s="152">
        <v>7000</v>
      </c>
      <c r="E95" s="152">
        <v>2000</v>
      </c>
    </row>
    <row r="96" spans="1:5" ht="12.75">
      <c r="A96" s="76" t="s">
        <v>84</v>
      </c>
      <c r="B96" s="77" t="s">
        <v>85</v>
      </c>
      <c r="C96" s="28">
        <v>17300</v>
      </c>
      <c r="D96" s="28">
        <v>17300</v>
      </c>
      <c r="E96" s="28">
        <v>3818</v>
      </c>
    </row>
    <row r="97" spans="1:5" ht="12.75">
      <c r="A97" s="56" t="s">
        <v>86</v>
      </c>
      <c r="B97" s="78" t="s">
        <v>87</v>
      </c>
      <c r="C97" s="153">
        <v>1200</v>
      </c>
      <c r="D97" s="153">
        <v>1200</v>
      </c>
      <c r="E97" s="153">
        <v>46</v>
      </c>
    </row>
    <row r="98" spans="1:5" ht="13.5" thickBot="1">
      <c r="A98" s="72" t="s">
        <v>88</v>
      </c>
      <c r="B98" s="73" t="s">
        <v>89</v>
      </c>
      <c r="C98" s="158">
        <v>1000</v>
      </c>
      <c r="D98" s="158">
        <v>1000</v>
      </c>
      <c r="E98" s="158">
        <v>161</v>
      </c>
    </row>
    <row r="99" spans="1:5" ht="12.75">
      <c r="A99" s="56" t="s">
        <v>90</v>
      </c>
      <c r="B99" s="36" t="s">
        <v>91</v>
      </c>
      <c r="C99" s="153">
        <v>200</v>
      </c>
      <c r="D99" s="153">
        <v>200</v>
      </c>
      <c r="E99" s="153">
        <v>0</v>
      </c>
    </row>
    <row r="100" spans="1:5" ht="12.75">
      <c r="A100" s="56" t="s">
        <v>90</v>
      </c>
      <c r="B100" s="36" t="s">
        <v>92</v>
      </c>
      <c r="C100" s="153">
        <v>1000</v>
      </c>
      <c r="D100" s="205">
        <f>1000+200</f>
        <v>1200</v>
      </c>
      <c r="E100" s="153">
        <v>1180</v>
      </c>
    </row>
    <row r="101" spans="1:5" ht="12.75">
      <c r="A101" s="56" t="s">
        <v>90</v>
      </c>
      <c r="B101" s="36" t="s">
        <v>93</v>
      </c>
      <c r="C101" s="153">
        <v>2000</v>
      </c>
      <c r="D101" s="153">
        <v>2000</v>
      </c>
      <c r="E101" s="153">
        <v>0</v>
      </c>
    </row>
    <row r="102" spans="1:5" ht="12.75">
      <c r="A102" s="56" t="s">
        <v>90</v>
      </c>
      <c r="B102" s="36" t="s">
        <v>94</v>
      </c>
      <c r="C102" s="153">
        <v>12000</v>
      </c>
      <c r="D102" s="153">
        <v>12000</v>
      </c>
      <c r="E102" s="153">
        <v>0</v>
      </c>
    </row>
    <row r="103" spans="1:5" ht="12.75">
      <c r="A103" s="56" t="s">
        <v>90</v>
      </c>
      <c r="B103" s="36" t="s">
        <v>249</v>
      </c>
      <c r="C103" s="153">
        <v>200</v>
      </c>
      <c r="D103" s="205">
        <f>200+100</f>
        <v>300</v>
      </c>
      <c r="E103" s="153">
        <v>100</v>
      </c>
    </row>
    <row r="104" spans="1:5" ht="12.75">
      <c r="A104" s="56" t="s">
        <v>90</v>
      </c>
      <c r="B104" s="36" t="s">
        <v>96</v>
      </c>
      <c r="C104" s="153">
        <v>700</v>
      </c>
      <c r="D104" s="153">
        <v>700</v>
      </c>
      <c r="E104" s="153">
        <v>0</v>
      </c>
    </row>
    <row r="105" spans="1:5" ht="13.5" thickBot="1">
      <c r="A105" s="72" t="s">
        <v>90</v>
      </c>
      <c r="B105" s="73" t="s">
        <v>194</v>
      </c>
      <c r="C105" s="158">
        <v>13000</v>
      </c>
      <c r="D105" s="158">
        <v>13000</v>
      </c>
      <c r="E105" s="158">
        <v>0</v>
      </c>
    </row>
    <row r="106" spans="1:5" ht="12.75">
      <c r="A106" s="68" t="s">
        <v>97</v>
      </c>
      <c r="B106" s="69" t="s">
        <v>98</v>
      </c>
      <c r="C106" s="157">
        <v>3300</v>
      </c>
      <c r="D106" s="157">
        <v>3300</v>
      </c>
      <c r="E106" s="157">
        <v>1229</v>
      </c>
    </row>
    <row r="107" spans="1:5" ht="12.75">
      <c r="A107" s="76" t="s">
        <v>99</v>
      </c>
      <c r="B107" s="53" t="s">
        <v>100</v>
      </c>
      <c r="C107" s="152">
        <v>8500</v>
      </c>
      <c r="D107" s="152">
        <v>8500</v>
      </c>
      <c r="E107" s="152">
        <v>461</v>
      </c>
    </row>
    <row r="108" spans="1:5" ht="13.5" thickBot="1">
      <c r="A108" s="72" t="s">
        <v>101</v>
      </c>
      <c r="B108" s="73" t="s">
        <v>195</v>
      </c>
      <c r="C108" s="158">
        <v>2700</v>
      </c>
      <c r="D108" s="207">
        <f>2700+300</f>
        <v>3000</v>
      </c>
      <c r="E108" s="158">
        <v>200</v>
      </c>
    </row>
    <row r="109" spans="1:5" ht="13.5" thickBot="1">
      <c r="A109" s="312" t="s">
        <v>102</v>
      </c>
      <c r="B109" s="313"/>
      <c r="C109" s="151">
        <f>SUM(C110:C113)</f>
        <v>300500</v>
      </c>
      <c r="D109" s="151">
        <f>SUM(D110:D113)</f>
        <v>300500</v>
      </c>
      <c r="E109" s="151">
        <f>SUM(E110:E113)</f>
        <v>68623</v>
      </c>
    </row>
    <row r="110" spans="1:5" ht="12.75">
      <c r="A110" s="79" t="s">
        <v>103</v>
      </c>
      <c r="B110" s="80" t="s">
        <v>234</v>
      </c>
      <c r="C110" s="81">
        <v>97000</v>
      </c>
      <c r="D110" s="81">
        <v>97000</v>
      </c>
      <c r="E110" s="81">
        <v>22582</v>
      </c>
    </row>
    <row r="111" spans="1:5" ht="12.75">
      <c r="A111" s="82" t="s">
        <v>106</v>
      </c>
      <c r="B111" s="30" t="s">
        <v>235</v>
      </c>
      <c r="C111" s="31">
        <v>132200</v>
      </c>
      <c r="D111" s="31">
        <v>132200</v>
      </c>
      <c r="E111" s="31">
        <v>28902</v>
      </c>
    </row>
    <row r="112" spans="1:5" ht="12.75">
      <c r="A112" s="82" t="s">
        <v>108</v>
      </c>
      <c r="B112" s="30" t="s">
        <v>109</v>
      </c>
      <c r="C112" s="31">
        <v>53300</v>
      </c>
      <c r="D112" s="31">
        <v>53300</v>
      </c>
      <c r="E112" s="31">
        <v>10983</v>
      </c>
    </row>
    <row r="113" spans="1:5" ht="13.5" thickBot="1">
      <c r="A113" s="66" t="s">
        <v>110</v>
      </c>
      <c r="B113" s="67" t="s">
        <v>111</v>
      </c>
      <c r="C113" s="83">
        <v>18000</v>
      </c>
      <c r="D113" s="83">
        <v>18000</v>
      </c>
      <c r="E113" s="83">
        <v>6156</v>
      </c>
    </row>
    <row r="114" spans="1:5" ht="13.5" thickBot="1">
      <c r="A114" s="50" t="s">
        <v>112</v>
      </c>
      <c r="B114" s="51"/>
      <c r="C114" s="151">
        <f>SUM(C115:C122)</f>
        <v>104940</v>
      </c>
      <c r="D114" s="151">
        <f>SUM(D115:D122)</f>
        <v>104940</v>
      </c>
      <c r="E114" s="151">
        <f>SUM(E115:E122)</f>
        <v>20830</v>
      </c>
    </row>
    <row r="115" spans="1:5" ht="12.75">
      <c r="A115" s="76" t="s">
        <v>113</v>
      </c>
      <c r="B115" s="53" t="s">
        <v>114</v>
      </c>
      <c r="C115" s="152">
        <f>67500-1800</f>
        <v>65700</v>
      </c>
      <c r="D115" s="152">
        <f>67500-1800</f>
        <v>65700</v>
      </c>
      <c r="E115" s="152">
        <v>14060</v>
      </c>
    </row>
    <row r="116" spans="1:6" ht="12.75">
      <c r="A116" s="56" t="s">
        <v>113</v>
      </c>
      <c r="B116" s="36" t="s">
        <v>115</v>
      </c>
      <c r="C116" s="153">
        <v>1800</v>
      </c>
      <c r="D116" s="153">
        <v>1800</v>
      </c>
      <c r="E116" s="153">
        <v>0</v>
      </c>
      <c r="F116" s="114">
        <f>SUM(D115:D116)</f>
        <v>67500</v>
      </c>
    </row>
    <row r="117" spans="1:5" ht="13.5" thickBot="1">
      <c r="A117" s="72" t="s">
        <v>116</v>
      </c>
      <c r="B117" s="73" t="s">
        <v>117</v>
      </c>
      <c r="C117" s="158">
        <v>12000</v>
      </c>
      <c r="D117" s="158">
        <v>12000</v>
      </c>
      <c r="E117" s="158">
        <v>2824</v>
      </c>
    </row>
    <row r="118" spans="1:5" ht="12.75">
      <c r="A118" s="76" t="s">
        <v>197</v>
      </c>
      <c r="B118" s="53" t="s">
        <v>118</v>
      </c>
      <c r="C118" s="152">
        <v>300</v>
      </c>
      <c r="D118" s="152">
        <v>300</v>
      </c>
      <c r="E118" s="152">
        <v>0</v>
      </c>
    </row>
    <row r="119" spans="1:5" ht="12.75">
      <c r="A119" s="56" t="s">
        <v>119</v>
      </c>
      <c r="B119" s="36" t="s">
        <v>120</v>
      </c>
      <c r="C119" s="153">
        <v>17240</v>
      </c>
      <c r="D119" s="153">
        <v>17240</v>
      </c>
      <c r="E119" s="153">
        <v>2369</v>
      </c>
    </row>
    <row r="120" spans="1:5" ht="12.75">
      <c r="A120" s="56" t="s">
        <v>121</v>
      </c>
      <c r="B120" s="36" t="s">
        <v>122</v>
      </c>
      <c r="C120" s="153">
        <v>7200</v>
      </c>
      <c r="D120" s="153">
        <v>7200</v>
      </c>
      <c r="E120" s="153">
        <v>1577</v>
      </c>
    </row>
    <row r="121" spans="1:5" ht="12.75">
      <c r="A121" s="56" t="s">
        <v>123</v>
      </c>
      <c r="B121" s="36" t="s">
        <v>124</v>
      </c>
      <c r="C121" s="153">
        <v>400</v>
      </c>
      <c r="D121" s="153">
        <v>400</v>
      </c>
      <c r="E121" s="153">
        <v>0</v>
      </c>
    </row>
    <row r="122" spans="1:5" ht="13.5" thickBot="1">
      <c r="A122" s="72" t="s">
        <v>125</v>
      </c>
      <c r="B122" s="73" t="s">
        <v>126</v>
      </c>
      <c r="C122" s="158">
        <v>300</v>
      </c>
      <c r="D122" s="158">
        <v>300</v>
      </c>
      <c r="E122" s="158">
        <v>0</v>
      </c>
    </row>
    <row r="123" spans="1:5" ht="16.5" thickBot="1">
      <c r="A123" s="84" t="s">
        <v>127</v>
      </c>
      <c r="B123" s="85"/>
      <c r="C123" s="159">
        <f>SUM(C71+C76+C78+C80+C87+C91+C93+C109+C114)</f>
        <v>998990</v>
      </c>
      <c r="D123" s="159">
        <f>SUM(D71+D76+D78+D80+D87+D91+D93+D109+D114)</f>
        <v>999080</v>
      </c>
      <c r="E123" s="159">
        <f>SUM(E71+E76+E78+E80+E87+E91+E93+E109+E114)</f>
        <v>189381.5</v>
      </c>
    </row>
    <row r="124" spans="1:5" ht="12.75">
      <c r="A124" s="86" t="s">
        <v>105</v>
      </c>
      <c r="B124" s="87" t="s">
        <v>128</v>
      </c>
      <c r="C124" s="160">
        <f>C50+C62+C64+C42</f>
        <v>355709</v>
      </c>
      <c r="D124" s="198">
        <f>D50+D62+D64+D42</f>
        <v>380206</v>
      </c>
      <c r="E124" s="160">
        <f>62689</f>
        <v>62689</v>
      </c>
    </row>
    <row r="125" spans="1:5" ht="12.75">
      <c r="A125" s="88" t="s">
        <v>129</v>
      </c>
      <c r="B125" s="41" t="s">
        <v>130</v>
      </c>
      <c r="C125" s="161">
        <v>17000</v>
      </c>
      <c r="D125" s="161">
        <v>17000</v>
      </c>
      <c r="E125" s="161">
        <v>3207</v>
      </c>
    </row>
    <row r="126" spans="1:5" ht="13.5" thickBot="1">
      <c r="A126" s="314" t="s">
        <v>131</v>
      </c>
      <c r="B126" s="315"/>
      <c r="C126" s="162">
        <f>SUM(C124:C125)</f>
        <v>372709</v>
      </c>
      <c r="D126" s="162">
        <f>SUM(D124:D125)</f>
        <v>397206</v>
      </c>
      <c r="E126" s="162">
        <f>SUM(E124:E125)</f>
        <v>65896</v>
      </c>
    </row>
    <row r="127" spans="1:5" ht="16.5" thickBot="1">
      <c r="A127" s="89" t="s">
        <v>132</v>
      </c>
      <c r="B127" s="63"/>
      <c r="C127" s="163">
        <f>C123+C126</f>
        <v>1371699</v>
      </c>
      <c r="D127" s="163">
        <f>D123+D126</f>
        <v>1396286</v>
      </c>
      <c r="E127" s="163">
        <f>E123+E126</f>
        <v>255277.5</v>
      </c>
    </row>
    <row r="129" ht="12.75">
      <c r="D129" s="114"/>
    </row>
    <row r="130" spans="1:5" ht="13.5" thickBot="1">
      <c r="A130" s="90"/>
      <c r="B130" s="91"/>
      <c r="C130" s="91"/>
      <c r="D130" s="91"/>
      <c r="E130" s="91"/>
    </row>
    <row r="131" spans="1:5" ht="18.75" thickBot="1">
      <c r="A131" s="340" t="s">
        <v>133</v>
      </c>
      <c r="B131" s="341"/>
      <c r="C131" s="341"/>
      <c r="D131" s="341"/>
      <c r="E131" s="342"/>
    </row>
    <row r="132" spans="1:5" ht="12.75">
      <c r="A132" s="301" t="s">
        <v>1</v>
      </c>
      <c r="B132" s="302"/>
      <c r="C132" s="305" t="s">
        <v>207</v>
      </c>
      <c r="D132" s="305" t="s">
        <v>208</v>
      </c>
      <c r="E132" s="305" t="s">
        <v>250</v>
      </c>
    </row>
    <row r="133" spans="1:5" ht="13.5" thickBot="1">
      <c r="A133" s="321"/>
      <c r="B133" s="322"/>
      <c r="C133" s="306"/>
      <c r="D133" s="306"/>
      <c r="E133" s="306"/>
    </row>
    <row r="134" spans="1:5" ht="16.5" thickBot="1">
      <c r="A134" s="316" t="s">
        <v>134</v>
      </c>
      <c r="B134" s="317"/>
      <c r="C134" s="164">
        <f>SUM(C135:C137)</f>
        <v>536820</v>
      </c>
      <c r="D134" s="164">
        <f>SUM(D135:D137)</f>
        <v>537820</v>
      </c>
      <c r="E134" s="164">
        <f>SUM(E135:E137)</f>
        <v>63</v>
      </c>
    </row>
    <row r="135" spans="1:5" ht="13.5" thickBot="1">
      <c r="A135" s="92">
        <v>230</v>
      </c>
      <c r="B135" s="93" t="s">
        <v>135</v>
      </c>
      <c r="C135" s="165">
        <v>30000</v>
      </c>
      <c r="D135" s="199">
        <v>31000</v>
      </c>
      <c r="E135" s="165">
        <v>63</v>
      </c>
    </row>
    <row r="136" spans="1:5" ht="12.75">
      <c r="A136" s="35">
        <v>322</v>
      </c>
      <c r="B136" s="53" t="s">
        <v>136</v>
      </c>
      <c r="C136" s="166">
        <v>326446</v>
      </c>
      <c r="D136" s="166">
        <v>326446</v>
      </c>
      <c r="E136" s="166"/>
    </row>
    <row r="137" spans="1:5" ht="13.5" thickBot="1">
      <c r="A137" s="200">
        <v>322</v>
      </c>
      <c r="B137" s="73" t="s">
        <v>138</v>
      </c>
      <c r="C137" s="201">
        <v>180374</v>
      </c>
      <c r="D137" s="201">
        <v>180374</v>
      </c>
      <c r="E137" s="201"/>
    </row>
    <row r="138" spans="1:5" ht="16.5" thickBot="1">
      <c r="A138" s="316" t="s">
        <v>139</v>
      </c>
      <c r="B138" s="317"/>
      <c r="C138" s="164">
        <f>SUM(C139:C145)</f>
        <v>692978</v>
      </c>
      <c r="D138" s="164">
        <f>SUM(D139:D145)</f>
        <v>692978</v>
      </c>
      <c r="E138" s="164">
        <f>SUM(E139:E145)</f>
        <v>0</v>
      </c>
    </row>
    <row r="139" spans="1:5" ht="12.75">
      <c r="A139" s="56" t="s">
        <v>66</v>
      </c>
      <c r="B139" s="8" t="s">
        <v>140</v>
      </c>
      <c r="C139" s="168">
        <v>0</v>
      </c>
      <c r="D139" s="168">
        <v>0</v>
      </c>
      <c r="E139" s="168"/>
    </row>
    <row r="140" spans="1:5" ht="12.75">
      <c r="A140" s="94" t="s">
        <v>66</v>
      </c>
      <c r="B140" s="8" t="s">
        <v>141</v>
      </c>
      <c r="C140" s="168">
        <v>30000</v>
      </c>
      <c r="D140" s="168">
        <v>30000</v>
      </c>
      <c r="E140" s="168"/>
    </row>
    <row r="141" spans="1:5" ht="12.75">
      <c r="A141" s="52" t="s">
        <v>66</v>
      </c>
      <c r="B141" s="96" t="s">
        <v>203</v>
      </c>
      <c r="C141" s="169">
        <v>1420</v>
      </c>
      <c r="D141" s="169">
        <v>1420</v>
      </c>
      <c r="E141" s="169"/>
    </row>
    <row r="142" spans="1:5" ht="12.75">
      <c r="A142" s="52" t="s">
        <v>72</v>
      </c>
      <c r="B142" s="5" t="s">
        <v>142</v>
      </c>
      <c r="C142" s="168">
        <f>377688+30000</f>
        <v>407688</v>
      </c>
      <c r="D142" s="168">
        <f>377688+30000</f>
        <v>407688</v>
      </c>
      <c r="E142" s="168"/>
    </row>
    <row r="143" spans="1:5" ht="12.75">
      <c r="A143" s="82" t="s">
        <v>73</v>
      </c>
      <c r="B143" s="95" t="s">
        <v>143</v>
      </c>
      <c r="C143" s="168">
        <v>30000</v>
      </c>
      <c r="D143" s="168">
        <v>30000</v>
      </c>
      <c r="E143" s="168"/>
    </row>
    <row r="144" spans="1:6" ht="12.75">
      <c r="A144" s="54" t="s">
        <v>78</v>
      </c>
      <c r="B144" s="8" t="s">
        <v>144</v>
      </c>
      <c r="C144" s="168">
        <v>189870</v>
      </c>
      <c r="D144" s="168">
        <v>189870</v>
      </c>
      <c r="E144" s="168"/>
      <c r="F144" s="176"/>
    </row>
    <row r="145" spans="1:6" ht="13.5" thickBot="1">
      <c r="A145" s="178" t="s">
        <v>103</v>
      </c>
      <c r="B145" s="18" t="s">
        <v>204</v>
      </c>
      <c r="C145" s="179">
        <v>34000</v>
      </c>
      <c r="D145" s="179">
        <v>34000</v>
      </c>
      <c r="E145" s="179"/>
      <c r="F145" s="176"/>
    </row>
    <row r="148" spans="1:5" ht="13.5" thickBot="1">
      <c r="A148" s="97"/>
      <c r="B148" s="98"/>
      <c r="C148" s="98"/>
      <c r="D148" s="98"/>
      <c r="E148" s="98"/>
    </row>
    <row r="149" spans="1:5" ht="18.75" thickBot="1">
      <c r="A149" s="318" t="s">
        <v>145</v>
      </c>
      <c r="B149" s="319"/>
      <c r="C149" s="319"/>
      <c r="D149" s="319"/>
      <c r="E149" s="320"/>
    </row>
    <row r="150" spans="1:5" ht="12.75">
      <c r="A150" s="301" t="s">
        <v>1</v>
      </c>
      <c r="B150" s="302"/>
      <c r="C150" s="305" t="s">
        <v>207</v>
      </c>
      <c r="D150" s="305" t="s">
        <v>208</v>
      </c>
      <c r="E150" s="305" t="s">
        <v>250</v>
      </c>
    </row>
    <row r="151" spans="1:5" ht="13.5" thickBot="1">
      <c r="A151" s="321"/>
      <c r="B151" s="322"/>
      <c r="C151" s="306"/>
      <c r="D151" s="306"/>
      <c r="E151" s="306"/>
    </row>
    <row r="152" spans="1:5" ht="16.5" thickBot="1">
      <c r="A152" s="323" t="s">
        <v>146</v>
      </c>
      <c r="B152" s="324"/>
      <c r="C152" s="170">
        <f>SUM(C153:C154)</f>
        <v>182000</v>
      </c>
      <c r="D152" s="170">
        <f>SUM(D153:D154)</f>
        <v>175000</v>
      </c>
      <c r="E152" s="170">
        <f>SUM(E153:E154)</f>
        <v>3805</v>
      </c>
    </row>
    <row r="153" spans="1:5" ht="12.75">
      <c r="A153" s="102">
        <v>454</v>
      </c>
      <c r="B153" s="38" t="s">
        <v>148</v>
      </c>
      <c r="C153" s="171">
        <v>129000</v>
      </c>
      <c r="D153" s="206">
        <f>129000+2100+900</f>
        <v>132000</v>
      </c>
      <c r="E153" s="171">
        <v>0</v>
      </c>
    </row>
    <row r="154" spans="1:5" ht="13.5" thickBot="1">
      <c r="A154" s="103">
        <v>513</v>
      </c>
      <c r="B154" s="104" t="s">
        <v>149</v>
      </c>
      <c r="C154" s="172">
        <f>22000+31000</f>
        <v>53000</v>
      </c>
      <c r="D154" s="202">
        <v>43000</v>
      </c>
      <c r="E154" s="172">
        <v>3805</v>
      </c>
    </row>
    <row r="155" spans="1:5" ht="16.5" thickBot="1">
      <c r="A155" s="323" t="s">
        <v>150</v>
      </c>
      <c r="B155" s="324"/>
      <c r="C155" s="170">
        <f>SUM(C156:C157)</f>
        <v>33900</v>
      </c>
      <c r="D155" s="170">
        <f>SUM(D156:D157)</f>
        <v>33900</v>
      </c>
      <c r="E155" s="170">
        <f>SUM(E156:E157)</f>
        <v>7910</v>
      </c>
    </row>
    <row r="156" spans="1:5" ht="12.75">
      <c r="A156" s="105">
        <v>821</v>
      </c>
      <c r="B156" s="100" t="s">
        <v>151</v>
      </c>
      <c r="C156" s="106">
        <v>33000</v>
      </c>
      <c r="D156" s="106">
        <v>33000</v>
      </c>
      <c r="E156" s="106">
        <v>7736</v>
      </c>
    </row>
    <row r="157" spans="1:5" ht="13.5" thickBot="1">
      <c r="A157" s="25">
        <v>821</v>
      </c>
      <c r="B157" s="107" t="s">
        <v>152</v>
      </c>
      <c r="C157" s="175">
        <v>900</v>
      </c>
      <c r="D157" s="175">
        <v>900</v>
      </c>
      <c r="E157" s="175">
        <v>174</v>
      </c>
    </row>
    <row r="158" spans="1:5" ht="15.75">
      <c r="A158" s="47"/>
      <c r="B158" s="90"/>
      <c r="C158" s="90"/>
      <c r="D158" s="90"/>
      <c r="E158" s="90"/>
    </row>
    <row r="159" spans="1:5" ht="15.75">
      <c r="A159" s="47"/>
      <c r="B159" s="90"/>
      <c r="C159" s="90"/>
      <c r="D159" s="90"/>
      <c r="E159" s="90"/>
    </row>
    <row r="160" spans="2:5" ht="13.5" thickBot="1">
      <c r="B160" s="91"/>
      <c r="C160" s="91"/>
      <c r="D160" s="91"/>
      <c r="E160" s="91"/>
    </row>
    <row r="161" spans="1:5" ht="18.75" thickBot="1">
      <c r="A161" s="325" t="s">
        <v>153</v>
      </c>
      <c r="B161" s="326"/>
      <c r="C161" s="326"/>
      <c r="D161" s="326"/>
      <c r="E161" s="327"/>
    </row>
    <row r="162" spans="1:5" ht="12.75">
      <c r="A162" s="301" t="s">
        <v>1</v>
      </c>
      <c r="B162" s="302"/>
      <c r="C162" s="305" t="s">
        <v>207</v>
      </c>
      <c r="D162" s="305" t="s">
        <v>208</v>
      </c>
      <c r="E162" s="305" t="s">
        <v>250</v>
      </c>
    </row>
    <row r="163" spans="1:5" ht="13.5" thickBot="1">
      <c r="A163" s="328"/>
      <c r="B163" s="329"/>
      <c r="C163" s="306"/>
      <c r="D163" s="306"/>
      <c r="E163" s="306"/>
    </row>
    <row r="164" spans="1:5" ht="15">
      <c r="A164" s="108" t="s">
        <v>154</v>
      </c>
      <c r="B164" s="15"/>
      <c r="C164" s="70">
        <f>C65</f>
        <v>1379757</v>
      </c>
      <c r="D164" s="70">
        <f>D65</f>
        <v>1410344</v>
      </c>
      <c r="E164" s="70">
        <f>E65</f>
        <v>360396</v>
      </c>
    </row>
    <row r="165" spans="1:5" ht="15">
      <c r="A165" s="109" t="s">
        <v>155</v>
      </c>
      <c r="B165" s="8"/>
      <c r="C165" s="55">
        <f>C127</f>
        <v>1371699</v>
      </c>
      <c r="D165" s="55">
        <f>D127</f>
        <v>1396286</v>
      </c>
      <c r="E165" s="55">
        <f>E127</f>
        <v>255277.5</v>
      </c>
    </row>
    <row r="166" spans="1:5" ht="15.75">
      <c r="A166" s="330" t="s">
        <v>156</v>
      </c>
      <c r="B166" s="331"/>
      <c r="C166" s="110">
        <f>C164-C165</f>
        <v>8058</v>
      </c>
      <c r="D166" s="110">
        <f>D164-D165</f>
        <v>14058</v>
      </c>
      <c r="E166" s="110">
        <f>E164-E165</f>
        <v>105118.5</v>
      </c>
    </row>
    <row r="167" spans="1:5" ht="15">
      <c r="A167" s="109" t="s">
        <v>157</v>
      </c>
      <c r="B167" s="8"/>
      <c r="C167" s="55">
        <f>C134</f>
        <v>536820</v>
      </c>
      <c r="D167" s="55">
        <f>D134</f>
        <v>537820</v>
      </c>
      <c r="E167" s="55">
        <f>E134</f>
        <v>63</v>
      </c>
    </row>
    <row r="168" spans="1:5" ht="15">
      <c r="A168" s="109" t="s">
        <v>158</v>
      </c>
      <c r="B168" s="8"/>
      <c r="C168" s="9">
        <f>C138</f>
        <v>692978</v>
      </c>
      <c r="D168" s="9">
        <f>D138</f>
        <v>692978</v>
      </c>
      <c r="E168" s="9">
        <f>E138</f>
        <v>0</v>
      </c>
    </row>
    <row r="169" spans="1:5" ht="15.75">
      <c r="A169" s="332" t="s">
        <v>159</v>
      </c>
      <c r="B169" s="333"/>
      <c r="C169" s="110">
        <f>C167-C168</f>
        <v>-156158</v>
      </c>
      <c r="D169" s="110">
        <f>D167-D168</f>
        <v>-155158</v>
      </c>
      <c r="E169" s="110">
        <f>E167-E168</f>
        <v>63</v>
      </c>
    </row>
    <row r="170" spans="1:5" ht="15">
      <c r="A170" s="334" t="s">
        <v>160</v>
      </c>
      <c r="B170" s="335"/>
      <c r="C170" s="65">
        <f>C152</f>
        <v>182000</v>
      </c>
      <c r="D170" s="65">
        <f>D152</f>
        <v>175000</v>
      </c>
      <c r="E170" s="65">
        <f>E152</f>
        <v>3805</v>
      </c>
    </row>
    <row r="171" spans="1:5" ht="15">
      <c r="A171" s="334" t="s">
        <v>161</v>
      </c>
      <c r="B171" s="335"/>
      <c r="C171" s="65">
        <f>C155</f>
        <v>33900</v>
      </c>
      <c r="D171" s="65">
        <f>D155</f>
        <v>33900</v>
      </c>
      <c r="E171" s="65">
        <f>E155</f>
        <v>7910</v>
      </c>
    </row>
    <row r="172" spans="1:5" ht="16.5" thickBot="1">
      <c r="A172" s="336" t="s">
        <v>162</v>
      </c>
      <c r="B172" s="337"/>
      <c r="C172" s="111">
        <f>C170-C171</f>
        <v>148100</v>
      </c>
      <c r="D172" s="111">
        <f>D170-D171</f>
        <v>141100</v>
      </c>
      <c r="E172" s="111">
        <f>E170-E171</f>
        <v>-4105</v>
      </c>
    </row>
    <row r="173" spans="1:5" ht="16.5" thickBot="1">
      <c r="A173" s="338" t="s">
        <v>163</v>
      </c>
      <c r="B173" s="339"/>
      <c r="C173" s="112">
        <f>C166+C169+C172</f>
        <v>0</v>
      </c>
      <c r="D173" s="112">
        <f>D166+D169+D172</f>
        <v>0</v>
      </c>
      <c r="E173" s="112">
        <f>E166+E169+E172</f>
        <v>101076.5</v>
      </c>
    </row>
    <row r="175" spans="2:5" ht="12.75">
      <c r="B175" s="113" t="s">
        <v>164</v>
      </c>
      <c r="C175" s="114">
        <f aca="true" t="shared" si="0" ref="C175:E176">C164+C167+C170</f>
        <v>2098577</v>
      </c>
      <c r="D175" s="114">
        <f t="shared" si="0"/>
        <v>2123164</v>
      </c>
      <c r="E175" s="114">
        <f t="shared" si="0"/>
        <v>364264</v>
      </c>
    </row>
    <row r="176" spans="2:5" ht="12.75">
      <c r="B176" s="113" t="s">
        <v>165</v>
      </c>
      <c r="C176" s="114">
        <f t="shared" si="0"/>
        <v>2098577</v>
      </c>
      <c r="D176" s="114">
        <f t="shared" si="0"/>
        <v>2123164</v>
      </c>
      <c r="E176" s="114">
        <f t="shared" si="0"/>
        <v>263187.5</v>
      </c>
    </row>
    <row r="177" spans="2:5" ht="12.75">
      <c r="B177" s="113"/>
      <c r="C177" s="114"/>
      <c r="D177" s="114"/>
      <c r="E177" s="114"/>
    </row>
    <row r="178" spans="2:5" ht="12.75">
      <c r="B178" s="113" t="s">
        <v>166</v>
      </c>
      <c r="C178" s="114">
        <f>C175-C64</f>
        <v>2097677</v>
      </c>
      <c r="D178" s="114">
        <f>D175-D64</f>
        <v>2122264</v>
      </c>
      <c r="E178" s="114">
        <f>E175-E64</f>
        <v>364264</v>
      </c>
    </row>
    <row r="179" spans="2:5" ht="12.75">
      <c r="B179" s="113" t="s">
        <v>167</v>
      </c>
      <c r="C179" s="114">
        <f>C176-C126</f>
        <v>1725868</v>
      </c>
      <c r="D179" s="114">
        <f>D176-D126</f>
        <v>1725958</v>
      </c>
      <c r="E179" s="114">
        <f>E176-E126</f>
        <v>197291.5</v>
      </c>
    </row>
    <row r="180" ht="12.75">
      <c r="D180" s="114"/>
    </row>
    <row r="181" spans="2:4" ht="12.75">
      <c r="B181" t="s">
        <v>196</v>
      </c>
      <c r="D181" s="114"/>
    </row>
    <row r="182" spans="2:5" ht="12.75">
      <c r="B182" s="296" t="s">
        <v>205</v>
      </c>
      <c r="C182" s="296"/>
      <c r="D182" s="296"/>
      <c r="E182" s="296"/>
    </row>
    <row r="183" spans="2:5" ht="12.75">
      <c r="B183" s="296" t="s">
        <v>263</v>
      </c>
      <c r="C183" s="296"/>
      <c r="D183" s="296"/>
      <c r="E183" s="296"/>
    </row>
  </sheetData>
  <sheetProtection/>
  <mergeCells count="46">
    <mergeCell ref="A1:E1"/>
    <mergeCell ref="A3:E3"/>
    <mergeCell ref="A4:B5"/>
    <mergeCell ref="C4:C5"/>
    <mergeCell ref="D4:D5"/>
    <mergeCell ref="E4:E5"/>
    <mergeCell ref="A68:E68"/>
    <mergeCell ref="A69:B70"/>
    <mergeCell ref="C69:C70"/>
    <mergeCell ref="D69:D70"/>
    <mergeCell ref="E69:E70"/>
    <mergeCell ref="A6:B6"/>
    <mergeCell ref="A14:B14"/>
    <mergeCell ref="A32:B32"/>
    <mergeCell ref="A34:B34"/>
    <mergeCell ref="A131:E131"/>
    <mergeCell ref="A132:B133"/>
    <mergeCell ref="C132:C133"/>
    <mergeCell ref="D132:D133"/>
    <mergeCell ref="E132:E133"/>
    <mergeCell ref="A76:B76"/>
    <mergeCell ref="A78:B78"/>
    <mergeCell ref="A109:B109"/>
    <mergeCell ref="A126:B126"/>
    <mergeCell ref="A134:B134"/>
    <mergeCell ref="A138:B138"/>
    <mergeCell ref="A149:E149"/>
    <mergeCell ref="A150:B151"/>
    <mergeCell ref="C150:C151"/>
    <mergeCell ref="D150:D151"/>
    <mergeCell ref="E150:E151"/>
    <mergeCell ref="A152:B152"/>
    <mergeCell ref="A155:B155"/>
    <mergeCell ref="A161:E161"/>
    <mergeCell ref="A162:B163"/>
    <mergeCell ref="C162:C163"/>
    <mergeCell ref="D162:D163"/>
    <mergeCell ref="E162:E163"/>
    <mergeCell ref="B182:E182"/>
    <mergeCell ref="B183:E183"/>
    <mergeCell ref="A166:B166"/>
    <mergeCell ref="A169:B169"/>
    <mergeCell ref="A170:B170"/>
    <mergeCell ref="A171:B171"/>
    <mergeCell ref="A172:B172"/>
    <mergeCell ref="A173:B173"/>
  </mergeCells>
  <printOptions/>
  <pageMargins left="0.75" right="0.75" top="0.57" bottom="0.64" header="0.4921259845" footer="0.492125984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57421875" style="0" customWidth="1"/>
    <col min="2" max="2" width="44.8515625" style="0" customWidth="1"/>
    <col min="3" max="3" width="12.57421875" style="0" customWidth="1"/>
    <col min="4" max="4" width="11.28125" style="0" customWidth="1"/>
    <col min="5" max="5" width="12.57421875" style="0" customWidth="1"/>
  </cols>
  <sheetData>
    <row r="1" spans="1:5" ht="20.25">
      <c r="A1" s="297" t="s">
        <v>179</v>
      </c>
      <c r="B1" s="297"/>
      <c r="C1" s="297"/>
      <c r="D1" s="297"/>
      <c r="E1" s="297"/>
    </row>
    <row r="2" ht="13.5" thickBot="1">
      <c r="E2" s="134"/>
    </row>
    <row r="3" spans="1:5" ht="18.75" thickBot="1">
      <c r="A3" s="298" t="s">
        <v>0</v>
      </c>
      <c r="B3" s="299"/>
      <c r="C3" s="299"/>
      <c r="D3" s="299"/>
      <c r="E3" s="300"/>
    </row>
    <row r="4" spans="1:5" ht="12.75">
      <c r="A4" s="301" t="s">
        <v>1</v>
      </c>
      <c r="B4" s="302"/>
      <c r="C4" s="305">
        <v>2014</v>
      </c>
      <c r="D4" s="305">
        <v>2015</v>
      </c>
      <c r="E4" s="305">
        <v>2016</v>
      </c>
    </row>
    <row r="5" spans="1:5" ht="13.5" thickBot="1">
      <c r="A5" s="303"/>
      <c r="B5" s="304"/>
      <c r="C5" s="306"/>
      <c r="D5" s="306"/>
      <c r="E5" s="306"/>
    </row>
    <row r="6" spans="1:5" ht="13.5" thickBot="1">
      <c r="A6" s="310" t="s">
        <v>2</v>
      </c>
      <c r="B6" s="311"/>
      <c r="C6" s="135">
        <f>SUM(C7:C13)</f>
        <v>752553</v>
      </c>
      <c r="D6" s="135">
        <f>SUM(D7:D13)</f>
        <v>753753</v>
      </c>
      <c r="E6" s="135">
        <f>SUM(E7:E13)</f>
        <v>753753</v>
      </c>
    </row>
    <row r="7" spans="1:5" ht="13.5" thickBot="1">
      <c r="A7" s="1">
        <v>111</v>
      </c>
      <c r="B7" s="2" t="s">
        <v>3</v>
      </c>
      <c r="C7" s="3">
        <v>700000</v>
      </c>
      <c r="D7" s="3">
        <v>700000</v>
      </c>
      <c r="E7" s="3">
        <v>700000</v>
      </c>
    </row>
    <row r="8" spans="1:5" ht="13.5" thickBot="1">
      <c r="A8" s="20">
        <v>121</v>
      </c>
      <c r="B8" s="21" t="s">
        <v>181</v>
      </c>
      <c r="C8" s="23">
        <v>30273</v>
      </c>
      <c r="D8" s="23">
        <v>30273</v>
      </c>
      <c r="E8" s="23">
        <v>30273</v>
      </c>
    </row>
    <row r="9" spans="1:5" ht="12.75">
      <c r="A9" s="4">
        <v>133</v>
      </c>
      <c r="B9" s="5" t="s">
        <v>4</v>
      </c>
      <c r="C9" s="6">
        <v>1000</v>
      </c>
      <c r="D9" s="6">
        <v>1000</v>
      </c>
      <c r="E9" s="6">
        <v>1000</v>
      </c>
    </row>
    <row r="10" spans="1:5" ht="12.75">
      <c r="A10" s="7">
        <v>133</v>
      </c>
      <c r="B10" s="8" t="s">
        <v>5</v>
      </c>
      <c r="C10" s="9">
        <v>280</v>
      </c>
      <c r="D10" s="9">
        <v>280</v>
      </c>
      <c r="E10" s="9">
        <v>280</v>
      </c>
    </row>
    <row r="11" spans="1:5" ht="12.75">
      <c r="A11" s="7">
        <v>133</v>
      </c>
      <c r="B11" s="8" t="s">
        <v>6</v>
      </c>
      <c r="C11" s="9">
        <v>1000</v>
      </c>
      <c r="D11" s="9">
        <v>1200</v>
      </c>
      <c r="E11" s="9">
        <v>1200</v>
      </c>
    </row>
    <row r="12" spans="1:5" ht="12.75">
      <c r="A12" s="7">
        <v>133</v>
      </c>
      <c r="B12" s="8" t="s">
        <v>7</v>
      </c>
      <c r="C12" s="9">
        <v>5000</v>
      </c>
      <c r="D12" s="9">
        <v>5000</v>
      </c>
      <c r="E12" s="9">
        <v>5000</v>
      </c>
    </row>
    <row r="13" spans="1:5" ht="13.5" thickBot="1">
      <c r="A13" s="10">
        <v>133</v>
      </c>
      <c r="B13" s="11" t="s">
        <v>8</v>
      </c>
      <c r="C13" s="13">
        <v>15000</v>
      </c>
      <c r="D13" s="12">
        <v>16000</v>
      </c>
      <c r="E13" s="12">
        <v>16000</v>
      </c>
    </row>
    <row r="14" spans="1:5" ht="13.5" thickBot="1">
      <c r="A14" s="310" t="s">
        <v>9</v>
      </c>
      <c r="B14" s="311"/>
      <c r="C14" s="135">
        <f>SUM(C15:C31)</f>
        <v>119460</v>
      </c>
      <c r="D14" s="135">
        <f>SUM(D15:D31)</f>
        <v>124460</v>
      </c>
      <c r="E14" s="135">
        <f>SUM(E15:E31)</f>
        <v>119460</v>
      </c>
    </row>
    <row r="15" spans="1:5" ht="12.75">
      <c r="A15" s="14">
        <v>212</v>
      </c>
      <c r="B15" s="15" t="s">
        <v>10</v>
      </c>
      <c r="C15" s="16">
        <v>490</v>
      </c>
      <c r="D15" s="16">
        <v>490</v>
      </c>
      <c r="E15" s="16">
        <v>490</v>
      </c>
    </row>
    <row r="16" spans="1:5" ht="12.75">
      <c r="A16" s="4">
        <v>212</v>
      </c>
      <c r="B16" s="5" t="s">
        <v>11</v>
      </c>
      <c r="C16" s="6">
        <v>200</v>
      </c>
      <c r="D16" s="6">
        <v>200</v>
      </c>
      <c r="E16" s="6">
        <v>200</v>
      </c>
    </row>
    <row r="17" spans="1:5" ht="12.75">
      <c r="A17" s="7">
        <v>212</v>
      </c>
      <c r="B17" s="8" t="s">
        <v>12</v>
      </c>
      <c r="C17" s="9">
        <v>3900</v>
      </c>
      <c r="D17" s="9">
        <v>3900</v>
      </c>
      <c r="E17" s="9">
        <v>3900</v>
      </c>
    </row>
    <row r="18" spans="1:5" ht="12.75">
      <c r="A18" s="7">
        <v>212</v>
      </c>
      <c r="B18" s="8" t="s">
        <v>198</v>
      </c>
      <c r="C18" s="9">
        <v>12200</v>
      </c>
      <c r="D18" s="9">
        <v>12200</v>
      </c>
      <c r="E18" s="9">
        <v>12200</v>
      </c>
    </row>
    <row r="19" spans="1:5" ht="13.5" thickBot="1">
      <c r="A19" s="17">
        <v>212</v>
      </c>
      <c r="B19" s="18" t="s">
        <v>199</v>
      </c>
      <c r="C19" s="19">
        <v>20</v>
      </c>
      <c r="D19" s="19">
        <v>20</v>
      </c>
      <c r="E19" s="19">
        <v>20</v>
      </c>
    </row>
    <row r="20" spans="1:5" ht="13.5" thickBot="1">
      <c r="A20" s="20">
        <v>221</v>
      </c>
      <c r="B20" s="21" t="s">
        <v>13</v>
      </c>
      <c r="C20" s="22">
        <v>10800</v>
      </c>
      <c r="D20" s="22">
        <v>10800</v>
      </c>
      <c r="E20" s="22">
        <v>10800</v>
      </c>
    </row>
    <row r="21" spans="1:5" ht="13.5" thickBot="1">
      <c r="A21" s="20">
        <v>222</v>
      </c>
      <c r="B21" s="21" t="s">
        <v>14</v>
      </c>
      <c r="C21" s="23">
        <v>500</v>
      </c>
      <c r="D21" s="23">
        <v>500</v>
      </c>
      <c r="E21" s="23">
        <v>500</v>
      </c>
    </row>
    <row r="22" spans="1:5" ht="12.75">
      <c r="A22" s="4">
        <v>223</v>
      </c>
      <c r="B22" s="5" t="s">
        <v>15</v>
      </c>
      <c r="C22" s="6">
        <v>900</v>
      </c>
      <c r="D22" s="6">
        <v>900</v>
      </c>
      <c r="E22" s="6">
        <v>900</v>
      </c>
    </row>
    <row r="23" spans="1:5" ht="12.75">
      <c r="A23" s="7">
        <v>223</v>
      </c>
      <c r="B23" s="8" t="s">
        <v>16</v>
      </c>
      <c r="C23" s="9">
        <v>11000</v>
      </c>
      <c r="D23" s="9">
        <v>11000</v>
      </c>
      <c r="E23" s="9">
        <v>11000</v>
      </c>
    </row>
    <row r="24" spans="1:5" ht="12.75">
      <c r="A24" s="7">
        <v>223</v>
      </c>
      <c r="B24" s="8" t="s">
        <v>17</v>
      </c>
      <c r="C24" s="9">
        <v>15500</v>
      </c>
      <c r="D24" s="9">
        <v>20500</v>
      </c>
      <c r="E24" s="9">
        <v>15500</v>
      </c>
    </row>
    <row r="25" spans="1:5" ht="12.75">
      <c r="A25" s="7">
        <v>223</v>
      </c>
      <c r="B25" s="8" t="s">
        <v>18</v>
      </c>
      <c r="C25" s="9">
        <v>200</v>
      </c>
      <c r="D25" s="9">
        <v>200</v>
      </c>
      <c r="E25" s="9">
        <v>200</v>
      </c>
    </row>
    <row r="26" spans="1:5" ht="12.75">
      <c r="A26" s="7">
        <v>223</v>
      </c>
      <c r="B26" s="8" t="s">
        <v>19</v>
      </c>
      <c r="C26" s="9">
        <v>600</v>
      </c>
      <c r="D26" s="9">
        <v>600</v>
      </c>
      <c r="E26" s="9">
        <v>600</v>
      </c>
    </row>
    <row r="27" spans="1:5" ht="12.75">
      <c r="A27" s="7">
        <v>223</v>
      </c>
      <c r="B27" s="8" t="s">
        <v>20</v>
      </c>
      <c r="C27" s="9">
        <v>30000</v>
      </c>
      <c r="D27" s="9">
        <v>30000</v>
      </c>
      <c r="E27" s="9">
        <v>30000</v>
      </c>
    </row>
    <row r="28" spans="1:5" ht="12.75">
      <c r="A28" s="7">
        <v>223</v>
      </c>
      <c r="B28" s="8" t="s">
        <v>21</v>
      </c>
      <c r="C28" s="9">
        <v>23050</v>
      </c>
      <c r="D28" s="9">
        <v>23050</v>
      </c>
      <c r="E28" s="9">
        <v>23050</v>
      </c>
    </row>
    <row r="29" spans="1:5" ht="12.75">
      <c r="A29" s="7">
        <v>223</v>
      </c>
      <c r="B29" s="8" t="s">
        <v>22</v>
      </c>
      <c r="C29" s="24">
        <v>9000</v>
      </c>
      <c r="D29" s="24">
        <v>9000</v>
      </c>
      <c r="E29" s="24">
        <v>9000</v>
      </c>
    </row>
    <row r="30" spans="1:5" ht="12.75">
      <c r="A30" s="7">
        <v>223</v>
      </c>
      <c r="B30" s="8" t="s">
        <v>23</v>
      </c>
      <c r="C30" s="9">
        <v>1000</v>
      </c>
      <c r="D30" s="9">
        <v>1000</v>
      </c>
      <c r="E30" s="9">
        <v>1000</v>
      </c>
    </row>
    <row r="31" spans="1:5" ht="13.5" thickBot="1">
      <c r="A31" s="10">
        <v>223</v>
      </c>
      <c r="B31" s="11" t="s">
        <v>24</v>
      </c>
      <c r="C31" s="12">
        <v>100</v>
      </c>
      <c r="D31" s="12">
        <v>100</v>
      </c>
      <c r="E31" s="12">
        <v>100</v>
      </c>
    </row>
    <row r="32" spans="1:5" ht="13.5" thickBot="1">
      <c r="A32" s="310" t="s">
        <v>25</v>
      </c>
      <c r="B32" s="311"/>
      <c r="C32" s="135">
        <f>SUM(C33)</f>
        <v>490</v>
      </c>
      <c r="D32" s="135">
        <f>SUM(D33)</f>
        <v>490</v>
      </c>
      <c r="E32" s="135">
        <f>SUM(E33)</f>
        <v>490</v>
      </c>
    </row>
    <row r="33" spans="1:5" ht="13.5" thickBot="1">
      <c r="A33" s="25">
        <v>240</v>
      </c>
      <c r="B33" s="18" t="s">
        <v>26</v>
      </c>
      <c r="C33" s="19">
        <v>490</v>
      </c>
      <c r="D33" s="19">
        <v>490</v>
      </c>
      <c r="E33" s="19">
        <v>490</v>
      </c>
    </row>
    <row r="34" spans="1:5" ht="13.5" thickBot="1">
      <c r="A34" s="310" t="s">
        <v>27</v>
      </c>
      <c r="B34" s="311"/>
      <c r="C34" s="135">
        <f>SUM(C35:C46)</f>
        <v>32789</v>
      </c>
      <c r="D34" s="135">
        <f>SUM(D35:D46)</f>
        <v>31280</v>
      </c>
      <c r="E34" s="135">
        <f>SUM(E35:E46)</f>
        <v>31280</v>
      </c>
    </row>
    <row r="35" spans="1:5" ht="12.75">
      <c r="A35" s="26">
        <v>292</v>
      </c>
      <c r="B35" s="27" t="s">
        <v>182</v>
      </c>
      <c r="C35" s="28">
        <v>200</v>
      </c>
      <c r="D35" s="28">
        <v>200</v>
      </c>
      <c r="E35" s="28">
        <v>200</v>
      </c>
    </row>
    <row r="36" spans="1:5" ht="12.75">
      <c r="A36" s="26">
        <v>292</v>
      </c>
      <c r="B36" s="27" t="s">
        <v>28</v>
      </c>
      <c r="C36" s="28">
        <v>100</v>
      </c>
      <c r="D36" s="28">
        <v>100</v>
      </c>
      <c r="E36" s="28">
        <v>100</v>
      </c>
    </row>
    <row r="37" spans="1:5" ht="12.75">
      <c r="A37" s="29">
        <v>292</v>
      </c>
      <c r="B37" s="30" t="s">
        <v>29</v>
      </c>
      <c r="C37" s="31">
        <v>5000</v>
      </c>
      <c r="D37" s="31">
        <v>5000</v>
      </c>
      <c r="E37" s="31">
        <v>5000</v>
      </c>
    </row>
    <row r="38" spans="1:5" ht="12.75">
      <c r="A38" s="29">
        <v>292</v>
      </c>
      <c r="B38" s="8" t="s">
        <v>183</v>
      </c>
      <c r="C38" s="32">
        <v>160</v>
      </c>
      <c r="D38" s="32">
        <v>160</v>
      </c>
      <c r="E38" s="136">
        <v>160</v>
      </c>
    </row>
    <row r="39" spans="1:5" ht="12.75">
      <c r="A39" s="29">
        <v>292</v>
      </c>
      <c r="B39" s="30" t="s">
        <v>184</v>
      </c>
      <c r="C39" s="31">
        <v>2000</v>
      </c>
      <c r="D39" s="31">
        <v>2000</v>
      </c>
      <c r="E39" s="31">
        <v>2000</v>
      </c>
    </row>
    <row r="40" spans="1:5" ht="12.75">
      <c r="A40" s="29">
        <v>292</v>
      </c>
      <c r="B40" s="30" t="s">
        <v>30</v>
      </c>
      <c r="C40" s="31">
        <v>300</v>
      </c>
      <c r="D40" s="31">
        <v>300</v>
      </c>
      <c r="E40" s="31">
        <v>300</v>
      </c>
    </row>
    <row r="41" spans="1:5" ht="12.75">
      <c r="A41" s="137">
        <v>292</v>
      </c>
      <c r="B41" s="138" t="s">
        <v>185</v>
      </c>
      <c r="C41" s="139">
        <v>1509</v>
      </c>
      <c r="D41" s="139">
        <v>0</v>
      </c>
      <c r="E41" s="139">
        <v>0</v>
      </c>
    </row>
    <row r="42" spans="1:5" ht="12.75">
      <c r="A42" s="29">
        <v>292</v>
      </c>
      <c r="B42" s="8" t="s">
        <v>31</v>
      </c>
      <c r="C42" s="32">
        <v>6800</v>
      </c>
      <c r="D42" s="32">
        <v>6800</v>
      </c>
      <c r="E42" s="32">
        <v>6800</v>
      </c>
    </row>
    <row r="43" spans="1:5" ht="12.75">
      <c r="A43" s="29">
        <v>292</v>
      </c>
      <c r="B43" s="8" t="s">
        <v>32</v>
      </c>
      <c r="C43" s="32">
        <v>2120</v>
      </c>
      <c r="D43" s="32">
        <v>2120</v>
      </c>
      <c r="E43" s="32">
        <v>2120</v>
      </c>
    </row>
    <row r="44" spans="1:5" ht="12.75">
      <c r="A44" s="29">
        <v>292</v>
      </c>
      <c r="B44" s="8" t="s">
        <v>33</v>
      </c>
      <c r="C44" s="32">
        <v>100</v>
      </c>
      <c r="D44" s="32">
        <v>100</v>
      </c>
      <c r="E44" s="32">
        <v>100</v>
      </c>
    </row>
    <row r="45" spans="1:5" ht="12.75">
      <c r="A45" s="7">
        <v>292</v>
      </c>
      <c r="B45" s="8" t="s">
        <v>186</v>
      </c>
      <c r="C45" s="9">
        <v>12000</v>
      </c>
      <c r="D45" s="9">
        <v>12000</v>
      </c>
      <c r="E45" s="9">
        <v>12000</v>
      </c>
    </row>
    <row r="46" spans="1:5" ht="13.5" thickBot="1">
      <c r="A46" s="29">
        <v>292</v>
      </c>
      <c r="B46" s="30" t="s">
        <v>187</v>
      </c>
      <c r="C46" s="31">
        <v>2500</v>
      </c>
      <c r="D46" s="31">
        <v>2500</v>
      </c>
      <c r="E46" s="31">
        <v>2500</v>
      </c>
    </row>
    <row r="47" spans="1:5" ht="13.5" thickBot="1">
      <c r="A47" s="33" t="s">
        <v>34</v>
      </c>
      <c r="B47" s="34"/>
      <c r="C47" s="140">
        <f>SUM(C48:C61)</f>
        <v>473565</v>
      </c>
      <c r="D47" s="140">
        <f>SUM(D48:D61)</f>
        <v>401500</v>
      </c>
      <c r="E47" s="140">
        <f>SUM(E48:E61)</f>
        <v>388200</v>
      </c>
    </row>
    <row r="48" spans="1:5" ht="12.75">
      <c r="A48" s="35">
        <v>311</v>
      </c>
      <c r="B48" s="5" t="s">
        <v>35</v>
      </c>
      <c r="C48" s="6">
        <v>0</v>
      </c>
      <c r="D48" s="6">
        <v>0</v>
      </c>
      <c r="E48" s="6">
        <v>0</v>
      </c>
    </row>
    <row r="49" spans="1:5" ht="12.75">
      <c r="A49" s="141">
        <v>312</v>
      </c>
      <c r="B49" s="142" t="s">
        <v>36</v>
      </c>
      <c r="C49" s="143">
        <v>15600</v>
      </c>
      <c r="D49" s="143">
        <v>0</v>
      </c>
      <c r="E49" s="143">
        <v>0</v>
      </c>
    </row>
    <row r="50" spans="1:5" ht="12.75">
      <c r="A50" s="144">
        <v>312</v>
      </c>
      <c r="B50" s="145" t="s">
        <v>200</v>
      </c>
      <c r="C50" s="146">
        <v>12000</v>
      </c>
      <c r="D50" s="146">
        <v>0</v>
      </c>
      <c r="E50" s="146">
        <v>0</v>
      </c>
    </row>
    <row r="51" spans="1:5" ht="12.75">
      <c r="A51" s="35">
        <v>312</v>
      </c>
      <c r="B51" s="8" t="s">
        <v>37</v>
      </c>
      <c r="C51" s="6">
        <v>7200</v>
      </c>
      <c r="D51" s="6">
        <v>7200</v>
      </c>
      <c r="E51" s="6">
        <v>7200</v>
      </c>
    </row>
    <row r="52" spans="1:5" ht="12.75">
      <c r="A52" s="35">
        <v>312</v>
      </c>
      <c r="B52" s="36" t="s">
        <v>38</v>
      </c>
      <c r="C52" s="147">
        <v>13500</v>
      </c>
      <c r="D52" s="147">
        <v>13500</v>
      </c>
      <c r="E52" s="147">
        <v>2000</v>
      </c>
    </row>
    <row r="53" spans="1:5" ht="12.75">
      <c r="A53" s="35">
        <v>312</v>
      </c>
      <c r="B53" s="36" t="s">
        <v>188</v>
      </c>
      <c r="C53" s="147">
        <v>44465</v>
      </c>
      <c r="D53" s="147">
        <v>0</v>
      </c>
      <c r="E53" s="148">
        <v>0</v>
      </c>
    </row>
    <row r="54" spans="1:5" ht="12.75">
      <c r="A54" s="35">
        <v>312</v>
      </c>
      <c r="B54" s="36" t="s">
        <v>39</v>
      </c>
      <c r="C54" s="6">
        <v>10000</v>
      </c>
      <c r="D54" s="6">
        <v>10000</v>
      </c>
      <c r="E54" s="6">
        <v>10000</v>
      </c>
    </row>
    <row r="55" spans="1:5" ht="12.75">
      <c r="A55" s="35">
        <v>312</v>
      </c>
      <c r="B55" s="36" t="s">
        <v>40</v>
      </c>
      <c r="C55" s="6">
        <v>18000</v>
      </c>
      <c r="D55" s="6">
        <v>18000</v>
      </c>
      <c r="E55" s="6">
        <v>18000</v>
      </c>
    </row>
    <row r="56" spans="1:5" ht="12.75">
      <c r="A56" s="35">
        <v>312</v>
      </c>
      <c r="B56" s="36" t="s">
        <v>41</v>
      </c>
      <c r="C56" s="6">
        <v>6400</v>
      </c>
      <c r="D56" s="6">
        <v>6400</v>
      </c>
      <c r="E56" s="148">
        <v>6400</v>
      </c>
    </row>
    <row r="57" spans="1:5" ht="12.75">
      <c r="A57" s="35">
        <v>312</v>
      </c>
      <c r="B57" s="36" t="s">
        <v>189</v>
      </c>
      <c r="C57" s="6">
        <v>0</v>
      </c>
      <c r="D57" s="6">
        <v>0</v>
      </c>
      <c r="E57" s="147">
        <v>0</v>
      </c>
    </row>
    <row r="58" spans="1:5" ht="12.75">
      <c r="A58" s="37">
        <v>312</v>
      </c>
      <c r="B58" s="8" t="s">
        <v>190</v>
      </c>
      <c r="C58" s="9">
        <v>3700</v>
      </c>
      <c r="D58" s="9">
        <v>3700</v>
      </c>
      <c r="E58" s="9">
        <v>3700</v>
      </c>
    </row>
    <row r="59" spans="1:5" ht="12.75">
      <c r="A59" s="37">
        <v>312</v>
      </c>
      <c r="B59" s="38" t="s">
        <v>202</v>
      </c>
      <c r="C59" s="39">
        <v>3000</v>
      </c>
      <c r="D59" s="39">
        <v>3000</v>
      </c>
      <c r="E59" s="39">
        <v>3000</v>
      </c>
    </row>
    <row r="60" spans="1:5" ht="12.75">
      <c r="A60" s="37">
        <v>312</v>
      </c>
      <c r="B60" s="40" t="s">
        <v>42</v>
      </c>
      <c r="C60" s="39">
        <v>2000</v>
      </c>
      <c r="D60" s="39">
        <v>2000</v>
      </c>
      <c r="E60" s="39">
        <v>2000</v>
      </c>
    </row>
    <row r="61" spans="1:5" ht="13.5" thickBot="1">
      <c r="A61" s="37">
        <v>312</v>
      </c>
      <c r="B61" s="41" t="s">
        <v>43</v>
      </c>
      <c r="C61" s="42">
        <v>337700</v>
      </c>
      <c r="D61" s="42">
        <v>337700</v>
      </c>
      <c r="E61" s="42">
        <v>335900</v>
      </c>
    </row>
    <row r="62" spans="1:5" ht="16.5" thickBot="1">
      <c r="A62" s="43" t="s">
        <v>44</v>
      </c>
      <c r="B62" s="44"/>
      <c r="C62" s="149">
        <f>SUM(C6+C14+C32+C34+C47)</f>
        <v>1378857</v>
      </c>
      <c r="D62" s="149">
        <f>SUM(D6+D14+D32+D34+D47)</f>
        <v>1311483</v>
      </c>
      <c r="E62" s="149">
        <f>SUM(E6+E14+E32+E34+E47)</f>
        <v>1293183</v>
      </c>
    </row>
    <row r="63" spans="1:5" ht="16.5" thickBot="1">
      <c r="A63" s="45"/>
      <c r="B63" s="46" t="s">
        <v>45</v>
      </c>
      <c r="C63" s="150">
        <v>900</v>
      </c>
      <c r="D63" s="150">
        <v>900</v>
      </c>
      <c r="E63" s="150">
        <v>900</v>
      </c>
    </row>
    <row r="64" spans="1:5" ht="16.5" thickBot="1">
      <c r="A64" s="43" t="s">
        <v>46</v>
      </c>
      <c r="B64" s="34"/>
      <c r="C64" s="149">
        <f>SUM(C62:C63)</f>
        <v>1379757</v>
      </c>
      <c r="D64" s="149">
        <f>SUM(D62:D63)</f>
        <v>1312383</v>
      </c>
      <c r="E64" s="149">
        <f>SUM(E62:E63)</f>
        <v>1294083</v>
      </c>
    </row>
    <row r="65" spans="1:5" ht="15.75">
      <c r="A65" s="47"/>
      <c r="B65" s="48"/>
      <c r="C65" s="48"/>
      <c r="D65" s="49"/>
      <c r="E65" s="49"/>
    </row>
    <row r="66" spans="1:5" ht="16.5" thickBot="1">
      <c r="A66" s="47"/>
      <c r="B66" s="48"/>
      <c r="C66" s="48"/>
      <c r="D66" s="48"/>
      <c r="E66" s="48"/>
    </row>
    <row r="67" spans="1:5" ht="18.75" thickBot="1">
      <c r="A67" s="307" t="s">
        <v>47</v>
      </c>
      <c r="B67" s="308"/>
      <c r="C67" s="308"/>
      <c r="D67" s="308"/>
      <c r="E67" s="309"/>
    </row>
    <row r="68" spans="1:5" ht="12.75">
      <c r="A68" s="301" t="s">
        <v>1</v>
      </c>
      <c r="B68" s="302"/>
      <c r="C68" s="305">
        <v>2014</v>
      </c>
      <c r="D68" s="305">
        <v>2015</v>
      </c>
      <c r="E68" s="305">
        <v>2016</v>
      </c>
    </row>
    <row r="69" spans="1:5" ht="13.5" thickBot="1">
      <c r="A69" s="303"/>
      <c r="B69" s="304"/>
      <c r="C69" s="306"/>
      <c r="D69" s="306"/>
      <c r="E69" s="306"/>
    </row>
    <row r="70" spans="1:5" ht="13.5" thickBot="1">
      <c r="A70" s="50" t="s">
        <v>48</v>
      </c>
      <c r="B70" s="51"/>
      <c r="C70" s="151">
        <f>SUM(C71:C74)</f>
        <v>192000</v>
      </c>
      <c r="D70" s="151">
        <f>SUM(D71:D74)</f>
        <v>169350</v>
      </c>
      <c r="E70" s="151">
        <f>SUM(E71:E74)</f>
        <v>169250</v>
      </c>
    </row>
    <row r="71" spans="1:5" ht="12.75">
      <c r="A71" s="52" t="s">
        <v>49</v>
      </c>
      <c r="B71" s="53" t="s">
        <v>50</v>
      </c>
      <c r="C71" s="152">
        <v>148300</v>
      </c>
      <c r="D71" s="152">
        <v>137950</v>
      </c>
      <c r="E71" s="152">
        <v>137950</v>
      </c>
    </row>
    <row r="72" spans="1:5" ht="12.75">
      <c r="A72" s="54" t="s">
        <v>51</v>
      </c>
      <c r="B72" s="36" t="s">
        <v>52</v>
      </c>
      <c r="C72" s="153">
        <v>28000</v>
      </c>
      <c r="D72" s="153">
        <v>27700</v>
      </c>
      <c r="E72" s="153">
        <v>27600</v>
      </c>
    </row>
    <row r="73" spans="1:5" ht="12.75">
      <c r="A73" s="56" t="s">
        <v>53</v>
      </c>
      <c r="B73" s="36" t="s">
        <v>54</v>
      </c>
      <c r="C73" s="153">
        <v>3700</v>
      </c>
      <c r="D73" s="153">
        <v>3700</v>
      </c>
      <c r="E73" s="153">
        <v>3700</v>
      </c>
    </row>
    <row r="74" spans="1:5" ht="13.5" thickBot="1">
      <c r="A74" s="57" t="s">
        <v>55</v>
      </c>
      <c r="B74" s="58" t="s">
        <v>56</v>
      </c>
      <c r="C74" s="154">
        <v>12000</v>
      </c>
      <c r="D74" s="154">
        <v>0</v>
      </c>
      <c r="E74" s="154">
        <v>0</v>
      </c>
    </row>
    <row r="75" spans="1:5" ht="13.5" thickBot="1">
      <c r="A75" s="312" t="s">
        <v>57</v>
      </c>
      <c r="B75" s="313"/>
      <c r="C75" s="151">
        <f>SUM(C76)</f>
        <v>160</v>
      </c>
      <c r="D75" s="151">
        <f>SUM(D76)</f>
        <v>160</v>
      </c>
      <c r="E75" s="151">
        <f>SUM(E76)</f>
        <v>160</v>
      </c>
    </row>
    <row r="76" spans="1:5" ht="13.5" thickBot="1">
      <c r="A76" s="59" t="s">
        <v>58</v>
      </c>
      <c r="B76" s="48" t="s">
        <v>59</v>
      </c>
      <c r="C76" s="155">
        <v>160</v>
      </c>
      <c r="D76" s="155">
        <v>160</v>
      </c>
      <c r="E76" s="155">
        <v>160</v>
      </c>
    </row>
    <row r="77" spans="1:5" ht="13.5" thickBot="1">
      <c r="A77" s="312" t="s">
        <v>60</v>
      </c>
      <c r="B77" s="313"/>
      <c r="C77" s="151">
        <f>SUM(C78)</f>
        <v>11400</v>
      </c>
      <c r="D77" s="151">
        <f>SUM(D78)</f>
        <v>5000</v>
      </c>
      <c r="E77" s="151">
        <f>SUM(E78)</f>
        <v>5000</v>
      </c>
    </row>
    <row r="78" spans="1:5" ht="13.5" thickBot="1">
      <c r="A78" s="60" t="s">
        <v>61</v>
      </c>
      <c r="B78" s="61" t="s">
        <v>62</v>
      </c>
      <c r="C78" s="62">
        <v>11400</v>
      </c>
      <c r="D78" s="62">
        <v>5000</v>
      </c>
      <c r="E78" s="62">
        <v>5000</v>
      </c>
    </row>
    <row r="79" spans="1:5" ht="13.5" thickBot="1">
      <c r="A79" s="50" t="s">
        <v>63</v>
      </c>
      <c r="B79" s="63"/>
      <c r="C79" s="151">
        <f>SUM(C80:C85)</f>
        <v>176582</v>
      </c>
      <c r="D79" s="151">
        <f>SUM(D80:D85)</f>
        <v>168683</v>
      </c>
      <c r="E79" s="151">
        <f>SUM(E80:E85)</f>
        <v>168523</v>
      </c>
    </row>
    <row r="80" spans="1:5" ht="12.75">
      <c r="A80" s="64" t="s">
        <v>64</v>
      </c>
      <c r="B80" s="27" t="s">
        <v>65</v>
      </c>
      <c r="C80" s="28">
        <v>1500</v>
      </c>
      <c r="D80" s="28">
        <v>1500</v>
      </c>
      <c r="E80" s="28">
        <v>1500</v>
      </c>
    </row>
    <row r="81" spans="1:5" ht="12.75">
      <c r="A81" s="56" t="s">
        <v>66</v>
      </c>
      <c r="B81" s="36" t="s">
        <v>67</v>
      </c>
      <c r="C81" s="153">
        <v>12600</v>
      </c>
      <c r="D81" s="153">
        <v>12600</v>
      </c>
      <c r="E81" s="153">
        <v>12600</v>
      </c>
    </row>
    <row r="82" spans="1:5" ht="12.75">
      <c r="A82" s="56" t="s">
        <v>66</v>
      </c>
      <c r="B82" s="36" t="s">
        <v>168</v>
      </c>
      <c r="C82" s="153">
        <f>21140-C81</f>
        <v>8540</v>
      </c>
      <c r="D82" s="153"/>
      <c r="E82" s="153"/>
    </row>
    <row r="83" spans="1:5" ht="12.75">
      <c r="A83" s="56" t="s">
        <v>66</v>
      </c>
      <c r="B83" s="36" t="s">
        <v>191</v>
      </c>
      <c r="C83" s="153">
        <v>300</v>
      </c>
      <c r="D83" s="153">
        <v>0</v>
      </c>
      <c r="E83" s="153">
        <v>0</v>
      </c>
    </row>
    <row r="84" spans="1:6" ht="12.75">
      <c r="A84" s="56" t="s">
        <v>68</v>
      </c>
      <c r="B84" s="36" t="s">
        <v>69</v>
      </c>
      <c r="C84" s="31">
        <v>47500</v>
      </c>
      <c r="D84" s="31">
        <v>43400</v>
      </c>
      <c r="E84" s="31">
        <v>43300</v>
      </c>
      <c r="F84" s="177"/>
    </row>
    <row r="85" spans="1:5" ht="13.5" thickBot="1">
      <c r="A85" s="66" t="s">
        <v>70</v>
      </c>
      <c r="B85" s="67" t="s">
        <v>192</v>
      </c>
      <c r="C85" s="156">
        <v>106142</v>
      </c>
      <c r="D85" s="156">
        <v>111183</v>
      </c>
      <c r="E85" s="156">
        <v>111123</v>
      </c>
    </row>
    <row r="86" spans="1:5" ht="13.5" thickBot="1">
      <c r="A86" s="50" t="s">
        <v>71</v>
      </c>
      <c r="B86" s="51"/>
      <c r="C86" s="151">
        <f>SUM(C87:C89)</f>
        <v>120808</v>
      </c>
      <c r="D86" s="151">
        <f>SUM(D87:D89)</f>
        <v>80950</v>
      </c>
      <c r="E86" s="151">
        <f>SUM(E87:E89)</f>
        <v>80950</v>
      </c>
    </row>
    <row r="87" spans="1:5" ht="12.75">
      <c r="A87" s="68" t="s">
        <v>72</v>
      </c>
      <c r="B87" s="69" t="s">
        <v>201</v>
      </c>
      <c r="C87" s="157">
        <v>63978</v>
      </c>
      <c r="D87" s="157">
        <v>25600</v>
      </c>
      <c r="E87" s="157">
        <v>25600</v>
      </c>
    </row>
    <row r="88" spans="1:6" ht="12.75">
      <c r="A88" s="59" t="s">
        <v>73</v>
      </c>
      <c r="B88" s="71" t="s">
        <v>74</v>
      </c>
      <c r="C88" s="154">
        <v>48630</v>
      </c>
      <c r="D88" s="154">
        <v>48500</v>
      </c>
      <c r="E88" s="154">
        <v>48500</v>
      </c>
      <c r="F88" s="177"/>
    </row>
    <row r="89" spans="1:6" ht="13.5" thickBot="1">
      <c r="A89" s="72" t="s">
        <v>75</v>
      </c>
      <c r="B89" s="73" t="s">
        <v>76</v>
      </c>
      <c r="C89" s="158">
        <f>6400+1800</f>
        <v>8200</v>
      </c>
      <c r="D89" s="158">
        <f>6350+500</f>
        <v>6850</v>
      </c>
      <c r="E89" s="158">
        <f>6350+500</f>
        <v>6850</v>
      </c>
      <c r="F89" s="177"/>
    </row>
    <row r="90" spans="1:5" ht="13.5" thickBot="1">
      <c r="A90" s="50" t="s">
        <v>77</v>
      </c>
      <c r="B90" s="63"/>
      <c r="C90" s="151">
        <f>SUM(C91)</f>
        <v>15500</v>
      </c>
      <c r="D90" s="151">
        <f>SUM(D91)</f>
        <v>15500</v>
      </c>
      <c r="E90" s="151">
        <f>SUM(E91)</f>
        <v>15500</v>
      </c>
    </row>
    <row r="91" spans="1:5" ht="13.5" thickBot="1">
      <c r="A91" s="74" t="s">
        <v>78</v>
      </c>
      <c r="B91" s="67" t="s">
        <v>79</v>
      </c>
      <c r="C91" s="83">
        <v>15500</v>
      </c>
      <c r="D91" s="83">
        <v>15500</v>
      </c>
      <c r="E91" s="83">
        <v>15500</v>
      </c>
    </row>
    <row r="92" spans="1:5" ht="13.5" thickBot="1">
      <c r="A92" s="75" t="s">
        <v>80</v>
      </c>
      <c r="B92" s="51"/>
      <c r="C92" s="151">
        <f>SUM(C93:C108)</f>
        <v>77100</v>
      </c>
      <c r="D92" s="151">
        <f>SUM(D93:D108)</f>
        <v>82900</v>
      </c>
      <c r="E92" s="151">
        <f>SUM(E93:E108)</f>
        <v>86900</v>
      </c>
    </row>
    <row r="93" spans="1:5" ht="13.5" thickBot="1">
      <c r="A93" s="72" t="s">
        <v>81</v>
      </c>
      <c r="B93" s="73" t="s">
        <v>82</v>
      </c>
      <c r="C93" s="158">
        <v>7000</v>
      </c>
      <c r="D93" s="158">
        <v>7000</v>
      </c>
      <c r="E93" s="158">
        <v>7000</v>
      </c>
    </row>
    <row r="94" spans="1:5" ht="12.75">
      <c r="A94" s="76" t="s">
        <v>81</v>
      </c>
      <c r="B94" s="53" t="s">
        <v>83</v>
      </c>
      <c r="C94" s="152">
        <v>7000</v>
      </c>
      <c r="D94" s="152">
        <v>7000</v>
      </c>
      <c r="E94" s="152">
        <v>7000</v>
      </c>
    </row>
    <row r="95" spans="1:5" ht="12.75">
      <c r="A95" s="76" t="s">
        <v>84</v>
      </c>
      <c r="B95" s="77" t="s">
        <v>85</v>
      </c>
      <c r="C95" s="28">
        <v>17300</v>
      </c>
      <c r="D95" s="28">
        <v>17300</v>
      </c>
      <c r="E95" s="28">
        <v>17300</v>
      </c>
    </row>
    <row r="96" spans="1:5" ht="12.75">
      <c r="A96" s="56" t="s">
        <v>86</v>
      </c>
      <c r="B96" s="78" t="s">
        <v>87</v>
      </c>
      <c r="C96" s="153">
        <v>1200</v>
      </c>
      <c r="D96" s="153">
        <v>1200</v>
      </c>
      <c r="E96" s="153">
        <v>1200</v>
      </c>
    </row>
    <row r="97" spans="1:5" ht="13.5" thickBot="1">
      <c r="A97" s="72" t="s">
        <v>88</v>
      </c>
      <c r="B97" s="73" t="s">
        <v>89</v>
      </c>
      <c r="C97" s="158">
        <v>1000</v>
      </c>
      <c r="D97" s="158">
        <v>1000</v>
      </c>
      <c r="E97" s="158">
        <v>1000</v>
      </c>
    </row>
    <row r="98" spans="1:5" ht="12.75">
      <c r="A98" s="56" t="s">
        <v>90</v>
      </c>
      <c r="B98" s="36" t="s">
        <v>91</v>
      </c>
      <c r="C98" s="153">
        <v>200</v>
      </c>
      <c r="D98" s="153">
        <v>200</v>
      </c>
      <c r="E98" s="153">
        <v>200</v>
      </c>
    </row>
    <row r="99" spans="1:5" ht="12.75">
      <c r="A99" s="56" t="s">
        <v>90</v>
      </c>
      <c r="B99" s="36" t="s">
        <v>92</v>
      </c>
      <c r="C99" s="153">
        <v>1000</v>
      </c>
      <c r="D99" s="153">
        <v>1000</v>
      </c>
      <c r="E99" s="153">
        <v>1000</v>
      </c>
    </row>
    <row r="100" spans="1:5" ht="12.75">
      <c r="A100" s="56" t="s">
        <v>90</v>
      </c>
      <c r="B100" s="36" t="s">
        <v>93</v>
      </c>
      <c r="C100" s="153">
        <v>2000</v>
      </c>
      <c r="D100" s="153">
        <v>2000</v>
      </c>
      <c r="E100" s="153">
        <v>2000</v>
      </c>
    </row>
    <row r="101" spans="1:5" ht="12.75">
      <c r="A101" s="56" t="s">
        <v>90</v>
      </c>
      <c r="B101" s="36" t="s">
        <v>94</v>
      </c>
      <c r="C101" s="153">
        <v>12000</v>
      </c>
      <c r="D101" s="153">
        <v>13000</v>
      </c>
      <c r="E101" s="153">
        <v>12000</v>
      </c>
    </row>
    <row r="102" spans="1:5" ht="12.75">
      <c r="A102" s="56" t="s">
        <v>90</v>
      </c>
      <c r="B102" s="36" t="s">
        <v>95</v>
      </c>
      <c r="C102" s="153">
        <v>200</v>
      </c>
      <c r="D102" s="153">
        <v>200</v>
      </c>
      <c r="E102" s="153">
        <v>200</v>
      </c>
    </row>
    <row r="103" spans="1:5" ht="12.75">
      <c r="A103" s="56" t="s">
        <v>90</v>
      </c>
      <c r="B103" s="36" t="s">
        <v>193</v>
      </c>
      <c r="C103" s="153">
        <v>0</v>
      </c>
      <c r="D103" s="153">
        <v>0</v>
      </c>
      <c r="E103" s="153">
        <v>0</v>
      </c>
    </row>
    <row r="104" spans="1:5" ht="12.75">
      <c r="A104" s="56" t="s">
        <v>90</v>
      </c>
      <c r="B104" s="36" t="s">
        <v>96</v>
      </c>
      <c r="C104" s="153">
        <v>700</v>
      </c>
      <c r="D104" s="153">
        <v>700</v>
      </c>
      <c r="E104" s="153">
        <v>700</v>
      </c>
    </row>
    <row r="105" spans="1:5" ht="13.5" thickBot="1">
      <c r="A105" s="72" t="s">
        <v>90</v>
      </c>
      <c r="B105" s="73" t="s">
        <v>194</v>
      </c>
      <c r="C105" s="158">
        <v>13000</v>
      </c>
      <c r="D105" s="158">
        <v>18000</v>
      </c>
      <c r="E105" s="158">
        <v>13000</v>
      </c>
    </row>
    <row r="106" spans="1:5" ht="12.75">
      <c r="A106" s="68" t="s">
        <v>97</v>
      </c>
      <c r="B106" s="69" t="s">
        <v>98</v>
      </c>
      <c r="C106" s="157">
        <v>3300</v>
      </c>
      <c r="D106" s="157">
        <v>3300</v>
      </c>
      <c r="E106" s="157">
        <v>3300</v>
      </c>
    </row>
    <row r="107" spans="1:5" ht="12.75">
      <c r="A107" s="76" t="s">
        <v>99</v>
      </c>
      <c r="B107" s="53" t="s">
        <v>100</v>
      </c>
      <c r="C107" s="152">
        <v>8500</v>
      </c>
      <c r="D107" s="152">
        <v>8500</v>
      </c>
      <c r="E107" s="152">
        <v>18500</v>
      </c>
    </row>
    <row r="108" spans="1:5" ht="13.5" thickBot="1">
      <c r="A108" s="72" t="s">
        <v>101</v>
      </c>
      <c r="B108" s="73" t="s">
        <v>195</v>
      </c>
      <c r="C108" s="158">
        <v>2700</v>
      </c>
      <c r="D108" s="158">
        <v>2500</v>
      </c>
      <c r="E108" s="158">
        <v>2500</v>
      </c>
    </row>
    <row r="109" spans="1:5" ht="13.5" thickBot="1">
      <c r="A109" s="312" t="s">
        <v>102</v>
      </c>
      <c r="B109" s="313"/>
      <c r="C109" s="151">
        <f>SUM(C110:C113)</f>
        <v>300500</v>
      </c>
      <c r="D109" s="151">
        <f>SUM(D110:D113)</f>
        <v>296300</v>
      </c>
      <c r="E109" s="151">
        <f>SUM(E110:E113)</f>
        <v>295300</v>
      </c>
    </row>
    <row r="110" spans="1:5" ht="12.75">
      <c r="A110" s="79" t="s">
        <v>103</v>
      </c>
      <c r="B110" s="80" t="s">
        <v>104</v>
      </c>
      <c r="C110" s="81">
        <v>97000</v>
      </c>
      <c r="D110" s="81">
        <v>97000</v>
      </c>
      <c r="E110" s="81">
        <v>97000</v>
      </c>
    </row>
    <row r="111" spans="1:5" ht="12.75">
      <c r="A111" s="82" t="s">
        <v>106</v>
      </c>
      <c r="B111" s="30" t="s">
        <v>107</v>
      </c>
      <c r="C111" s="31">
        <v>132200</v>
      </c>
      <c r="D111" s="31">
        <v>131700</v>
      </c>
      <c r="E111" s="31">
        <v>131700</v>
      </c>
    </row>
    <row r="112" spans="1:5" ht="12.75">
      <c r="A112" s="82" t="s">
        <v>108</v>
      </c>
      <c r="B112" s="30" t="s">
        <v>109</v>
      </c>
      <c r="C112" s="31">
        <v>53300</v>
      </c>
      <c r="D112" s="31">
        <v>49600</v>
      </c>
      <c r="E112" s="31">
        <v>48600</v>
      </c>
    </row>
    <row r="113" spans="1:5" ht="13.5" thickBot="1">
      <c r="A113" s="66" t="s">
        <v>110</v>
      </c>
      <c r="B113" s="67" t="s">
        <v>111</v>
      </c>
      <c r="C113" s="83">
        <v>18000</v>
      </c>
      <c r="D113" s="83">
        <v>18000</v>
      </c>
      <c r="E113" s="83">
        <v>18000</v>
      </c>
    </row>
    <row r="114" spans="1:5" ht="13.5" thickBot="1">
      <c r="A114" s="50" t="s">
        <v>112</v>
      </c>
      <c r="B114" s="51"/>
      <c r="C114" s="151">
        <f>SUM(C115:C122)</f>
        <v>104940</v>
      </c>
      <c r="D114" s="151">
        <f>SUM(D115:D122)</f>
        <v>104940</v>
      </c>
      <c r="E114" s="151">
        <f>SUM(E115:E122)</f>
        <v>90700</v>
      </c>
    </row>
    <row r="115" spans="1:5" ht="12.75">
      <c r="A115" s="76" t="s">
        <v>113</v>
      </c>
      <c r="B115" s="53" t="s">
        <v>114</v>
      </c>
      <c r="C115" s="152">
        <f>67500-1800</f>
        <v>65700</v>
      </c>
      <c r="D115" s="152">
        <f>67500-1800</f>
        <v>65700</v>
      </c>
      <c r="E115" s="152">
        <f>67500-1800</f>
        <v>65700</v>
      </c>
    </row>
    <row r="116" spans="1:5" ht="12.75">
      <c r="A116" s="56" t="s">
        <v>113</v>
      </c>
      <c r="B116" s="36" t="s">
        <v>115</v>
      </c>
      <c r="C116" s="153">
        <v>1800</v>
      </c>
      <c r="D116" s="153">
        <v>1800</v>
      </c>
      <c r="E116" s="153">
        <v>1800</v>
      </c>
    </row>
    <row r="117" spans="1:5" ht="13.5" thickBot="1">
      <c r="A117" s="72" t="s">
        <v>116</v>
      </c>
      <c r="B117" s="73" t="s">
        <v>117</v>
      </c>
      <c r="C117" s="158">
        <v>12000</v>
      </c>
      <c r="D117" s="158">
        <v>12000</v>
      </c>
      <c r="E117" s="158">
        <v>12000</v>
      </c>
    </row>
    <row r="118" spans="1:5" ht="12.75">
      <c r="A118" s="76" t="s">
        <v>197</v>
      </c>
      <c r="B118" s="53" t="s">
        <v>118</v>
      </c>
      <c r="C118" s="152">
        <v>300</v>
      </c>
      <c r="D118" s="152">
        <v>300</v>
      </c>
      <c r="E118" s="152">
        <v>300</v>
      </c>
    </row>
    <row r="119" spans="1:5" ht="12.75">
      <c r="A119" s="56" t="s">
        <v>119</v>
      </c>
      <c r="B119" s="36" t="s">
        <v>120</v>
      </c>
      <c r="C119" s="153">
        <v>17240</v>
      </c>
      <c r="D119" s="153">
        <v>17240</v>
      </c>
      <c r="E119" s="153">
        <v>3000</v>
      </c>
    </row>
    <row r="120" spans="1:5" ht="12.75">
      <c r="A120" s="56" t="s">
        <v>121</v>
      </c>
      <c r="B120" s="36" t="s">
        <v>122</v>
      </c>
      <c r="C120" s="153">
        <v>7200</v>
      </c>
      <c r="D120" s="153">
        <v>7200</v>
      </c>
      <c r="E120" s="153">
        <v>7200</v>
      </c>
    </row>
    <row r="121" spans="1:5" ht="12.75">
      <c r="A121" s="56" t="s">
        <v>123</v>
      </c>
      <c r="B121" s="36" t="s">
        <v>124</v>
      </c>
      <c r="C121" s="153">
        <v>400</v>
      </c>
      <c r="D121" s="153">
        <v>400</v>
      </c>
      <c r="E121" s="153">
        <v>400</v>
      </c>
    </row>
    <row r="122" spans="1:5" ht="13.5" thickBot="1">
      <c r="A122" s="72" t="s">
        <v>125</v>
      </c>
      <c r="B122" s="73" t="s">
        <v>126</v>
      </c>
      <c r="C122" s="158">
        <v>300</v>
      </c>
      <c r="D122" s="158">
        <v>300</v>
      </c>
      <c r="E122" s="158">
        <v>300</v>
      </c>
    </row>
    <row r="123" spans="1:5" ht="16.5" thickBot="1">
      <c r="A123" s="84" t="s">
        <v>127</v>
      </c>
      <c r="B123" s="85"/>
      <c r="C123" s="159">
        <f>SUM(C70+C75+C77+C79+C86+C90+C92+C109+C114)</f>
        <v>998990</v>
      </c>
      <c r="D123" s="159">
        <f>SUM(D70+D75+D77+D79+D86+D90+D92+D109+D114)</f>
        <v>923783</v>
      </c>
      <c r="E123" s="159">
        <f>SUM(E70+E75+E77+E79+E86+E90+E92+E109+E114)</f>
        <v>912283</v>
      </c>
    </row>
    <row r="124" spans="1:5" ht="12.75">
      <c r="A124" s="86" t="s">
        <v>105</v>
      </c>
      <c r="B124" s="87" t="s">
        <v>128</v>
      </c>
      <c r="C124" s="160">
        <f>C49+C61+C63+C41</f>
        <v>355709</v>
      </c>
      <c r="D124" s="160">
        <f>D49+D61+D63+D41</f>
        <v>338600</v>
      </c>
      <c r="E124" s="160">
        <f>E49+E61+E63+E41</f>
        <v>336800</v>
      </c>
    </row>
    <row r="125" spans="1:5" ht="12.75">
      <c r="A125" s="88" t="s">
        <v>129</v>
      </c>
      <c r="B125" s="41" t="s">
        <v>130</v>
      </c>
      <c r="C125" s="161">
        <v>17000</v>
      </c>
      <c r="D125" s="161">
        <v>17000</v>
      </c>
      <c r="E125" s="161">
        <v>17000</v>
      </c>
    </row>
    <row r="126" spans="1:5" ht="13.5" thickBot="1">
      <c r="A126" s="314" t="s">
        <v>131</v>
      </c>
      <c r="B126" s="315"/>
      <c r="C126" s="162">
        <f>SUM(C124:C125)</f>
        <v>372709</v>
      </c>
      <c r="D126" s="162">
        <f>SUM(D124:D125)</f>
        <v>355600</v>
      </c>
      <c r="E126" s="162">
        <f>SUM(E124:E125)</f>
        <v>353800</v>
      </c>
    </row>
    <row r="127" spans="1:5" ht="16.5" thickBot="1">
      <c r="A127" s="89" t="s">
        <v>132</v>
      </c>
      <c r="B127" s="63"/>
      <c r="C127" s="163">
        <f>C123+C126</f>
        <v>1371699</v>
      </c>
      <c r="D127" s="163">
        <f>D123+D126</f>
        <v>1279383</v>
      </c>
      <c r="E127" s="163">
        <f>E123+E126</f>
        <v>1266083</v>
      </c>
    </row>
    <row r="132" spans="1:5" ht="13.5" thickBot="1">
      <c r="A132" s="90"/>
      <c r="B132" s="91"/>
      <c r="C132" s="91"/>
      <c r="D132" s="91"/>
      <c r="E132" s="91"/>
    </row>
    <row r="133" spans="1:5" ht="18.75" thickBot="1">
      <c r="A133" s="340" t="s">
        <v>133</v>
      </c>
      <c r="B133" s="341"/>
      <c r="C133" s="341"/>
      <c r="D133" s="341"/>
      <c r="E133" s="342"/>
    </row>
    <row r="134" spans="1:5" ht="12.75">
      <c r="A134" s="301" t="s">
        <v>1</v>
      </c>
      <c r="B134" s="302"/>
      <c r="C134" s="305">
        <v>2014</v>
      </c>
      <c r="D134" s="305">
        <v>2015</v>
      </c>
      <c r="E134" s="305">
        <v>2016</v>
      </c>
    </row>
    <row r="135" spans="1:5" ht="13.5" thickBot="1">
      <c r="A135" s="321"/>
      <c r="B135" s="322"/>
      <c r="C135" s="306"/>
      <c r="D135" s="306"/>
      <c r="E135" s="306"/>
    </row>
    <row r="136" spans="1:5" ht="16.5" thickBot="1">
      <c r="A136" s="316" t="s">
        <v>134</v>
      </c>
      <c r="B136" s="317"/>
      <c r="C136" s="164">
        <f>SUM(C137:C140)</f>
        <v>536820</v>
      </c>
      <c r="D136" s="164">
        <f>SUM(D137:D140)</f>
        <v>0</v>
      </c>
      <c r="E136" s="164">
        <f>SUM(E137:E140)</f>
        <v>0</v>
      </c>
    </row>
    <row r="137" spans="1:5" ht="13.5" thickBot="1">
      <c r="A137" s="92">
        <v>230</v>
      </c>
      <c r="B137" s="93" t="s">
        <v>135</v>
      </c>
      <c r="C137" s="165">
        <v>30000</v>
      </c>
      <c r="D137" s="165">
        <v>0</v>
      </c>
      <c r="E137" s="165">
        <v>0</v>
      </c>
    </row>
    <row r="138" spans="1:5" ht="12.75">
      <c r="A138" s="35">
        <v>322</v>
      </c>
      <c r="B138" s="53" t="s">
        <v>136</v>
      </c>
      <c r="C138" s="166">
        <v>326446</v>
      </c>
      <c r="D138" s="166">
        <v>0</v>
      </c>
      <c r="E138" s="166">
        <v>0</v>
      </c>
    </row>
    <row r="139" spans="1:5" ht="12.75">
      <c r="A139" s="35">
        <v>322</v>
      </c>
      <c r="B139" s="53" t="s">
        <v>137</v>
      </c>
      <c r="C139" s="166">
        <v>0</v>
      </c>
      <c r="D139" s="166">
        <v>0</v>
      </c>
      <c r="E139" s="166">
        <v>0</v>
      </c>
    </row>
    <row r="140" spans="1:5" ht="13.5" thickBot="1">
      <c r="A140" s="37">
        <v>322</v>
      </c>
      <c r="B140" s="36" t="s">
        <v>138</v>
      </c>
      <c r="C140" s="167">
        <v>180374</v>
      </c>
      <c r="D140" s="167">
        <v>0</v>
      </c>
      <c r="E140" s="167">
        <v>0</v>
      </c>
    </row>
    <row r="141" spans="1:5" ht="16.5" thickBot="1">
      <c r="A141" s="316" t="s">
        <v>139</v>
      </c>
      <c r="B141" s="317"/>
      <c r="C141" s="164">
        <f>SUM(C142:C148)</f>
        <v>692978</v>
      </c>
      <c r="D141" s="164">
        <f>SUM(D142:D148)</f>
        <v>0</v>
      </c>
      <c r="E141" s="164">
        <f>SUM(E142:E148)</f>
        <v>0</v>
      </c>
    </row>
    <row r="142" spans="1:5" ht="12.75">
      <c r="A142" s="56" t="s">
        <v>66</v>
      </c>
      <c r="B142" s="8" t="s">
        <v>140</v>
      </c>
      <c r="C142" s="168">
        <v>0</v>
      </c>
      <c r="D142" s="168">
        <v>0</v>
      </c>
      <c r="E142" s="168">
        <v>0</v>
      </c>
    </row>
    <row r="143" spans="1:5" ht="12.75">
      <c r="A143" s="94" t="s">
        <v>66</v>
      </c>
      <c r="B143" s="8" t="s">
        <v>141</v>
      </c>
      <c r="C143" s="168">
        <v>30000</v>
      </c>
      <c r="D143" s="168">
        <v>0</v>
      </c>
      <c r="E143" s="168">
        <v>0</v>
      </c>
    </row>
    <row r="144" spans="1:5" ht="12.75">
      <c r="A144" s="52" t="s">
        <v>66</v>
      </c>
      <c r="B144" s="96" t="s">
        <v>203</v>
      </c>
      <c r="C144" s="169">
        <v>1420</v>
      </c>
      <c r="D144" s="169">
        <v>0</v>
      </c>
      <c r="E144" s="169">
        <v>0</v>
      </c>
    </row>
    <row r="145" spans="1:5" ht="12.75">
      <c r="A145" s="52" t="s">
        <v>72</v>
      </c>
      <c r="B145" s="5" t="s">
        <v>142</v>
      </c>
      <c r="C145" s="168">
        <f>377688+30000</f>
        <v>407688</v>
      </c>
      <c r="D145" s="168">
        <v>0</v>
      </c>
      <c r="E145" s="168">
        <v>0</v>
      </c>
    </row>
    <row r="146" spans="1:6" ht="12.75">
      <c r="A146" s="82" t="s">
        <v>73</v>
      </c>
      <c r="B146" s="95" t="s">
        <v>143</v>
      </c>
      <c r="C146" s="168">
        <v>30000</v>
      </c>
      <c r="D146" s="168">
        <v>0</v>
      </c>
      <c r="E146" s="168">
        <v>0</v>
      </c>
      <c r="F146" s="176"/>
    </row>
    <row r="147" spans="1:6" ht="12.75">
      <c r="A147" s="54" t="s">
        <v>78</v>
      </c>
      <c r="B147" s="8" t="s">
        <v>144</v>
      </c>
      <c r="C147" s="168">
        <v>189870</v>
      </c>
      <c r="D147" s="168">
        <v>0</v>
      </c>
      <c r="E147" s="168">
        <v>0</v>
      </c>
      <c r="F147" s="176"/>
    </row>
    <row r="148" spans="1:5" ht="13.5" thickBot="1">
      <c r="A148" s="178" t="s">
        <v>103</v>
      </c>
      <c r="B148" s="18" t="s">
        <v>204</v>
      </c>
      <c r="C148" s="179">
        <v>34000</v>
      </c>
      <c r="D148" s="179">
        <v>0</v>
      </c>
      <c r="E148" s="179">
        <v>0</v>
      </c>
    </row>
    <row r="151" spans="1:5" ht="12.75">
      <c r="A151" s="97"/>
      <c r="B151" s="98"/>
      <c r="C151" s="98"/>
      <c r="D151" s="98"/>
      <c r="E151" s="98"/>
    </row>
    <row r="152" spans="1:5" ht="13.5" thickBot="1">
      <c r="A152" s="98"/>
      <c r="B152" s="91"/>
      <c r="C152" s="91">
        <f>34+30+65</f>
        <v>129</v>
      </c>
      <c r="D152" s="91"/>
      <c r="E152" s="91"/>
    </row>
    <row r="153" spans="1:5" ht="18.75" thickBot="1">
      <c r="A153" s="318" t="s">
        <v>145</v>
      </c>
      <c r="B153" s="319"/>
      <c r="C153" s="319"/>
      <c r="D153" s="319"/>
      <c r="E153" s="320"/>
    </row>
    <row r="154" spans="1:5" ht="12.75">
      <c r="A154" s="301" t="s">
        <v>1</v>
      </c>
      <c r="B154" s="302"/>
      <c r="C154" s="305">
        <v>2014</v>
      </c>
      <c r="D154" s="305">
        <v>2015</v>
      </c>
      <c r="E154" s="305">
        <v>2016</v>
      </c>
    </row>
    <row r="155" spans="1:5" ht="13.5" thickBot="1">
      <c r="A155" s="321"/>
      <c r="B155" s="322"/>
      <c r="C155" s="306"/>
      <c r="D155" s="306"/>
      <c r="E155" s="306"/>
    </row>
    <row r="156" spans="1:5" ht="16.5" thickBot="1">
      <c r="A156" s="323" t="s">
        <v>146</v>
      </c>
      <c r="B156" s="324"/>
      <c r="C156" s="170">
        <f>SUM(C157:C159)</f>
        <v>182000</v>
      </c>
      <c r="D156" s="170">
        <f>SUM(D157:D159)</f>
        <v>0</v>
      </c>
      <c r="E156" s="170">
        <f>SUM(E157:E159)</f>
        <v>0</v>
      </c>
    </row>
    <row r="157" spans="1:5" ht="12.75">
      <c r="A157" s="99">
        <v>411</v>
      </c>
      <c r="B157" s="100" t="s">
        <v>147</v>
      </c>
      <c r="C157" s="101">
        <v>0</v>
      </c>
      <c r="D157" s="101">
        <v>0</v>
      </c>
      <c r="E157" s="101">
        <v>0</v>
      </c>
    </row>
    <row r="158" spans="1:5" ht="12.75">
      <c r="A158" s="102">
        <v>454</v>
      </c>
      <c r="B158" s="38" t="s">
        <v>148</v>
      </c>
      <c r="C158" s="171">
        <v>129000</v>
      </c>
      <c r="D158" s="171">
        <v>0</v>
      </c>
      <c r="E158" s="171">
        <v>0</v>
      </c>
    </row>
    <row r="159" spans="1:5" ht="13.5" thickBot="1">
      <c r="A159" s="103">
        <v>513</v>
      </c>
      <c r="B159" s="104" t="s">
        <v>149</v>
      </c>
      <c r="C159" s="172">
        <f>22000+31000</f>
        <v>53000</v>
      </c>
      <c r="D159" s="173">
        <v>0</v>
      </c>
      <c r="E159" s="174"/>
    </row>
    <row r="160" spans="1:5" ht="16.5" thickBot="1">
      <c r="A160" s="323" t="s">
        <v>150</v>
      </c>
      <c r="B160" s="324"/>
      <c r="C160" s="170">
        <f>SUM(C161:C162)</f>
        <v>33900</v>
      </c>
      <c r="D160" s="170">
        <f>SUM(D161:D162)</f>
        <v>33000</v>
      </c>
      <c r="E160" s="170">
        <f>SUM(E161:E162)</f>
        <v>28000</v>
      </c>
    </row>
    <row r="161" spans="1:5" ht="12.75">
      <c r="A161" s="105">
        <v>821</v>
      </c>
      <c r="B161" s="100" t="s">
        <v>151</v>
      </c>
      <c r="C161" s="106">
        <v>33000</v>
      </c>
      <c r="D161" s="106">
        <v>32000</v>
      </c>
      <c r="E161" s="106">
        <v>27000</v>
      </c>
    </row>
    <row r="162" spans="1:5" ht="13.5" thickBot="1">
      <c r="A162" s="25">
        <v>821</v>
      </c>
      <c r="B162" s="107" t="s">
        <v>152</v>
      </c>
      <c r="C162" s="175">
        <v>900</v>
      </c>
      <c r="D162" s="175">
        <v>1000</v>
      </c>
      <c r="E162" s="175">
        <v>1000</v>
      </c>
    </row>
    <row r="163" spans="1:5" ht="15.75">
      <c r="A163" s="47"/>
      <c r="B163" s="90"/>
      <c r="C163" s="90"/>
      <c r="D163" s="90"/>
      <c r="E163" s="90"/>
    </row>
    <row r="164" spans="1:5" ht="15.75">
      <c r="A164" s="47"/>
      <c r="B164" s="90"/>
      <c r="C164" s="90"/>
      <c r="D164" s="90"/>
      <c r="E164" s="90"/>
    </row>
    <row r="165" spans="1:5" ht="15.75">
      <c r="A165" s="47"/>
      <c r="B165" s="90"/>
      <c r="C165" s="90"/>
      <c r="D165" s="90"/>
      <c r="E165" s="90"/>
    </row>
    <row r="166" spans="1:5" ht="15.75">
      <c r="A166" s="47"/>
      <c r="B166" s="90"/>
      <c r="C166" s="90"/>
      <c r="D166" s="90"/>
      <c r="E166" s="90"/>
    </row>
    <row r="167" spans="2:5" ht="13.5" thickBot="1">
      <c r="B167" s="91"/>
      <c r="C167" s="91"/>
      <c r="D167" s="91"/>
      <c r="E167" s="91"/>
    </row>
    <row r="168" spans="1:5" ht="18.75" thickBot="1">
      <c r="A168" s="325" t="s">
        <v>153</v>
      </c>
      <c r="B168" s="326"/>
      <c r="C168" s="326"/>
      <c r="D168" s="326"/>
      <c r="E168" s="327"/>
    </row>
    <row r="169" spans="1:5" ht="12.75">
      <c r="A169" s="301" t="s">
        <v>1</v>
      </c>
      <c r="B169" s="302"/>
      <c r="C169" s="305">
        <v>2014</v>
      </c>
      <c r="D169" s="305">
        <v>2015</v>
      </c>
      <c r="E169" s="305">
        <v>2016</v>
      </c>
    </row>
    <row r="170" spans="1:5" ht="13.5" thickBot="1">
      <c r="A170" s="328"/>
      <c r="B170" s="329"/>
      <c r="C170" s="306"/>
      <c r="D170" s="306"/>
      <c r="E170" s="306"/>
    </row>
    <row r="171" spans="1:5" ht="15">
      <c r="A171" s="108" t="s">
        <v>154</v>
      </c>
      <c r="B171" s="15"/>
      <c r="C171" s="70">
        <f>C64</f>
        <v>1379757</v>
      </c>
      <c r="D171" s="70">
        <f>D64</f>
        <v>1312383</v>
      </c>
      <c r="E171" s="70">
        <f>E64</f>
        <v>1294083</v>
      </c>
    </row>
    <row r="172" spans="1:5" ht="15">
      <c r="A172" s="109" t="s">
        <v>155</v>
      </c>
      <c r="B172" s="8"/>
      <c r="C172" s="55">
        <f>C127</f>
        <v>1371699</v>
      </c>
      <c r="D172" s="55">
        <f>D127</f>
        <v>1279383</v>
      </c>
      <c r="E172" s="55">
        <f>E127</f>
        <v>1266083</v>
      </c>
    </row>
    <row r="173" spans="1:5" ht="15.75">
      <c r="A173" s="330" t="s">
        <v>156</v>
      </c>
      <c r="B173" s="331"/>
      <c r="C173" s="110">
        <f>C171-C172</f>
        <v>8058</v>
      </c>
      <c r="D173" s="110">
        <f>D171-D172</f>
        <v>33000</v>
      </c>
      <c r="E173" s="110">
        <f>E171-E172</f>
        <v>28000</v>
      </c>
    </row>
    <row r="174" spans="1:5" ht="15">
      <c r="A174" s="109" t="s">
        <v>157</v>
      </c>
      <c r="B174" s="8"/>
      <c r="C174" s="55">
        <f>C136</f>
        <v>536820</v>
      </c>
      <c r="D174" s="55">
        <f>D136</f>
        <v>0</v>
      </c>
      <c r="E174" s="55">
        <f>E136</f>
        <v>0</v>
      </c>
    </row>
    <row r="175" spans="1:5" ht="15">
      <c r="A175" s="109" t="s">
        <v>158</v>
      </c>
      <c r="B175" s="8"/>
      <c r="C175" s="9">
        <f>C141</f>
        <v>692978</v>
      </c>
      <c r="D175" s="9">
        <f>D141</f>
        <v>0</v>
      </c>
      <c r="E175" s="9">
        <f>E141</f>
        <v>0</v>
      </c>
    </row>
    <row r="176" spans="1:5" ht="15.75">
      <c r="A176" s="332" t="s">
        <v>159</v>
      </c>
      <c r="B176" s="333"/>
      <c r="C176" s="110">
        <f>C174-C175</f>
        <v>-156158</v>
      </c>
      <c r="D176" s="110">
        <f>D174-D175</f>
        <v>0</v>
      </c>
      <c r="E176" s="110">
        <f>E174-E175</f>
        <v>0</v>
      </c>
    </row>
    <row r="177" spans="1:5" ht="15">
      <c r="A177" s="334" t="s">
        <v>160</v>
      </c>
      <c r="B177" s="335"/>
      <c r="C177" s="65">
        <f>C156</f>
        <v>182000</v>
      </c>
      <c r="D177" s="65">
        <f>D156</f>
        <v>0</v>
      </c>
      <c r="E177" s="65">
        <f>E156</f>
        <v>0</v>
      </c>
    </row>
    <row r="178" spans="1:5" ht="15">
      <c r="A178" s="334" t="s">
        <v>161</v>
      </c>
      <c r="B178" s="335"/>
      <c r="C178" s="65">
        <f>C160</f>
        <v>33900</v>
      </c>
      <c r="D178" s="65">
        <f>D160</f>
        <v>33000</v>
      </c>
      <c r="E178" s="65">
        <f>E160</f>
        <v>28000</v>
      </c>
    </row>
    <row r="179" spans="1:5" ht="16.5" thickBot="1">
      <c r="A179" s="336" t="s">
        <v>162</v>
      </c>
      <c r="B179" s="337"/>
      <c r="C179" s="111">
        <f>C177-C178</f>
        <v>148100</v>
      </c>
      <c r="D179" s="111">
        <f>D177-D178</f>
        <v>-33000</v>
      </c>
      <c r="E179" s="111">
        <f>E177-E178</f>
        <v>-28000</v>
      </c>
    </row>
    <row r="180" spans="1:5" ht="16.5" thickBot="1">
      <c r="A180" s="338" t="s">
        <v>163</v>
      </c>
      <c r="B180" s="339"/>
      <c r="C180" s="112">
        <f>C173+C176+C179</f>
        <v>0</v>
      </c>
      <c r="D180" s="112">
        <f>D173+D176+D179</f>
        <v>0</v>
      </c>
      <c r="E180" s="112">
        <f>E173+E176+E179</f>
        <v>0</v>
      </c>
    </row>
    <row r="182" spans="2:5" ht="12.75">
      <c r="B182" s="113" t="s">
        <v>164</v>
      </c>
      <c r="C182" s="114">
        <f aca="true" t="shared" si="0" ref="C182:E183">C171+C174+C177</f>
        <v>2098577</v>
      </c>
      <c r="D182" s="114">
        <f t="shared" si="0"/>
        <v>1312383</v>
      </c>
      <c r="E182" s="114">
        <f t="shared" si="0"/>
        <v>1294083</v>
      </c>
    </row>
    <row r="183" spans="2:5" ht="12.75">
      <c r="B183" s="113" t="s">
        <v>165</v>
      </c>
      <c r="C183" s="114">
        <f t="shared" si="0"/>
        <v>2098577</v>
      </c>
      <c r="D183" s="114">
        <f t="shared" si="0"/>
        <v>1312383</v>
      </c>
      <c r="E183" s="114">
        <f t="shared" si="0"/>
        <v>1294083</v>
      </c>
    </row>
    <row r="184" spans="2:5" ht="12.75">
      <c r="B184" s="113"/>
      <c r="C184" s="114"/>
      <c r="D184" s="114"/>
      <c r="E184" s="114"/>
    </row>
    <row r="185" spans="2:5" ht="12.75">
      <c r="B185" s="113" t="s">
        <v>166</v>
      </c>
      <c r="C185" s="114">
        <f>C182-C63</f>
        <v>2097677</v>
      </c>
      <c r="D185" s="114">
        <f>D182-D63</f>
        <v>1311483</v>
      </c>
      <c r="E185" s="114">
        <f>E182-E63</f>
        <v>1293183</v>
      </c>
    </row>
    <row r="186" spans="2:5" ht="12.75">
      <c r="B186" s="113" t="s">
        <v>167</v>
      </c>
      <c r="C186" s="114">
        <f>C183-C126</f>
        <v>1725868</v>
      </c>
      <c r="D186" s="114">
        <f>D183-D126</f>
        <v>956783</v>
      </c>
      <c r="E186" s="114">
        <f>E183-E126</f>
        <v>940283</v>
      </c>
    </row>
    <row r="188" ht="12.75">
      <c r="B188" t="s">
        <v>196</v>
      </c>
    </row>
    <row r="189" spans="2:5" ht="12.75">
      <c r="B189" s="296" t="s">
        <v>205</v>
      </c>
      <c r="C189" s="296"/>
      <c r="D189" s="296"/>
      <c r="E189" s="296"/>
    </row>
    <row r="190" spans="2:5" ht="12.75">
      <c r="B190" s="296" t="s">
        <v>206</v>
      </c>
      <c r="C190" s="296"/>
      <c r="D190" s="296"/>
      <c r="E190" s="296"/>
    </row>
  </sheetData>
  <sheetProtection/>
  <mergeCells count="46">
    <mergeCell ref="B189:E189"/>
    <mergeCell ref="B190:E190"/>
    <mergeCell ref="A173:B173"/>
    <mergeCell ref="A176:B176"/>
    <mergeCell ref="A177:B177"/>
    <mergeCell ref="A178:B178"/>
    <mergeCell ref="A179:B179"/>
    <mergeCell ref="A180:B180"/>
    <mergeCell ref="A156:B156"/>
    <mergeCell ref="A160:B160"/>
    <mergeCell ref="A168:E168"/>
    <mergeCell ref="A169:B170"/>
    <mergeCell ref="C169:C170"/>
    <mergeCell ref="D169:D170"/>
    <mergeCell ref="E169:E170"/>
    <mergeCell ref="A136:B136"/>
    <mergeCell ref="A141:B141"/>
    <mergeCell ref="A153:E153"/>
    <mergeCell ref="A154:B155"/>
    <mergeCell ref="C154:C155"/>
    <mergeCell ref="D154:D155"/>
    <mergeCell ref="E154:E155"/>
    <mergeCell ref="A75:B75"/>
    <mergeCell ref="A77:B77"/>
    <mergeCell ref="A109:B109"/>
    <mergeCell ref="A126:B126"/>
    <mergeCell ref="A133:E133"/>
    <mergeCell ref="A134:B135"/>
    <mergeCell ref="C134:C135"/>
    <mergeCell ref="D134:D135"/>
    <mergeCell ref="E134:E135"/>
    <mergeCell ref="A6:B6"/>
    <mergeCell ref="A14:B14"/>
    <mergeCell ref="A32:B32"/>
    <mergeCell ref="A34:B34"/>
    <mergeCell ref="A67:E67"/>
    <mergeCell ref="A68:B69"/>
    <mergeCell ref="C68:C69"/>
    <mergeCell ref="D68:D69"/>
    <mergeCell ref="E68:E69"/>
    <mergeCell ref="A1:E1"/>
    <mergeCell ref="A3:E3"/>
    <mergeCell ref="A4:B5"/>
    <mergeCell ref="C4:C5"/>
    <mergeCell ref="D4:D5"/>
    <mergeCell ref="E4:E5"/>
  </mergeCell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TkacikovaA</dc:creator>
  <cp:keywords/>
  <dc:description/>
  <cp:lastModifiedBy>TkacikovaA</cp:lastModifiedBy>
  <cp:lastPrinted>2014-12-18T22:50:55Z</cp:lastPrinted>
  <dcterms:created xsi:type="dcterms:W3CDTF">2013-02-11T08:36:00Z</dcterms:created>
  <dcterms:modified xsi:type="dcterms:W3CDTF">2014-12-18T22:51:12Z</dcterms:modified>
  <cp:category/>
  <cp:version/>
  <cp:contentType/>
  <cp:contentStatus/>
</cp:coreProperties>
</file>