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7-19" sheetId="2" r:id="rId1"/>
    <sheet name="2017" sheetId="1" r:id="rId2"/>
  </sheets>
  <calcPr calcId="152511"/>
</workbook>
</file>

<file path=xl/calcChain.xml><?xml version="1.0" encoding="utf-8"?>
<calcChain xmlns="http://schemas.openxmlformats.org/spreadsheetml/2006/main">
  <c r="C179" i="2" l="1"/>
  <c r="C180" i="2"/>
  <c r="C183" i="2" s="1"/>
  <c r="C182" i="2"/>
  <c r="C38" i="2"/>
  <c r="C169" i="2"/>
  <c r="C171" i="2"/>
  <c r="C173" i="2" s="1"/>
  <c r="C172" i="2"/>
  <c r="C174" i="2"/>
  <c r="C176" i="2" s="1"/>
  <c r="C175" i="2"/>
  <c r="C159" i="2"/>
  <c r="C156" i="2"/>
  <c r="C155" i="2" s="1"/>
  <c r="C139" i="2"/>
  <c r="C135" i="2"/>
  <c r="C127" i="2"/>
  <c r="C125" i="2" s="1"/>
  <c r="C110" i="2"/>
  <c r="C109" i="2"/>
  <c r="C108" i="2"/>
  <c r="C105" i="2"/>
  <c r="C104" i="2"/>
  <c r="C103" i="2"/>
  <c r="C102" i="2"/>
  <c r="C101" i="2"/>
  <c r="C100" i="2"/>
  <c r="C98" i="2"/>
  <c r="C95" i="2"/>
  <c r="C92" i="2"/>
  <c r="C89" i="2" s="1"/>
  <c r="C87" i="2"/>
  <c r="C86" i="2"/>
  <c r="C84" i="2"/>
  <c r="C82" i="2"/>
  <c r="C81" i="2"/>
  <c r="C76" i="2"/>
  <c r="C75" i="2" s="1"/>
  <c r="C74" i="2"/>
  <c r="C73" i="2"/>
  <c r="C72" i="2" s="1"/>
  <c r="C71" i="2"/>
  <c r="C70" i="2" s="1"/>
  <c r="C68" i="2"/>
  <c r="C67" i="2"/>
  <c r="C66" i="2"/>
  <c r="C65" i="2"/>
  <c r="C57" i="2"/>
  <c r="C55" i="2"/>
  <c r="C54" i="2"/>
  <c r="C52" i="2"/>
  <c r="C46" i="2"/>
  <c r="C45" i="2"/>
  <c r="C44" i="2"/>
  <c r="C43" i="2"/>
  <c r="C37" i="2"/>
  <c r="C36" i="2"/>
  <c r="C32" i="2"/>
  <c r="C31" i="2" s="1"/>
  <c r="C27" i="2"/>
  <c r="C25" i="2"/>
  <c r="C23" i="2"/>
  <c r="C22" i="2"/>
  <c r="C21" i="2"/>
  <c r="C17" i="2"/>
  <c r="C16" i="2"/>
  <c r="C13" i="2"/>
  <c r="C5" i="2"/>
  <c r="C4" i="2" s="1"/>
  <c r="C130" i="2" l="1"/>
  <c r="C93" i="2"/>
  <c r="C114" i="2"/>
  <c r="C118" i="2" s="1"/>
  <c r="C85" i="2"/>
  <c r="C107" i="2"/>
  <c r="C99" i="2"/>
  <c r="C64" i="2"/>
  <c r="C12" i="2"/>
  <c r="C80" i="2"/>
  <c r="C40" i="2"/>
  <c r="C33" i="2"/>
  <c r="C56" i="2" l="1"/>
  <c r="C58" i="2" s="1"/>
  <c r="C168" i="2" s="1"/>
  <c r="C170" i="2" s="1"/>
  <c r="C177" i="2" s="1"/>
  <c r="C113" i="2"/>
  <c r="C119" i="2" s="1"/>
  <c r="I159" i="2" l="1"/>
  <c r="H159" i="2"/>
  <c r="I158" i="2"/>
  <c r="F159" i="2"/>
  <c r="F175" i="2" s="1"/>
  <c r="E159" i="2"/>
  <c r="E175" i="2" s="1"/>
  <c r="D159" i="2"/>
  <c r="D175" i="2" s="1"/>
  <c r="F155" i="2"/>
  <c r="F174" i="2" s="1"/>
  <c r="E155" i="2"/>
  <c r="E174" i="2" s="1"/>
  <c r="D155" i="2"/>
  <c r="D174" i="2" s="1"/>
  <c r="F130" i="2"/>
  <c r="F172" i="2" s="1"/>
  <c r="E130" i="2"/>
  <c r="E172" i="2" s="1"/>
  <c r="D130" i="2"/>
  <c r="D172" i="2" s="1"/>
  <c r="D128" i="2"/>
  <c r="D125" i="2" s="1"/>
  <c r="D171" i="2" s="1"/>
  <c r="F125" i="2"/>
  <c r="F171" i="2" s="1"/>
  <c r="E125" i="2"/>
  <c r="E171" i="2" s="1"/>
  <c r="E173" i="2" s="1"/>
  <c r="D114" i="2"/>
  <c r="D118" i="2" s="1"/>
  <c r="F107" i="2"/>
  <c r="E107" i="2"/>
  <c r="D107" i="2"/>
  <c r="F99" i="2"/>
  <c r="E99" i="2"/>
  <c r="D99" i="2"/>
  <c r="F93" i="2"/>
  <c r="E93" i="2"/>
  <c r="D93" i="2"/>
  <c r="F89" i="2"/>
  <c r="E89" i="2"/>
  <c r="D89" i="2"/>
  <c r="F86" i="2"/>
  <c r="F85" i="2" s="1"/>
  <c r="E86" i="2"/>
  <c r="E85" i="2" s="1"/>
  <c r="D86" i="2"/>
  <c r="D85" i="2" s="1"/>
  <c r="F80" i="2"/>
  <c r="E80" i="2"/>
  <c r="D80" i="2"/>
  <c r="F75" i="2"/>
  <c r="E75" i="2"/>
  <c r="D75" i="2"/>
  <c r="F74" i="2"/>
  <c r="F72" i="2" s="1"/>
  <c r="E74" i="2"/>
  <c r="E72" i="2" s="1"/>
  <c r="D74" i="2"/>
  <c r="D72" i="2" s="1"/>
  <c r="F70" i="2"/>
  <c r="E70" i="2"/>
  <c r="D70" i="2"/>
  <c r="F67" i="2"/>
  <c r="F64" i="2" s="1"/>
  <c r="E67" i="2"/>
  <c r="E64" i="2" s="1"/>
  <c r="D64" i="2"/>
  <c r="F57" i="2"/>
  <c r="F114" i="2" s="1"/>
  <c r="F118" i="2" s="1"/>
  <c r="E57" i="2"/>
  <c r="E114" i="2" s="1"/>
  <c r="E118" i="2" s="1"/>
  <c r="F52" i="2"/>
  <c r="F40" i="2" s="1"/>
  <c r="E52" i="2"/>
  <c r="E40" i="2" s="1"/>
  <c r="D52" i="2"/>
  <c r="D40" i="2" s="1"/>
  <c r="F33" i="2"/>
  <c r="E33" i="2"/>
  <c r="D33" i="2"/>
  <c r="F32" i="2"/>
  <c r="F31" i="2" s="1"/>
  <c r="E32" i="2"/>
  <c r="E31" i="2" s="1"/>
  <c r="D31" i="2"/>
  <c r="F27" i="2"/>
  <c r="F12" i="2" s="1"/>
  <c r="E27" i="2"/>
  <c r="E12" i="2" s="1"/>
  <c r="D12" i="2"/>
  <c r="F4" i="2"/>
  <c r="E4" i="2"/>
  <c r="D4" i="2"/>
  <c r="F173" i="2" l="1"/>
  <c r="D173" i="2"/>
  <c r="E176" i="2"/>
  <c r="D56" i="2"/>
  <c r="D58" i="2" s="1"/>
  <c r="D168" i="2" s="1"/>
  <c r="D179" i="2" s="1"/>
  <c r="D182" i="2" s="1"/>
  <c r="E56" i="2"/>
  <c r="E58" i="2" s="1"/>
  <c r="E168" i="2" s="1"/>
  <c r="E179" i="2" s="1"/>
  <c r="E182" i="2" s="1"/>
  <c r="F56" i="2"/>
  <c r="F58" i="2" s="1"/>
  <c r="F168" i="2" s="1"/>
  <c r="F179" i="2" s="1"/>
  <c r="F182" i="2" s="1"/>
  <c r="F113" i="2"/>
  <c r="F119" i="2" s="1"/>
  <c r="F169" i="2" s="1"/>
  <c r="D113" i="2"/>
  <c r="D119" i="2" s="1"/>
  <c r="D169" i="2" s="1"/>
  <c r="D180" i="2" s="1"/>
  <c r="D183" i="2" s="1"/>
  <c r="E113" i="2"/>
  <c r="E119" i="2" s="1"/>
  <c r="E169" i="2" s="1"/>
  <c r="E180" i="2" s="1"/>
  <c r="E183" i="2" s="1"/>
  <c r="F176" i="2"/>
  <c r="D176" i="2"/>
  <c r="E86" i="1"/>
  <c r="D86" i="1"/>
  <c r="C86" i="1"/>
  <c r="D12" i="1"/>
  <c r="D56" i="1" s="1"/>
  <c r="D58" i="1" s="1"/>
  <c r="D167" i="1" s="1"/>
  <c r="E12" i="1"/>
  <c r="D33" i="1"/>
  <c r="E33" i="1"/>
  <c r="D40" i="1"/>
  <c r="E40" i="1"/>
  <c r="D118" i="1"/>
  <c r="E118" i="1"/>
  <c r="D130" i="1"/>
  <c r="E130" i="1"/>
  <c r="D125" i="1"/>
  <c r="E125" i="1"/>
  <c r="E57" i="1"/>
  <c r="E114" i="1" s="1"/>
  <c r="D57" i="1"/>
  <c r="D114" i="1" s="1"/>
  <c r="F180" i="2" l="1"/>
  <c r="F183" i="2" s="1"/>
  <c r="F170" i="2"/>
  <c r="F177" i="2" s="1"/>
  <c r="D170" i="2"/>
  <c r="D177" i="2" s="1"/>
  <c r="E170" i="2"/>
  <c r="E177" i="2" s="1"/>
  <c r="C128" i="1"/>
  <c r="H159" i="1" l="1"/>
  <c r="G159" i="1"/>
  <c r="H158" i="1"/>
  <c r="E158" i="1" l="1"/>
  <c r="E174" i="1" s="1"/>
  <c r="D158" i="1"/>
  <c r="D174" i="1" s="1"/>
  <c r="C158" i="1"/>
  <c r="C174" i="1" s="1"/>
  <c r="E154" i="1"/>
  <c r="E173" i="1" s="1"/>
  <c r="D154" i="1"/>
  <c r="D173" i="1" s="1"/>
  <c r="C154" i="1"/>
  <c r="C173" i="1" s="1"/>
  <c r="E170" i="1"/>
  <c r="D170" i="1"/>
  <c r="C125" i="1"/>
  <c r="C170" i="1" s="1"/>
  <c r="C107" i="1"/>
  <c r="E89" i="1"/>
  <c r="D89" i="1"/>
  <c r="C89" i="1"/>
  <c r="C80" i="1"/>
  <c r="E75" i="1"/>
  <c r="D75" i="1"/>
  <c r="C75" i="1"/>
  <c r="E74" i="1"/>
  <c r="D74" i="1"/>
  <c r="C74" i="1"/>
  <c r="E70" i="1"/>
  <c r="D70" i="1"/>
  <c r="C70" i="1"/>
  <c r="E67" i="1"/>
  <c r="D67" i="1"/>
  <c r="C114" i="1"/>
  <c r="C118" i="1" s="1"/>
  <c r="E52" i="1"/>
  <c r="D52" i="1"/>
  <c r="C52" i="1"/>
  <c r="E32" i="1"/>
  <c r="E31" i="1" s="1"/>
  <c r="D32" i="1"/>
  <c r="D31" i="1" s="1"/>
  <c r="C31" i="1"/>
  <c r="E27" i="1"/>
  <c r="D27" i="1"/>
  <c r="E4" i="1"/>
  <c r="E56" i="1" s="1"/>
  <c r="E58" i="1" s="1"/>
  <c r="E167" i="1" s="1"/>
  <c r="D4" i="1"/>
  <c r="C4" i="1"/>
  <c r="E93" i="1" l="1"/>
  <c r="E72" i="1"/>
  <c r="D93" i="1"/>
  <c r="C33" i="1"/>
  <c r="C93" i="1"/>
  <c r="E85" i="1"/>
  <c r="E113" i="1" s="1"/>
  <c r="D107" i="1"/>
  <c r="C130" i="1"/>
  <c r="E171" i="1"/>
  <c r="E172" i="1" s="1"/>
  <c r="C72" i="1"/>
  <c r="D171" i="1"/>
  <c r="D172" i="1" s="1"/>
  <c r="D175" i="1"/>
  <c r="D64" i="1"/>
  <c r="C64" i="1"/>
  <c r="C85" i="1"/>
  <c r="E99" i="1"/>
  <c r="E107" i="1"/>
  <c r="C99" i="1"/>
  <c r="C12" i="1"/>
  <c r="C40" i="1"/>
  <c r="E64" i="1"/>
  <c r="D72" i="1"/>
  <c r="E80" i="1"/>
  <c r="D80" i="1"/>
  <c r="D85" i="1"/>
  <c r="D113" i="1" s="1"/>
  <c r="D99" i="1"/>
  <c r="E175" i="1"/>
  <c r="C175" i="1"/>
  <c r="C171" i="1" l="1"/>
  <c r="C172" i="1" s="1"/>
  <c r="D178" i="1"/>
  <c r="D181" i="1" s="1"/>
  <c r="E178" i="1"/>
  <c r="E181" i="1" s="1"/>
  <c r="C113" i="1"/>
  <c r="C119" i="1" s="1"/>
  <c r="C168" i="1" s="1"/>
  <c r="C179" i="1" s="1"/>
  <c r="C182" i="1" s="1"/>
  <c r="E119" i="1"/>
  <c r="C56" i="1"/>
  <c r="C58" i="1" s="1"/>
  <c r="C167" i="1" s="1"/>
  <c r="C178" i="1" s="1"/>
  <c r="C181" i="1" s="1"/>
  <c r="D119" i="1"/>
  <c r="D168" i="1" l="1"/>
  <c r="D179" i="1" s="1"/>
  <c r="D182" i="1" s="1"/>
  <c r="E168" i="1"/>
  <c r="E169" i="1" s="1"/>
  <c r="E176" i="1" s="1"/>
  <c r="C169" i="1"/>
  <c r="C176" i="1" s="1"/>
  <c r="D169" i="1"/>
  <c r="D176" i="1" s="1"/>
  <c r="E179" i="1" l="1"/>
  <c r="E182" i="1" s="1"/>
</calcChain>
</file>

<file path=xl/comments1.xml><?xml version="1.0" encoding="utf-8"?>
<comments xmlns="http://schemas.openxmlformats.org/spreadsheetml/2006/main">
  <authors>
    <author>Autor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<sst xmlns="http://schemas.openxmlformats.org/spreadsheetml/2006/main" count="467" uniqueCount="211">
  <si>
    <t>Bežný rozpočet - príjmy</t>
  </si>
  <si>
    <t>Názov položky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</si>
  <si>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</si>
  <si>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</si>
  <si>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</si>
  <si>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</si>
  <si>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</si>
  <si>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</si>
  <si>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</si>
  <si>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</si>
  <si>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</si>
  <si>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</si>
  <si>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</si>
  <si>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</si>
  <si>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</si>
  <si>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</si>
  <si>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</si>
  <si>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</si>
  <si>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</si>
  <si>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</si>
  <si>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zo vstupného, kult.činnosti, HDST</t>
  </si>
  <si>
    <t>príjem za separovaný zber</t>
  </si>
  <si>
    <t>poplatok za služby v Dome smútku</t>
  </si>
  <si>
    <t>poplatok za stočné</t>
  </si>
  <si>
    <t>poplatky za služby pri užívaní obec.nebyt.priestorov</t>
  </si>
  <si>
    <t>príjem za réžiu v ŠKJ</t>
  </si>
  <si>
    <t>príspevok rodičov na náklady zariadenia ZUŠ</t>
  </si>
  <si>
    <t>príspevok rodičov na náklady zariadenia MŠ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</si>
  <si>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</si>
  <si>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</si>
  <si>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</si>
  <si>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</si>
  <si>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</si>
  <si>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</si>
  <si>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>príjem z dobropisov a vratiek</t>
  </si>
  <si>
    <t>príjem z refundácie za skladníka CO z MV SR</t>
  </si>
  <si>
    <t>príjmy z refundácií</t>
  </si>
  <si>
    <t>príjmy z refundácie zo SF</t>
  </si>
  <si>
    <t>granty, dotácie, transfery</t>
  </si>
  <si>
    <t>Dotácia MV SR - voľby</t>
  </si>
  <si>
    <t>Dotácia UPSVR na deti v hm.núdzi /strava,šk.potreby/</t>
  </si>
  <si>
    <t>Dotácia UPSVR na osobitného príjemcu rod.prídavkov</t>
  </si>
  <si>
    <t>Dotácia UPSVR na aktivačnú činnosť, PRMZ</t>
  </si>
  <si>
    <t>Transfer od obcí na SpU opatr.služby</t>
  </si>
  <si>
    <t>Transfer od ZŠ na SpU školstva</t>
  </si>
  <si>
    <t>Transfer od obcí na SpU stavebný</t>
  </si>
  <si>
    <t>Dotácia BBSKna FF Kolovrátok</t>
  </si>
  <si>
    <t>Dotácia z Recyklačného fondu</t>
  </si>
  <si>
    <t>Dotácia DPO SR na Dobr.hasič.zbor obce</t>
  </si>
  <si>
    <t>Dotácia z Fondu na podporu umenia</t>
  </si>
  <si>
    <t>Dotácia MV SR na matričnú čin., register obyv., adries</t>
  </si>
  <si>
    <t>Dotácia MDVRR,MŽP na stavebný úrad</t>
  </si>
  <si>
    <t>Dotácia OkU na výchovu,vzdelávanie v MŠ</t>
  </si>
  <si>
    <t>Transfer pre ZŠ - právny subjekt</t>
  </si>
  <si>
    <t>BEŽNÉ PRÍJMY obce:</t>
  </si>
  <si>
    <t>RO</t>
  </si>
  <si>
    <t>Vlastný príjem ZŠ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</si>
  <si>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</si>
  <si>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</si>
  <si>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</si>
  <si>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</si>
  <si>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</si>
  <si>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</si>
  <si>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(HKON,audit,popl,fin.správa)</t>
  </si>
  <si>
    <t>0131</t>
  </si>
  <si>
    <t>Propagácia a reprezentačné</t>
  </si>
  <si>
    <t>0133</t>
  </si>
  <si>
    <t>Všeobec.služby (Matrika,REGOB,evidencie, správa)</t>
  </si>
  <si>
    <t>0160</t>
  </si>
  <si>
    <t>Všeob.verejné služby (Voľby)</t>
  </si>
  <si>
    <t>02 Obrana</t>
  </si>
  <si>
    <t>0220</t>
  </si>
  <si>
    <t>Civilná ochrana (Skladník CO, evidencie)</t>
  </si>
  <si>
    <t>03 Verejný poriadok a bezpečnosť</t>
  </si>
  <si>
    <t>0320</t>
  </si>
  <si>
    <t>Ochrana pred požiarmi (Prevádzka dobr.hasič.zboru)</t>
  </si>
  <si>
    <t>0360</t>
  </si>
  <si>
    <t>Bezpečnosť (Kamer.systém, bezpečn. projekt)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</si>
  <si>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</si>
  <si>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</si>
  <si>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</si>
  <si>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</si>
  <si>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</si>
  <si>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</si>
  <si>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</si>
  <si>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0460</t>
  </si>
  <si>
    <t>Komunikácia (prevádzka kom.systémov, WIFI)</t>
  </si>
  <si>
    <t>05 Ochrana životného prostredia</t>
  </si>
  <si>
    <t>0510</t>
  </si>
  <si>
    <t>Naklad.s odpadmi (Zber,ulož.KO,prevádzka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</si>
  <si>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</si>
  <si>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</si>
  <si>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</si>
  <si>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</si>
  <si>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</si>
  <si>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</si>
  <si>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</si>
  <si>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</si>
  <si>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</si>
  <si>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</si>
  <si>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</si>
  <si>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</si>
  <si>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</si>
  <si>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</si>
  <si>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</si>
  <si>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</si>
  <si>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</si>
  <si>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</si>
  <si>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</si>
  <si>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</t>
  </si>
  <si>
    <t>08 Rekreácia, kultúra a náboženstvo</t>
  </si>
  <si>
    <t>0810</t>
  </si>
  <si>
    <t>Rekreač.,šport.služby (prevádzka šport.areálu, ŠK)</t>
  </si>
  <si>
    <t>0820</t>
  </si>
  <si>
    <t>Správa kult.služieb a zariad. (KUL,MĽK,AMF,podujatia)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</si>
  <si>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</si>
  <si>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</si>
  <si>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</si>
  <si>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</si>
  <si>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</si>
  <si>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Spoločen.kult,šport.aktivity</t>
  </si>
  <si>
    <t>09 Vzdelávanie</t>
  </si>
  <si>
    <t>09111</t>
  </si>
  <si>
    <t>Predprimárne vzdelávanie (Prevádzka MŠ)</t>
  </si>
  <si>
    <t>0950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</si>
  <si>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</si>
  <si>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</si>
  <si>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</si>
  <si>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</si>
  <si>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</si>
  <si>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Vedľ.služby v rámci niž.sekund. vzdel. (ŠKJ pre 2.st.ZŠ)</t>
  </si>
  <si>
    <t>09608</t>
  </si>
  <si>
    <t>Vedľ.služby nedefinované (ŠKJ pre ostat, SÚ ŠKOL)</t>
  </si>
  <si>
    <t>0980</t>
  </si>
  <si>
    <t>Správa a riadenie vzdelávania</t>
  </si>
  <si>
    <t>10 Sociálne zabezpečenie</t>
  </si>
  <si>
    <t>1020</t>
  </si>
  <si>
    <t>Staroba (Opatrovateľská služba a SÚ OSL)</t>
  </si>
  <si>
    <t>1040</t>
  </si>
  <si>
    <t>Rodina a deti (Mat.centrum, príspevky na deti v HN)</t>
  </si>
  <si>
    <t>1050</t>
  </si>
  <si>
    <t>Nezamestnanosť (Aktivačná činnosť a podpora region.zamestnávania)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</si>
  <si>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</si>
  <si>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</si>
  <si>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</si>
  <si>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</si>
  <si>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</si>
  <si>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09121</t>
  </si>
  <si>
    <t>Transfer pre ZŠ</t>
  </si>
  <si>
    <t>09502</t>
  </si>
  <si>
    <t>Transfer pre ŠKD</t>
  </si>
  <si>
    <t>Transfer pre ZŠ :</t>
  </si>
  <si>
    <t>BEŽNÉ VÝDAVKY CELKOM:</t>
  </si>
  <si>
    <t>Kapitálový rozpočet</t>
  </si>
  <si>
    <t>Kapitálové príjmy</t>
  </si>
  <si>
    <t>predaj budov</t>
  </si>
  <si>
    <t>predaj pozemkov</t>
  </si>
  <si>
    <t>KT MVSR kamerový systém</t>
  </si>
  <si>
    <t>Kapitálové výdavky</t>
  </si>
  <si>
    <t>Kamerový systém</t>
  </si>
  <si>
    <t>Chodník k žel.stanici</t>
  </si>
  <si>
    <t>0610</t>
  </si>
  <si>
    <t>Projektová dokumentácia</t>
  </si>
  <si>
    <t>Rekonštrukcia rozhlasu</t>
  </si>
  <si>
    <t xml:space="preserve"> </t>
  </si>
  <si>
    <t>Finančné operácie</t>
  </si>
  <si>
    <t>príjmové</t>
  </si>
  <si>
    <t>prevod z FRO - investičné akcie</t>
  </si>
  <si>
    <t>prevody fondu prev.údržby,opráv bytov</t>
  </si>
  <si>
    <t>návratné zdroje financovania</t>
  </si>
  <si>
    <t>výdavkové</t>
  </si>
  <si>
    <t>splácanie inv. úveru na projekty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</si>
  <si>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</si>
  <si>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</si>
  <si>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</si>
  <si>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</si>
  <si>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</si>
  <si>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</si>
  <si>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</si>
  <si>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</si>
  <si>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</si>
  <si>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</si>
  <si>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</si>
  <si>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</si>
  <si>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</si>
  <si>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</si>
  <si>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</si>
  <si>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</si>
  <si>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</si>
  <si>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 xml:space="preserve">Rozpočet obce Heľpa na rok 2017 schválilo OZ uz.č.   dňa </t>
  </si>
  <si>
    <t>Náučný chodník</t>
  </si>
  <si>
    <t>Zmena palivovej základne MŠ</t>
  </si>
  <si>
    <t>Zmena palivovej základne zdr.strediska</t>
  </si>
  <si>
    <t>Kanalizácia na ul. Hlavná</t>
  </si>
  <si>
    <t>Spoločenská miestnosť</t>
  </si>
  <si>
    <t>Betónová plocha na klzisku v športovom areáli</t>
  </si>
  <si>
    <t>Rekonštrukcia strechy na budove štadióna</t>
  </si>
  <si>
    <t>Zníž.energet.náročnosti OcÚ</t>
  </si>
  <si>
    <t>Nákup kopírovacieho stroja</t>
  </si>
  <si>
    <t>KT M SR (inv.akcie)</t>
  </si>
  <si>
    <t>60%*1 635 620=</t>
  </si>
  <si>
    <t>25%=</t>
  </si>
  <si>
    <t>Transfer pre ZUŠ</t>
  </si>
  <si>
    <t>Transfer pre MŠ</t>
  </si>
  <si>
    <t>Infraštruktúra IBV Teplica II.-miest.komunik.vrchná časť</t>
  </si>
  <si>
    <t>ŠKJ - vzduchotechnika, šporák,umývačka</t>
  </si>
  <si>
    <t>Záujmové vzdelávanie (Prevádzka ZUŠ, školenia)</t>
  </si>
  <si>
    <t xml:space="preserve">Oddychová zóna v športovom areáli </t>
  </si>
  <si>
    <t>Detské ihrisko v športovom areáli</t>
  </si>
  <si>
    <t>Nákup pozemkov,budov, objektov na ver. účely</t>
  </si>
  <si>
    <t>zastávka,zber.dvor,sanácia,bezbariérový,informačný,tabuľa,mikrobus,el.ZŠ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</si>
</sst>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0"/>
      <name val="Arial CE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indexed="10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3" fontId="2" fillId="2" borderId="10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3" fillId="0" borderId="12" xfId="0" applyFont="1" applyFill="1" applyBorder="1"/>
    <xf numFmtId="3" fontId="3" fillId="0" borderId="13" xfId="0" applyNumberFormat="1" applyFont="1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9" xfId="0" applyFill="1" applyBorder="1"/>
    <xf numFmtId="0" fontId="0" fillId="0" borderId="20" xfId="0" applyBorder="1"/>
    <xf numFmtId="3" fontId="0" fillId="0" borderId="21" xfId="0" applyNumberFormat="1" applyBorder="1"/>
    <xf numFmtId="0" fontId="0" fillId="0" borderId="22" xfId="0" applyFill="1" applyBorder="1"/>
    <xf numFmtId="0" fontId="0" fillId="0" borderId="23" xfId="0" applyBorder="1"/>
    <xf numFmtId="3" fontId="4" fillId="0" borderId="9" xfId="0" applyNumberFormat="1" applyFont="1" applyBorder="1"/>
    <xf numFmtId="0" fontId="0" fillId="0" borderId="24" xfId="0" applyFill="1" applyBorder="1"/>
    <xf numFmtId="0" fontId="0" fillId="0" borderId="25" xfId="0" applyBorder="1"/>
    <xf numFmtId="3" fontId="5" fillId="0" borderId="6" xfId="0" applyNumberFormat="1" applyFont="1" applyBorder="1"/>
    <xf numFmtId="3" fontId="5" fillId="0" borderId="18" xfId="0" applyNumberFormat="1" applyFont="1" applyBorder="1"/>
    <xf numFmtId="3" fontId="5" fillId="0" borderId="21" xfId="0" applyNumberFormat="1" applyFont="1" applyBorder="1"/>
    <xf numFmtId="3" fontId="5" fillId="0" borderId="21" xfId="0" applyNumberFormat="1" applyFont="1" applyFill="1" applyBorder="1"/>
    <xf numFmtId="0" fontId="0" fillId="0" borderId="11" xfId="0" applyFill="1" applyBorder="1"/>
    <xf numFmtId="0" fontId="0" fillId="0" borderId="12" xfId="0" applyBorder="1"/>
    <xf numFmtId="3" fontId="5" fillId="0" borderId="13" xfId="0" applyNumberFormat="1" applyFont="1" applyBorder="1"/>
    <xf numFmtId="3" fontId="4" fillId="0" borderId="10" xfId="0" applyNumberFormat="1" applyFont="1" applyBorder="1"/>
    <xf numFmtId="3" fontId="4" fillId="0" borderId="21" xfId="0" applyNumberFormat="1" applyFont="1" applyBorder="1"/>
    <xf numFmtId="3" fontId="5" fillId="0" borderId="9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11" xfId="0" applyBorder="1"/>
    <xf numFmtId="0" fontId="0" fillId="0" borderId="26" xfId="0" applyBorder="1"/>
    <xf numFmtId="0" fontId="3" fillId="0" borderId="2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0" fontId="2" fillId="2" borderId="14" xfId="0" applyFont="1" applyFill="1" applyBorder="1"/>
    <xf numFmtId="0" fontId="3" fillId="2" borderId="15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3" fontId="6" fillId="0" borderId="21" xfId="0" applyNumberFormat="1" applyFont="1" applyFill="1" applyBorder="1"/>
    <xf numFmtId="0" fontId="3" fillId="0" borderId="16" xfId="0" applyFont="1" applyFill="1" applyBorder="1"/>
    <xf numFmtId="0" fontId="3" fillId="0" borderId="20" xfId="0" applyFont="1" applyBorder="1"/>
    <xf numFmtId="3" fontId="7" fillId="0" borderId="18" xfId="0" applyNumberFormat="1" applyFont="1" applyBorder="1"/>
    <xf numFmtId="0" fontId="6" fillId="0" borderId="16" xfId="0" applyFont="1" applyFill="1" applyBorder="1"/>
    <xf numFmtId="3" fontId="6" fillId="0" borderId="18" xfId="0" applyNumberFormat="1" applyFont="1" applyFill="1" applyBorder="1"/>
    <xf numFmtId="0" fontId="3" fillId="0" borderId="19" xfId="0" applyFont="1" applyFill="1" applyBorder="1"/>
    <xf numFmtId="0" fontId="0" fillId="0" borderId="20" xfId="0" applyFill="1" applyBorder="1"/>
    <xf numFmtId="0" fontId="4" fillId="0" borderId="20" xfId="0" applyFont="1" applyFill="1" applyBorder="1"/>
    <xf numFmtId="0" fontId="3" fillId="4" borderId="19" xfId="0" applyFont="1" applyFill="1" applyBorder="1"/>
    <xf numFmtId="0" fontId="2" fillId="4" borderId="20" xfId="0" applyFont="1" applyFill="1" applyBorder="1"/>
    <xf numFmtId="3" fontId="2" fillId="4" borderId="21" xfId="0" applyNumberFormat="1" applyFont="1" applyFill="1" applyBorder="1"/>
    <xf numFmtId="0" fontId="8" fillId="2" borderId="14" xfId="0" applyFont="1" applyFill="1" applyBorder="1"/>
    <xf numFmtId="0" fontId="0" fillId="2" borderId="15" xfId="0" applyFill="1" applyBorder="1"/>
    <xf numFmtId="3" fontId="8" fillId="2" borderId="10" xfId="0" applyNumberFormat="1" applyFont="1" applyFill="1" applyBorder="1" applyAlignment="1">
      <alignment horizontal="right"/>
    </xf>
    <xf numFmtId="0" fontId="3" fillId="4" borderId="29" xfId="0" applyFont="1" applyFill="1" applyBorder="1"/>
    <xf numFmtId="0" fontId="2" fillId="4" borderId="30" xfId="0" applyFont="1" applyFill="1" applyBorder="1"/>
    <xf numFmtId="3" fontId="8" fillId="4" borderId="3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Fill="1" applyBorder="1"/>
    <xf numFmtId="3" fontId="8" fillId="0" borderId="0" xfId="0" applyNumberFormat="1" applyFont="1" applyFill="1" applyBorder="1" applyAlignment="1">
      <alignment horizontal="left"/>
    </xf>
    <xf numFmtId="0" fontId="2" fillId="5" borderId="14" xfId="0" applyFont="1" applyFill="1" applyBorder="1"/>
    <xf numFmtId="0" fontId="2" fillId="5" borderId="15" xfId="0" applyFont="1" applyFill="1" applyBorder="1"/>
    <xf numFmtId="3" fontId="2" fillId="5" borderId="10" xfId="0" applyNumberFormat="1" applyFont="1" applyFill="1" applyBorder="1" applyAlignment="1">
      <alignment horizontal="right"/>
    </xf>
    <xf numFmtId="49" fontId="0" fillId="0" borderId="16" xfId="0" applyNumberForma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49" fontId="0" fillId="0" borderId="19" xfId="0" applyNumberForma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49" fontId="0" fillId="0" borderId="19" xfId="0" applyNumberForma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49" fontId="0" fillId="0" borderId="29" xfId="0" applyNumberForma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49" fontId="3" fillId="0" borderId="24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right"/>
    </xf>
    <xf numFmtId="0" fontId="0" fillId="5" borderId="15" xfId="0" applyFill="1" applyBorder="1"/>
    <xf numFmtId="49" fontId="3" fillId="0" borderId="16" xfId="0" applyNumberFormat="1" applyFont="1" applyFill="1" applyBorder="1" applyAlignment="1">
      <alignment horizontal="right"/>
    </xf>
    <xf numFmtId="49" fontId="0" fillId="0" borderId="24" xfId="0" applyNumberFormat="1" applyFill="1" applyBorder="1" applyAlignment="1">
      <alignment horizontal="right"/>
    </xf>
    <xf numFmtId="0" fontId="3" fillId="0" borderId="2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30" xfId="0" applyFont="1" applyBorder="1"/>
    <xf numFmtId="3" fontId="3" fillId="0" borderId="31" xfId="0" applyNumberFormat="1" applyFont="1" applyBorder="1" applyAlignment="1">
      <alignment horizontal="right"/>
    </xf>
    <xf numFmtId="49" fontId="0" fillId="0" borderId="22" xfId="0" applyNumberFormat="1" applyFill="1" applyBorder="1" applyAlignment="1">
      <alignment horizontal="right"/>
    </xf>
    <xf numFmtId="0" fontId="3" fillId="0" borderId="23" xfId="0" applyFont="1" applyBorder="1"/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49" fontId="3" fillId="0" borderId="22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2" fillId="5" borderId="35" xfId="0" applyFont="1" applyFill="1" applyBorder="1"/>
    <xf numFmtId="0" fontId="0" fillId="5" borderId="36" xfId="0" applyFill="1" applyBorder="1"/>
    <xf numFmtId="3" fontId="2" fillId="5" borderId="32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49" fontId="2" fillId="5" borderId="11" xfId="0" applyNumberFormat="1" applyFont="1" applyFill="1" applyBorder="1" applyAlignment="1">
      <alignment horizontal="left"/>
    </xf>
    <xf numFmtId="0" fontId="2" fillId="5" borderId="12" xfId="0" applyFont="1" applyFill="1" applyBorder="1"/>
    <xf numFmtId="3" fontId="2" fillId="5" borderId="13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0" fontId="3" fillId="0" borderId="17" xfId="0" applyFont="1" applyFill="1" applyBorder="1"/>
    <xf numFmtId="49" fontId="3" fillId="0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right"/>
    </xf>
    <xf numFmtId="49" fontId="3" fillId="0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0" fontId="8" fillId="5" borderId="35" xfId="0" applyFont="1" applyFill="1" applyBorder="1"/>
    <xf numFmtId="3" fontId="8" fillId="5" borderId="32" xfId="0" applyNumberFormat="1" applyFont="1" applyFill="1" applyBorder="1" applyAlignment="1">
      <alignment horizontal="right"/>
    </xf>
    <xf numFmtId="0" fontId="2" fillId="4" borderId="25" xfId="0" applyFont="1" applyFill="1" applyBorder="1"/>
    <xf numFmtId="3" fontId="2" fillId="4" borderId="6" xfId="0" applyNumberFormat="1" applyFont="1" applyFill="1" applyBorder="1" applyAlignment="1">
      <alignment horizontal="right"/>
    </xf>
    <xf numFmtId="3" fontId="2" fillId="4" borderId="18" xfId="0" applyNumberFormat="1" applyFont="1" applyFill="1" applyBorder="1" applyAlignment="1">
      <alignment horizontal="right"/>
    </xf>
    <xf numFmtId="49" fontId="2" fillId="6" borderId="7" xfId="0" applyNumberFormat="1" applyFont="1" applyFill="1" applyBorder="1" applyAlignment="1">
      <alignment horizontal="left"/>
    </xf>
    <xf numFmtId="49" fontId="2" fillId="6" borderId="40" xfId="0" applyNumberFormat="1" applyFont="1" applyFill="1" applyBorder="1" applyAlignment="1">
      <alignment horizontal="left"/>
    </xf>
    <xf numFmtId="3" fontId="2" fillId="6" borderId="31" xfId="0" applyNumberFormat="1" applyFont="1" applyFill="1" applyBorder="1" applyAlignment="1">
      <alignment horizontal="right"/>
    </xf>
    <xf numFmtId="0" fontId="8" fillId="5" borderId="14" xfId="0" applyFont="1" applyFill="1" applyBorder="1"/>
    <xf numFmtId="3" fontId="8" fillId="5" borderId="10" xfId="0" applyNumberFormat="1" applyFont="1" applyFill="1" applyBorder="1" applyAlignment="1">
      <alignment horizontal="right"/>
    </xf>
    <xf numFmtId="3" fontId="8" fillId="7" borderId="3" xfId="0" applyNumberFormat="1" applyFont="1" applyFill="1" applyBorder="1" applyAlignment="1"/>
    <xf numFmtId="0" fontId="3" fillId="0" borderId="24" xfId="0" applyFont="1" applyFill="1" applyBorder="1"/>
    <xf numFmtId="3" fontId="3" fillId="0" borderId="6" xfId="0" applyNumberFormat="1" applyFont="1" applyBorder="1" applyAlignment="1"/>
    <xf numFmtId="3" fontId="3" fillId="0" borderId="21" xfId="0" applyNumberFormat="1" applyFont="1" applyBorder="1" applyAlignment="1"/>
    <xf numFmtId="0" fontId="3" fillId="0" borderId="41" xfId="0" applyFont="1" applyFill="1" applyBorder="1"/>
    <xf numFmtId="0" fontId="3" fillId="0" borderId="42" xfId="0" applyFont="1" applyBorder="1"/>
    <xf numFmtId="3" fontId="3" fillId="0" borderId="43" xfId="0" applyNumberFormat="1" applyFont="1" applyBorder="1" applyAlignment="1"/>
    <xf numFmtId="49" fontId="7" fillId="0" borderId="37" xfId="0" applyNumberFormat="1" applyFont="1" applyFill="1" applyBorder="1" applyAlignment="1">
      <alignment horizontal="right"/>
    </xf>
    <xf numFmtId="0" fontId="7" fillId="0" borderId="25" xfId="0" applyFont="1" applyBorder="1"/>
    <xf numFmtId="3" fontId="7" fillId="0" borderId="6" xfId="0" applyNumberFormat="1" applyFont="1" applyBorder="1" applyAlignment="1"/>
    <xf numFmtId="0" fontId="7" fillId="0" borderId="17" xfId="0" applyFont="1" applyBorder="1"/>
    <xf numFmtId="3" fontId="7" fillId="0" borderId="18" xfId="0" applyNumberFormat="1" applyFont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21" xfId="0" applyNumberFormat="1" applyFont="1" applyFill="1" applyBorder="1" applyAlignment="1"/>
    <xf numFmtId="49" fontId="0" fillId="0" borderId="0" xfId="0" applyNumberFormat="1" applyBorder="1" applyAlignment="1">
      <alignment horizontal="right"/>
    </xf>
    <xf numFmtId="0" fontId="0" fillId="0" borderId="0" xfId="0" applyFill="1" applyBorder="1"/>
    <xf numFmtId="3" fontId="7" fillId="0" borderId="0" xfId="0" applyNumberFormat="1" applyFont="1" applyFill="1" applyBorder="1" applyAlignment="1"/>
    <xf numFmtId="3" fontId="7" fillId="0" borderId="0" xfId="0" applyNumberFormat="1" applyFont="1" applyBorder="1" applyAlignment="1"/>
    <xf numFmtId="0" fontId="0" fillId="0" borderId="0" xfId="0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3" fontId="8" fillId="4" borderId="10" xfId="0" applyNumberFormat="1" applyFont="1" applyFill="1" applyBorder="1" applyAlignment="1">
      <alignment horizontal="right"/>
    </xf>
    <xf numFmtId="0" fontId="0" fillId="0" borderId="28" xfId="0" applyBorder="1"/>
    <xf numFmtId="3" fontId="5" fillId="0" borderId="21" xfId="0" applyNumberFormat="1" applyFont="1" applyFill="1" applyBorder="1" applyAlignment="1">
      <alignment horizontal="right"/>
    </xf>
    <xf numFmtId="0" fontId="0" fillId="0" borderId="38" xfId="0" applyBorder="1"/>
    <xf numFmtId="0" fontId="0" fillId="0" borderId="45" xfId="0" applyFill="1" applyBorder="1"/>
    <xf numFmtId="3" fontId="5" fillId="0" borderId="39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11" fillId="0" borderId="24" xfId="0" applyFont="1" applyBorder="1"/>
    <xf numFmtId="3" fontId="3" fillId="0" borderId="6" xfId="0" applyNumberFormat="1" applyFont="1" applyBorder="1"/>
    <xf numFmtId="0" fontId="11" fillId="0" borderId="19" xfId="0" applyFont="1" applyBorder="1"/>
    <xf numFmtId="3" fontId="3" fillId="0" borderId="21" xfId="0" applyNumberFormat="1" applyFont="1" applyBorder="1"/>
    <xf numFmtId="3" fontId="8" fillId="8" borderId="21" xfId="0" applyNumberFormat="1" applyFont="1" applyFill="1" applyBorder="1"/>
    <xf numFmtId="0" fontId="11" fillId="0" borderId="28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3" fontId="3" fillId="0" borderId="21" xfId="0" applyNumberFormat="1" applyFont="1" applyFill="1" applyBorder="1"/>
    <xf numFmtId="3" fontId="8" fillId="8" borderId="39" xfId="0" applyNumberFormat="1" applyFont="1" applyFill="1" applyBorder="1"/>
    <xf numFmtId="0" fontId="13" fillId="2" borderId="1" xfId="0" applyFont="1" applyFill="1" applyBorder="1" applyAlignment="1"/>
    <xf numFmtId="0" fontId="14" fillId="2" borderId="2" xfId="0" applyFont="1" applyFill="1" applyBorder="1" applyAlignment="1"/>
    <xf numFmtId="3" fontId="15" fillId="2" borderId="10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left"/>
    </xf>
    <xf numFmtId="3" fontId="5" fillId="0" borderId="10" xfId="0" applyNumberFormat="1" applyFont="1" applyBorder="1"/>
    <xf numFmtId="3" fontId="5" fillId="9" borderId="21" xfId="0" applyNumberFormat="1" applyFont="1" applyFill="1" applyBorder="1"/>
    <xf numFmtId="0" fontId="3" fillId="0" borderId="28" xfId="0" applyFont="1" applyFill="1" applyBorder="1"/>
    <xf numFmtId="0" fontId="3" fillId="0" borderId="46" xfId="0" applyFont="1" applyBorder="1"/>
    <xf numFmtId="3" fontId="3" fillId="0" borderId="49" xfId="0" applyNumberFormat="1" applyFont="1" applyBorder="1" applyAlignment="1"/>
    <xf numFmtId="3" fontId="7" fillId="0" borderId="39" xfId="0" applyNumberFormat="1" applyFont="1" applyFill="1" applyBorder="1" applyAlignment="1"/>
    <xf numFmtId="49" fontId="7" fillId="0" borderId="27" xfId="0" applyNumberFormat="1" applyFont="1" applyFill="1" applyBorder="1" applyAlignment="1">
      <alignment horizontal="right"/>
    </xf>
    <xf numFmtId="10" fontId="0" fillId="0" borderId="0" xfId="0" applyNumberFormat="1"/>
    <xf numFmtId="0" fontId="7" fillId="0" borderId="20" xfId="0" applyFont="1" applyBorder="1"/>
    <xf numFmtId="3" fontId="7" fillId="0" borderId="21" xfId="0" applyNumberFormat="1" applyFont="1" applyBorder="1" applyAlignment="1"/>
    <xf numFmtId="3" fontId="3" fillId="0" borderId="41" xfId="0" applyNumberFormat="1" applyFont="1" applyBorder="1" applyAlignment="1">
      <alignment horizontal="right"/>
    </xf>
    <xf numFmtId="49" fontId="3" fillId="4" borderId="28" xfId="0" applyNumberFormat="1" applyFont="1" applyFill="1" applyBorder="1" applyAlignment="1">
      <alignment horizontal="right"/>
    </xf>
    <xf numFmtId="3" fontId="2" fillId="4" borderId="21" xfId="0" applyNumberFormat="1" applyFont="1" applyFill="1" applyBorder="1" applyAlignment="1">
      <alignment horizontal="right"/>
    </xf>
    <xf numFmtId="49" fontId="3" fillId="4" borderId="37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/>
    <xf numFmtId="3" fontId="7" fillId="0" borderId="13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7" fillId="0" borderId="17" xfId="0" applyFont="1" applyBorder="1"/>
    <xf numFmtId="49" fontId="7" fillId="0" borderId="25" xfId="0" applyNumberFormat="1" applyFont="1" applyFill="1" applyBorder="1" applyAlignment="1">
      <alignment horizontal="left"/>
    </xf>
    <xf numFmtId="49" fontId="7" fillId="0" borderId="24" xfId="0" applyNumberFormat="1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left"/>
    </xf>
    <xf numFmtId="49" fontId="7" fillId="0" borderId="30" xfId="0" applyNumberFormat="1" applyFont="1" applyFill="1" applyBorder="1" applyAlignment="1">
      <alignment horizontal="left"/>
    </xf>
    <xf numFmtId="49" fontId="7" fillId="0" borderId="45" xfId="0" applyNumberFormat="1" applyFont="1" applyFill="1" applyBorder="1" applyAlignment="1">
      <alignment horizontal="left"/>
    </xf>
    <xf numFmtId="49" fontId="17" fillId="0" borderId="11" xfId="0" applyNumberFormat="1" applyFont="1" applyBorder="1" applyAlignment="1">
      <alignment horizontal="right"/>
    </xf>
    <xf numFmtId="49" fontId="17" fillId="0" borderId="28" xfId="0" applyNumberFormat="1" applyFont="1" applyFill="1" applyBorder="1" applyAlignment="1">
      <alignment horizontal="right"/>
    </xf>
    <xf numFmtId="49" fontId="17" fillId="0" borderId="27" xfId="0" applyNumberFormat="1" applyFont="1" applyFill="1" applyBorder="1" applyAlignment="1">
      <alignment horizontal="right"/>
    </xf>
    <xf numFmtId="49" fontId="17" fillId="0" borderId="37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49" fontId="17" fillId="0" borderId="41" xfId="0" applyNumberFormat="1" applyFont="1" applyBorder="1" applyAlignment="1">
      <alignment horizontal="right"/>
    </xf>
    <xf numFmtId="49" fontId="17" fillId="0" borderId="38" xfId="0" applyNumberFormat="1" applyFont="1" applyBorder="1" applyAlignment="1">
      <alignment horizontal="right"/>
    </xf>
    <xf numFmtId="49" fontId="17" fillId="0" borderId="19" xfId="0" applyNumberFormat="1" applyFont="1" applyBorder="1" applyAlignment="1">
      <alignment horizontal="right"/>
    </xf>
    <xf numFmtId="0" fontId="17" fillId="0" borderId="20" xfId="0" applyFont="1" applyBorder="1"/>
    <xf numFmtId="0" fontId="17" fillId="0" borderId="12" xfId="0" applyFont="1" applyBorder="1"/>
    <xf numFmtId="3" fontId="0" fillId="0" borderId="0" xfId="0" applyNumberFormat="1" applyBorder="1"/>
    <xf numFmtId="0" fontId="12" fillId="8" borderId="28" xfId="0" applyFont="1" applyFill="1" applyBorder="1" applyAlignment="1">
      <alignment horizontal="center"/>
    </xf>
    <xf numFmtId="0" fontId="12" fillId="8" borderId="46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0" fillId="0" borderId="34" xfId="0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7" fillId="0" borderId="9" xfId="0" applyNumberFormat="1" applyFont="1" applyFill="1" applyBorder="1" applyAlignment="1"/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zoomScaleNormal="100" workbookViewId="0">
      <selection activeCell="E185" sqref="E185"/>
    </sheetView>
  </sheetViews>
  <sheetFormatPr defaultRowHeight="15" x14ac:dyDescent="0.25"/>
  <cols>
    <col min="2" max="2" width="60.5703125" customWidth="1"/>
    <col min="3" max="3" width="14.5703125" customWidth="1"/>
    <col min="4" max="4" width="12.85546875" customWidth="1"/>
    <col min="5" max="5" width="12.7109375" customWidth="1"/>
    <col min="6" max="6" width="12" customWidth="1"/>
    <col min="11" max="11" width="12.140625" bestFit="1" customWidth="1"/>
  </cols>
  <sheetData>
    <row r="1" spans="1:6" ht="23.25" customHeight="1" thickBot="1" x14ac:dyDescent="0.3">
      <c r="A1" s="238" t="s">
        <v>0</v>
      </c>
      <c r="B1" s="239"/>
      <c r="C1" s="239"/>
      <c r="D1" s="239"/>
      <c r="E1" s="239"/>
      <c r="F1" s="240"/>
    </row>
    <row r="2" spans="1:6" ht="15" customHeight="1" x14ac:dyDescent="0.25">
      <c r="A2" s="225" t="s">
        <v>1</v>
      </c>
      <c r="B2" s="226"/>
      <c r="C2" s="229">
        <v>2016</v>
      </c>
      <c r="D2" s="229">
        <v>2017</v>
      </c>
      <c r="E2" s="229">
        <v>2018</v>
      </c>
      <c r="F2" s="229">
        <v>2019</v>
      </c>
    </row>
    <row r="3" spans="1:6" ht="15.75" thickBot="1" x14ac:dyDescent="0.3">
      <c r="A3" s="227"/>
      <c r="B3" s="228"/>
      <c r="C3" s="230"/>
      <c r="D3" s="230"/>
      <c r="E3" s="230"/>
      <c r="F3" s="230"/>
    </row>
    <row r="4" spans="1:6" ht="15.75" thickBot="1" x14ac:dyDescent="0.3">
      <c r="A4" s="251" t="s">
        <v>2</v>
      </c>
      <c r="B4" s="252"/>
      <c r="C4" s="1">
        <f t="shared" ref="C4" si="0">SUM(C5:C11)</f>
        <v>913170</v>
      </c>
      <c r="D4" s="1">
        <f t="shared" ref="D4:F4" si="1">SUM(D5:D11)</f>
        <v>949400</v>
      </c>
      <c r="E4" s="1">
        <f t="shared" si="1"/>
        <v>949400</v>
      </c>
      <c r="F4" s="1">
        <f t="shared" si="1"/>
        <v>954400</v>
      </c>
    </row>
    <row r="5" spans="1:6" ht="15.75" thickBot="1" x14ac:dyDescent="0.3">
      <c r="A5" s="2">
        <v>111</v>
      </c>
      <c r="B5" s="3" t="s">
        <v>3</v>
      </c>
      <c r="C5" s="4">
        <f>837000+20000</f>
        <v>857000</v>
      </c>
      <c r="D5" s="4">
        <v>890000</v>
      </c>
      <c r="E5" s="4">
        <v>890000</v>
      </c>
      <c r="F5" s="4">
        <v>895000</v>
      </c>
    </row>
    <row r="6" spans="1:6" ht="15.75" thickBot="1" x14ac:dyDescent="0.3">
      <c r="A6" s="5">
        <v>121</v>
      </c>
      <c r="B6" s="6" t="s">
        <v>4</v>
      </c>
      <c r="C6" s="175">
        <v>30770</v>
      </c>
      <c r="D6" s="175">
        <v>32000</v>
      </c>
      <c r="E6" s="175">
        <v>32000</v>
      </c>
      <c r="F6" s="175">
        <v>32000</v>
      </c>
    </row>
    <row r="7" spans="1:6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  <c r="F7" s="18">
        <v>1000</v>
      </c>
    </row>
    <row r="8" spans="1:6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  <c r="F8" s="19">
        <v>400</v>
      </c>
    </row>
    <row r="9" spans="1:6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  <c r="F9" s="19">
        <v>2000</v>
      </c>
    </row>
    <row r="10" spans="1:6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  <c r="F10" s="19">
        <v>5000</v>
      </c>
    </row>
    <row r="11" spans="1:6" ht="15.75" thickBot="1" x14ac:dyDescent="0.3">
      <c r="A11" s="12">
        <v>133</v>
      </c>
      <c r="B11" s="13" t="s">
        <v>9</v>
      </c>
      <c r="C11" s="14">
        <v>17000</v>
      </c>
      <c r="D11" s="14">
        <v>19000</v>
      </c>
      <c r="E11" s="14">
        <v>19000</v>
      </c>
      <c r="F11" s="14">
        <v>19000</v>
      </c>
    </row>
    <row r="12" spans="1:6" ht="15.75" thickBot="1" x14ac:dyDescent="0.3">
      <c r="A12" s="251" t="s">
        <v>10</v>
      </c>
      <c r="B12" s="252"/>
      <c r="C12" s="1">
        <f t="shared" ref="C12" si="2">SUM(C13:C30)</f>
        <v>162660</v>
      </c>
      <c r="D12" s="1">
        <f t="shared" ref="D12:F12" si="3">SUM(D13:D30)</f>
        <v>172393</v>
      </c>
      <c r="E12" s="1">
        <f t="shared" si="3"/>
        <v>179393</v>
      </c>
      <c r="F12" s="1">
        <f t="shared" si="3"/>
        <v>169393</v>
      </c>
    </row>
    <row r="13" spans="1:6" x14ac:dyDescent="0.25">
      <c r="A13" s="15">
        <v>212</v>
      </c>
      <c r="B13" s="16" t="s">
        <v>11</v>
      </c>
      <c r="C13" s="17">
        <f>490+22+480+1200</f>
        <v>2192</v>
      </c>
      <c r="D13" s="17">
        <v>2200</v>
      </c>
      <c r="E13" s="17">
        <v>2200</v>
      </c>
      <c r="F13" s="17">
        <v>2200</v>
      </c>
    </row>
    <row r="14" spans="1:6" x14ac:dyDescent="0.25">
      <c r="A14" s="7">
        <v>212</v>
      </c>
      <c r="B14" s="8" t="s">
        <v>12</v>
      </c>
      <c r="C14" s="18">
        <v>200</v>
      </c>
      <c r="D14" s="18">
        <v>500</v>
      </c>
      <c r="E14" s="18">
        <v>20000</v>
      </c>
      <c r="F14" s="18">
        <v>10000</v>
      </c>
    </row>
    <row r="15" spans="1:6" x14ac:dyDescent="0.25">
      <c r="A15" s="9">
        <v>212</v>
      </c>
      <c r="B15" s="10" t="s">
        <v>13</v>
      </c>
      <c r="C15" s="19">
        <v>3943</v>
      </c>
      <c r="D15" s="19">
        <v>3943</v>
      </c>
      <c r="E15" s="19">
        <v>3943</v>
      </c>
      <c r="F15" s="19">
        <v>3943</v>
      </c>
    </row>
    <row r="16" spans="1:6" x14ac:dyDescent="0.25">
      <c r="A16" s="9">
        <v>212</v>
      </c>
      <c r="B16" s="10" t="s">
        <v>14</v>
      </c>
      <c r="C16" s="20">
        <f>14169+610+3600+1000-1200</f>
        <v>18179</v>
      </c>
      <c r="D16" s="20">
        <v>17700</v>
      </c>
      <c r="E16" s="20">
        <v>17700</v>
      </c>
      <c r="F16" s="20">
        <v>17700</v>
      </c>
    </row>
    <row r="17" spans="1:6" ht="15.75" thickBot="1" x14ac:dyDescent="0.3">
      <c r="A17" s="21">
        <v>212</v>
      </c>
      <c r="B17" s="22" t="s">
        <v>15</v>
      </c>
      <c r="C17" s="23">
        <f>100+30</f>
        <v>130</v>
      </c>
      <c r="D17" s="23">
        <v>200</v>
      </c>
      <c r="E17" s="23">
        <v>200</v>
      </c>
      <c r="F17" s="23">
        <v>200</v>
      </c>
    </row>
    <row r="18" spans="1:6" ht="15.75" thickBot="1" x14ac:dyDescent="0.3">
      <c r="A18" s="5">
        <v>221</v>
      </c>
      <c r="B18" s="6" t="s">
        <v>16</v>
      </c>
      <c r="C18" s="24">
        <v>11700</v>
      </c>
      <c r="D18" s="24">
        <v>11000</v>
      </c>
      <c r="E18" s="24">
        <v>11000</v>
      </c>
      <c r="F18" s="24">
        <v>11000</v>
      </c>
    </row>
    <row r="19" spans="1:6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  <c r="F20" s="18">
        <v>900</v>
      </c>
    </row>
    <row r="21" spans="1:6" x14ac:dyDescent="0.25">
      <c r="A21" s="9">
        <v>223</v>
      </c>
      <c r="B21" s="10" t="s">
        <v>19</v>
      </c>
      <c r="C21" s="19">
        <f>12000+2500</f>
        <v>14500</v>
      </c>
      <c r="D21" s="19">
        <v>20000</v>
      </c>
      <c r="E21" s="19">
        <v>20000</v>
      </c>
      <c r="F21" s="19">
        <v>20000</v>
      </c>
    </row>
    <row r="22" spans="1:6" x14ac:dyDescent="0.25">
      <c r="A22" s="9">
        <v>223</v>
      </c>
      <c r="B22" s="10" t="s">
        <v>20</v>
      </c>
      <c r="C22" s="19">
        <f>23000+2866+3200</f>
        <v>29066</v>
      </c>
      <c r="D22" s="19">
        <v>30000</v>
      </c>
      <c r="E22" s="19">
        <v>30000</v>
      </c>
      <c r="F22" s="19">
        <v>30000</v>
      </c>
    </row>
    <row r="23" spans="1:6" x14ac:dyDescent="0.25">
      <c r="A23" s="9">
        <v>223</v>
      </c>
      <c r="B23" s="10" t="s">
        <v>21</v>
      </c>
      <c r="C23" s="19">
        <f>2000+15500+1000-15500</f>
        <v>3000</v>
      </c>
      <c r="D23" s="19">
        <v>1000</v>
      </c>
      <c r="E23" s="19">
        <v>1000</v>
      </c>
      <c r="F23" s="19">
        <v>1000</v>
      </c>
    </row>
    <row r="24" spans="1:6" x14ac:dyDescent="0.25">
      <c r="A24" s="9">
        <v>223</v>
      </c>
      <c r="B24" s="10" t="s">
        <v>22</v>
      </c>
      <c r="C24" s="19">
        <v>700</v>
      </c>
      <c r="D24" s="19">
        <v>700</v>
      </c>
      <c r="E24" s="19">
        <v>700</v>
      </c>
      <c r="F24" s="19">
        <v>700</v>
      </c>
    </row>
    <row r="25" spans="1:6" x14ac:dyDescent="0.25">
      <c r="A25" s="9">
        <v>223</v>
      </c>
      <c r="B25" s="10" t="s">
        <v>23</v>
      </c>
      <c r="C25" s="19">
        <f>25000+3000</f>
        <v>28000</v>
      </c>
      <c r="D25" s="19">
        <v>32000</v>
      </c>
      <c r="E25" s="19">
        <v>32000</v>
      </c>
      <c r="F25" s="19">
        <v>32000</v>
      </c>
    </row>
    <row r="26" spans="1:6" x14ac:dyDescent="0.25">
      <c r="A26" s="9">
        <v>223</v>
      </c>
      <c r="B26" s="10" t="s">
        <v>24</v>
      </c>
      <c r="C26" s="19">
        <v>21650</v>
      </c>
      <c r="D26" s="19">
        <v>21650</v>
      </c>
      <c r="E26" s="19">
        <v>21650</v>
      </c>
      <c r="F26" s="19">
        <v>21650</v>
      </c>
    </row>
    <row r="27" spans="1:6" x14ac:dyDescent="0.25">
      <c r="A27" s="9">
        <v>223</v>
      </c>
      <c r="B27" s="10" t="s">
        <v>25</v>
      </c>
      <c r="C27" s="19">
        <f>12000+6000</f>
        <v>18000</v>
      </c>
      <c r="D27" s="19">
        <v>18000</v>
      </c>
      <c r="E27" s="19">
        <f>12000+6000</f>
        <v>18000</v>
      </c>
      <c r="F27" s="19">
        <f>12000+6000</f>
        <v>18000</v>
      </c>
    </row>
    <row r="28" spans="1:6" x14ac:dyDescent="0.25">
      <c r="A28" s="9">
        <v>223</v>
      </c>
      <c r="B28" s="10" t="s">
        <v>26</v>
      </c>
      <c r="C28" s="25">
        <v>9000</v>
      </c>
      <c r="D28" s="25">
        <v>10000</v>
      </c>
      <c r="E28" s="25"/>
      <c r="F28" s="25"/>
    </row>
    <row r="29" spans="1:6" x14ac:dyDescent="0.25">
      <c r="A29" s="9">
        <v>223</v>
      </c>
      <c r="B29" s="10" t="s">
        <v>27</v>
      </c>
      <c r="C29" s="19">
        <v>1400</v>
      </c>
      <c r="D29" s="19">
        <v>2500</v>
      </c>
      <c r="E29" s="19"/>
      <c r="F29" s="19"/>
    </row>
    <row r="30" spans="1:6" ht="15.75" thickBot="1" x14ac:dyDescent="0.3">
      <c r="A30" s="12">
        <v>223</v>
      </c>
      <c r="B30" s="13" t="s">
        <v>28</v>
      </c>
      <c r="C30" s="26">
        <v>100</v>
      </c>
      <c r="D30" s="26">
        <v>100</v>
      </c>
      <c r="E30" s="26">
        <v>100</v>
      </c>
      <c r="F30" s="26">
        <v>100</v>
      </c>
    </row>
    <row r="31" spans="1:6" ht="15.75" thickBot="1" x14ac:dyDescent="0.3">
      <c r="A31" s="191" t="s">
        <v>29</v>
      </c>
      <c r="B31" s="192"/>
      <c r="C31" s="1">
        <f t="shared" ref="C31" si="4">SUM(C32)</f>
        <v>600</v>
      </c>
      <c r="D31" s="1">
        <f t="shared" ref="D31:F31" si="5">SUM(D32)</f>
        <v>600</v>
      </c>
      <c r="E31" s="1">
        <f t="shared" si="5"/>
        <v>600</v>
      </c>
      <c r="F31" s="1">
        <f t="shared" si="5"/>
        <v>600</v>
      </c>
    </row>
    <row r="32" spans="1:6" ht="15.75" thickBot="1" x14ac:dyDescent="0.3">
      <c r="A32" s="29">
        <v>240</v>
      </c>
      <c r="B32" s="30" t="s">
        <v>30</v>
      </c>
      <c r="C32" s="23">
        <f>200+200+200</f>
        <v>600</v>
      </c>
      <c r="D32" s="23">
        <v>600</v>
      </c>
      <c r="E32" s="23">
        <f>200+200+200</f>
        <v>600</v>
      </c>
      <c r="F32" s="23">
        <f>200+200+200</f>
        <v>600</v>
      </c>
    </row>
    <row r="33" spans="1:6" ht="15.75" thickBot="1" x14ac:dyDescent="0.3">
      <c r="A33" s="191" t="s">
        <v>31</v>
      </c>
      <c r="B33" s="192"/>
      <c r="C33" s="1">
        <f>SUM(C34:C39)</f>
        <v>42833</v>
      </c>
      <c r="D33" s="1">
        <f>SUM(D34:D39)</f>
        <v>40750</v>
      </c>
      <c r="E33" s="1">
        <f t="shared" ref="E33:F33" si="6">SUM(E34:E39)</f>
        <v>40750</v>
      </c>
      <c r="F33" s="1">
        <f t="shared" si="6"/>
        <v>40750</v>
      </c>
    </row>
    <row r="34" spans="1:6" x14ac:dyDescent="0.25">
      <c r="A34" s="31">
        <v>292</v>
      </c>
      <c r="B34" s="32" t="s">
        <v>32</v>
      </c>
      <c r="C34" s="33">
        <v>200</v>
      </c>
      <c r="D34" s="33">
        <v>200</v>
      </c>
      <c r="E34" s="33">
        <v>200</v>
      </c>
      <c r="F34" s="33">
        <v>200</v>
      </c>
    </row>
    <row r="35" spans="1:6" x14ac:dyDescent="0.25">
      <c r="A35" s="31">
        <v>292</v>
      </c>
      <c r="B35" s="32" t="s">
        <v>33</v>
      </c>
      <c r="C35" s="33">
        <v>300</v>
      </c>
      <c r="D35" s="33">
        <v>300</v>
      </c>
      <c r="E35" s="33">
        <v>300</v>
      </c>
      <c r="F35" s="33">
        <v>300</v>
      </c>
    </row>
    <row r="36" spans="1:6" x14ac:dyDescent="0.25">
      <c r="A36" s="34">
        <v>292</v>
      </c>
      <c r="B36" s="35" t="s">
        <v>34</v>
      </c>
      <c r="C36" s="36">
        <f>700+700+100+15500</f>
        <v>17000</v>
      </c>
      <c r="D36" s="36">
        <v>15000</v>
      </c>
      <c r="E36" s="36">
        <v>15000</v>
      </c>
      <c r="F36" s="36">
        <v>15000</v>
      </c>
    </row>
    <row r="37" spans="1:6" x14ac:dyDescent="0.25">
      <c r="A37" s="34">
        <v>292</v>
      </c>
      <c r="B37" s="10" t="s">
        <v>35</v>
      </c>
      <c r="C37" s="37">
        <f>200+33</f>
        <v>233</v>
      </c>
      <c r="D37" s="37">
        <v>250</v>
      </c>
      <c r="E37" s="37">
        <v>250</v>
      </c>
      <c r="F37" s="37">
        <v>250</v>
      </c>
    </row>
    <row r="38" spans="1:6" x14ac:dyDescent="0.25">
      <c r="A38" s="34">
        <v>292</v>
      </c>
      <c r="B38" s="35" t="s">
        <v>36</v>
      </c>
      <c r="C38" s="36">
        <f>11300+2300+3800+2000+1400+1200+100</f>
        <v>22100</v>
      </c>
      <c r="D38" s="36">
        <v>22000</v>
      </c>
      <c r="E38" s="36">
        <v>22000</v>
      </c>
      <c r="F38" s="36">
        <v>22000</v>
      </c>
    </row>
    <row r="39" spans="1:6" ht="15.75" thickBot="1" x14ac:dyDescent="0.3">
      <c r="A39" s="34">
        <v>292</v>
      </c>
      <c r="B39" s="35" t="s">
        <v>37</v>
      </c>
      <c r="C39" s="36">
        <v>3000</v>
      </c>
      <c r="D39" s="36">
        <v>3000</v>
      </c>
      <c r="E39" s="36">
        <v>3000</v>
      </c>
      <c r="F39" s="36">
        <v>3000</v>
      </c>
    </row>
    <row r="40" spans="1:6" ht="15.75" thickBot="1" x14ac:dyDescent="0.3">
      <c r="A40" s="38" t="s">
        <v>38</v>
      </c>
      <c r="B40" s="39"/>
      <c r="C40" s="1">
        <f t="shared" ref="C40" si="7">SUM(C41:C55)</f>
        <v>542587</v>
      </c>
      <c r="D40" s="1">
        <f t="shared" ref="D40:F40" si="8">SUM(D41:D55)</f>
        <v>533960</v>
      </c>
      <c r="E40" s="1">
        <f t="shared" si="8"/>
        <v>535960</v>
      </c>
      <c r="F40" s="1">
        <f t="shared" si="8"/>
        <v>532960</v>
      </c>
    </row>
    <row r="41" spans="1:6" x14ac:dyDescent="0.25">
      <c r="A41" s="40">
        <v>312</v>
      </c>
      <c r="B41" s="41" t="s">
        <v>39</v>
      </c>
      <c r="C41" s="42">
        <v>3000</v>
      </c>
      <c r="D41" s="42">
        <v>4000</v>
      </c>
      <c r="E41" s="42">
        <v>6000</v>
      </c>
      <c r="F41" s="42">
        <v>3000</v>
      </c>
    </row>
    <row r="42" spans="1:6" x14ac:dyDescent="0.25">
      <c r="A42" s="43">
        <v>312</v>
      </c>
      <c r="B42" s="10" t="s">
        <v>40</v>
      </c>
      <c r="C42" s="18">
        <v>7200</v>
      </c>
      <c r="D42" s="18">
        <v>7200</v>
      </c>
      <c r="E42" s="18">
        <v>7200</v>
      </c>
      <c r="F42" s="18">
        <v>7200</v>
      </c>
    </row>
    <row r="43" spans="1:6" x14ac:dyDescent="0.25">
      <c r="A43" s="43">
        <v>312</v>
      </c>
      <c r="B43" s="10" t="s">
        <v>41</v>
      </c>
      <c r="C43" s="18">
        <f>1100+1000+1100+1210</f>
        <v>4410</v>
      </c>
      <c r="D43" s="18">
        <v>3000</v>
      </c>
      <c r="E43" s="18">
        <v>3000</v>
      </c>
      <c r="F43" s="18">
        <v>3000</v>
      </c>
    </row>
    <row r="44" spans="1:6" x14ac:dyDescent="0.25">
      <c r="A44" s="43">
        <v>312</v>
      </c>
      <c r="B44" s="44" t="s">
        <v>42</v>
      </c>
      <c r="C44" s="45">
        <f t="shared" ref="C44" si="9">12500+48500</f>
        <v>61000</v>
      </c>
      <c r="D44" s="45">
        <v>61000</v>
      </c>
      <c r="E44" s="45">
        <v>61000</v>
      </c>
      <c r="F44" s="45">
        <v>61000</v>
      </c>
    </row>
    <row r="45" spans="1:6" x14ac:dyDescent="0.25">
      <c r="A45" s="43">
        <v>312</v>
      </c>
      <c r="B45" s="44" t="s">
        <v>43</v>
      </c>
      <c r="C45" s="18">
        <f>10000+800</f>
        <v>10800</v>
      </c>
      <c r="D45" s="18">
        <v>12800</v>
      </c>
      <c r="E45" s="18">
        <v>12800</v>
      </c>
      <c r="F45" s="18">
        <v>12800</v>
      </c>
    </row>
    <row r="46" spans="1:6" x14ac:dyDescent="0.25">
      <c r="A46" s="43">
        <v>312</v>
      </c>
      <c r="B46" s="44" t="s">
        <v>44</v>
      </c>
      <c r="C46" s="18">
        <f>16500+300</f>
        <v>16800</v>
      </c>
      <c r="D46" s="18">
        <v>21800</v>
      </c>
      <c r="E46" s="18">
        <v>21800</v>
      </c>
      <c r="F46" s="18">
        <v>21800</v>
      </c>
    </row>
    <row r="47" spans="1:6" x14ac:dyDescent="0.25">
      <c r="A47" s="43">
        <v>312</v>
      </c>
      <c r="B47" s="44" t="s">
        <v>45</v>
      </c>
      <c r="C47" s="18">
        <v>7700</v>
      </c>
      <c r="D47" s="18">
        <v>7700</v>
      </c>
      <c r="E47" s="18">
        <v>7700</v>
      </c>
      <c r="F47" s="18">
        <v>7700</v>
      </c>
    </row>
    <row r="48" spans="1:6" x14ac:dyDescent="0.25">
      <c r="A48" s="43">
        <v>312</v>
      </c>
      <c r="B48" s="44" t="s">
        <v>46</v>
      </c>
      <c r="C48" s="18">
        <v>1870</v>
      </c>
      <c r="D48" s="18"/>
      <c r="E48" s="18"/>
      <c r="F48" s="18"/>
    </row>
    <row r="49" spans="1:10" x14ac:dyDescent="0.25">
      <c r="A49" s="43">
        <v>312</v>
      </c>
      <c r="B49" s="44" t="s">
        <v>47</v>
      </c>
      <c r="C49" s="18">
        <v>15500</v>
      </c>
      <c r="D49" s="18"/>
      <c r="E49" s="18"/>
      <c r="F49" s="18"/>
    </row>
    <row r="50" spans="1:10" x14ac:dyDescent="0.25">
      <c r="A50" s="43">
        <v>312</v>
      </c>
      <c r="B50" s="44" t="s">
        <v>48</v>
      </c>
      <c r="C50" s="18">
        <v>700</v>
      </c>
      <c r="D50" s="18">
        <v>700</v>
      </c>
      <c r="E50" s="18">
        <v>700</v>
      </c>
      <c r="F50" s="18">
        <v>700</v>
      </c>
    </row>
    <row r="51" spans="1:10" x14ac:dyDescent="0.25">
      <c r="A51" s="46">
        <v>312</v>
      </c>
      <c r="B51" s="41" t="s">
        <v>49</v>
      </c>
      <c r="C51" s="47">
        <v>5500</v>
      </c>
      <c r="D51" s="47"/>
      <c r="E51" s="47"/>
      <c r="F51" s="47"/>
    </row>
    <row r="52" spans="1:10" x14ac:dyDescent="0.25">
      <c r="A52" s="48">
        <v>312</v>
      </c>
      <c r="B52" s="10" t="s">
        <v>50</v>
      </c>
      <c r="C52" s="19">
        <f t="shared" ref="C52" si="10">3900+220</f>
        <v>4120</v>
      </c>
      <c r="D52" s="19">
        <f t="shared" ref="D52:F52" si="11">3900+220</f>
        <v>4120</v>
      </c>
      <c r="E52" s="19">
        <f t="shared" si="11"/>
        <v>4120</v>
      </c>
      <c r="F52" s="19">
        <f t="shared" si="11"/>
        <v>4120</v>
      </c>
    </row>
    <row r="53" spans="1:10" x14ac:dyDescent="0.25">
      <c r="A53" s="48">
        <v>312</v>
      </c>
      <c r="B53" s="49" t="s">
        <v>51</v>
      </c>
      <c r="C53" s="20">
        <v>3000</v>
      </c>
      <c r="D53" s="20">
        <v>3000</v>
      </c>
      <c r="E53" s="20">
        <v>3000</v>
      </c>
      <c r="F53" s="20">
        <v>3000</v>
      </c>
    </row>
    <row r="54" spans="1:10" x14ac:dyDescent="0.25">
      <c r="A54" s="48">
        <v>312</v>
      </c>
      <c r="B54" s="50" t="s">
        <v>52</v>
      </c>
      <c r="C54" s="20">
        <f>2000+279</f>
        <v>2279</v>
      </c>
      <c r="D54" s="20">
        <v>2200</v>
      </c>
      <c r="E54" s="176">
        <v>2200</v>
      </c>
      <c r="F54" s="176">
        <v>2200</v>
      </c>
    </row>
    <row r="55" spans="1:10" ht="15.75" thickBot="1" x14ac:dyDescent="0.3">
      <c r="A55" s="51">
        <v>312</v>
      </c>
      <c r="B55" s="52" t="s">
        <v>53</v>
      </c>
      <c r="C55" s="53">
        <f>384300+7465-5786+5680+2094+4611+344</f>
        <v>398708</v>
      </c>
      <c r="D55" s="53">
        <v>406440</v>
      </c>
      <c r="E55" s="53">
        <v>406440</v>
      </c>
      <c r="F55" s="53">
        <v>406440</v>
      </c>
    </row>
    <row r="56" spans="1:10" ht="18.75" customHeight="1" thickBot="1" x14ac:dyDescent="0.3">
      <c r="A56" s="54" t="s">
        <v>54</v>
      </c>
      <c r="B56" s="55"/>
      <c r="C56" s="56">
        <f>SUM(C4+C12+C31+C33+C40)</f>
        <v>1661850</v>
      </c>
      <c r="D56" s="56">
        <f>SUM(D4+D12+D31+D33+D40)</f>
        <v>1697103</v>
      </c>
      <c r="E56" s="56">
        <f t="shared" ref="E56:F56" si="12">SUM(E4+E12+E31+E33+E40)</f>
        <v>1706103</v>
      </c>
      <c r="F56" s="56">
        <f t="shared" si="12"/>
        <v>1698103</v>
      </c>
    </row>
    <row r="57" spans="1:10" ht="16.5" thickBot="1" x14ac:dyDescent="0.3">
      <c r="A57" s="57" t="s">
        <v>55</v>
      </c>
      <c r="B57" s="58" t="s">
        <v>56</v>
      </c>
      <c r="C57" s="59">
        <f>1500+1800</f>
        <v>3300</v>
      </c>
      <c r="D57" s="59">
        <v>3000</v>
      </c>
      <c r="E57" s="59">
        <f>3000+10000+2500</f>
        <v>15500</v>
      </c>
      <c r="F57" s="59">
        <f>3000+10000+2500</f>
        <v>15500</v>
      </c>
    </row>
    <row r="58" spans="1:10" ht="19.5" customHeight="1" thickBot="1" x14ac:dyDescent="0.3">
      <c r="A58" s="54" t="s">
        <v>57</v>
      </c>
      <c r="B58" s="39"/>
      <c r="C58" s="56">
        <f t="shared" ref="C58" si="13">SUM(C56:C57)</f>
        <v>1665150</v>
      </c>
      <c r="D58" s="56">
        <f t="shared" ref="D58:F58" si="14">SUM(D56:D57)</f>
        <v>1700103</v>
      </c>
      <c r="E58" s="56">
        <f t="shared" si="14"/>
        <v>1721603</v>
      </c>
      <c r="F58" s="56">
        <f t="shared" si="14"/>
        <v>1713603</v>
      </c>
    </row>
    <row r="59" spans="1:10" ht="15.75" x14ac:dyDescent="0.25">
      <c r="A59" s="60"/>
      <c r="B59" s="61"/>
      <c r="C59" s="61"/>
      <c r="D59" s="62"/>
      <c r="E59" s="62"/>
      <c r="F59" s="62"/>
      <c r="G59" s="62"/>
      <c r="H59" s="62"/>
      <c r="I59" s="62"/>
      <c r="J59" s="62"/>
    </row>
    <row r="60" spans="1:10" ht="16.5" thickBot="1" x14ac:dyDescent="0.3">
      <c r="A60" s="60"/>
      <c r="B60" s="61"/>
      <c r="C60" s="61"/>
      <c r="D60" s="61"/>
      <c r="E60" s="61"/>
      <c r="F60" s="61"/>
      <c r="G60" s="61"/>
      <c r="H60" s="61"/>
      <c r="I60" s="61"/>
      <c r="J60" s="61"/>
    </row>
    <row r="61" spans="1:10" ht="22.5" customHeight="1" thickBot="1" x14ac:dyDescent="0.3">
      <c r="A61" s="193" t="s">
        <v>58</v>
      </c>
      <c r="B61" s="194"/>
      <c r="C61" s="194"/>
      <c r="D61" s="194"/>
      <c r="E61" s="194"/>
      <c r="F61" s="195"/>
    </row>
    <row r="62" spans="1:10" ht="15" customHeight="1" x14ac:dyDescent="0.25">
      <c r="A62" s="225" t="s">
        <v>1</v>
      </c>
      <c r="B62" s="226"/>
      <c r="C62" s="229">
        <v>2016</v>
      </c>
      <c r="D62" s="229">
        <v>2017</v>
      </c>
      <c r="E62" s="229">
        <v>2018</v>
      </c>
      <c r="F62" s="229">
        <v>2019</v>
      </c>
    </row>
    <row r="63" spans="1:10" ht="15.75" thickBot="1" x14ac:dyDescent="0.3">
      <c r="A63" s="227"/>
      <c r="B63" s="228"/>
      <c r="C63" s="230"/>
      <c r="D63" s="230"/>
      <c r="E63" s="230"/>
      <c r="F63" s="230"/>
    </row>
    <row r="64" spans="1:10" ht="15.75" thickBot="1" x14ac:dyDescent="0.3">
      <c r="A64" s="63" t="s">
        <v>59</v>
      </c>
      <c r="B64" s="64"/>
      <c r="C64" s="65">
        <f t="shared" ref="C64" si="15">SUM(C65:C69)</f>
        <v>206920</v>
      </c>
      <c r="D64" s="65">
        <f t="shared" ref="D64:F64" si="16">SUM(D65:D69)</f>
        <v>213000</v>
      </c>
      <c r="E64" s="65">
        <f t="shared" si="16"/>
        <v>215000</v>
      </c>
      <c r="F64" s="65">
        <f t="shared" si="16"/>
        <v>212000</v>
      </c>
    </row>
    <row r="65" spans="1:6" x14ac:dyDescent="0.25">
      <c r="A65" s="66" t="s">
        <v>60</v>
      </c>
      <c r="B65" s="67" t="s">
        <v>61</v>
      </c>
      <c r="C65" s="68">
        <f>101580+500+1000+500+2320</f>
        <v>105900</v>
      </c>
      <c r="D65" s="68">
        <v>110000</v>
      </c>
      <c r="E65" s="68">
        <v>110000</v>
      </c>
      <c r="F65" s="68">
        <v>110000</v>
      </c>
    </row>
    <row r="66" spans="1:6" x14ac:dyDescent="0.25">
      <c r="A66" s="69" t="s">
        <v>62</v>
      </c>
      <c r="B66" s="44" t="s">
        <v>63</v>
      </c>
      <c r="C66" s="70">
        <f>50110-200-500-500</f>
        <v>48910</v>
      </c>
      <c r="D66" s="70">
        <v>50000</v>
      </c>
      <c r="E66" s="70">
        <v>50000</v>
      </c>
      <c r="F66" s="70">
        <v>50000</v>
      </c>
    </row>
    <row r="67" spans="1:6" x14ac:dyDescent="0.25">
      <c r="A67" s="69" t="s">
        <v>64</v>
      </c>
      <c r="B67" s="44" t="s">
        <v>65</v>
      </c>
      <c r="C67" s="70">
        <f>1000+1000</f>
        <v>2000</v>
      </c>
      <c r="D67" s="70">
        <v>2000</v>
      </c>
      <c r="E67" s="70">
        <f>1000+1000</f>
        <v>2000</v>
      </c>
      <c r="F67" s="70">
        <f>1000+1000</f>
        <v>2000</v>
      </c>
    </row>
    <row r="68" spans="1:6" x14ac:dyDescent="0.25">
      <c r="A68" s="71" t="s">
        <v>66</v>
      </c>
      <c r="B68" s="44" t="s">
        <v>67</v>
      </c>
      <c r="C68" s="70">
        <f>45860+220+500+300+230</f>
        <v>47110</v>
      </c>
      <c r="D68" s="70">
        <v>47000</v>
      </c>
      <c r="E68" s="70">
        <v>47000</v>
      </c>
      <c r="F68" s="70">
        <v>47000</v>
      </c>
    </row>
    <row r="69" spans="1:6" ht="15.75" thickBot="1" x14ac:dyDescent="0.3">
      <c r="A69" s="72" t="s">
        <v>68</v>
      </c>
      <c r="B69" s="3" t="s">
        <v>69</v>
      </c>
      <c r="C69" s="73">
        <v>3000</v>
      </c>
      <c r="D69" s="73">
        <v>4000</v>
      </c>
      <c r="E69" s="73">
        <v>6000</v>
      </c>
      <c r="F69" s="73">
        <v>3000</v>
      </c>
    </row>
    <row r="70" spans="1:6" ht="15.75" thickBot="1" x14ac:dyDescent="0.3">
      <c r="A70" s="74" t="s">
        <v>70</v>
      </c>
      <c r="B70" s="75"/>
      <c r="C70" s="65">
        <f t="shared" ref="C70" si="17">SUM(C71)</f>
        <v>1453</v>
      </c>
      <c r="D70" s="65">
        <f t="shared" ref="D70:F70" si="18">SUM(D71)</f>
        <v>1500</v>
      </c>
      <c r="E70" s="65">
        <f t="shared" si="18"/>
        <v>1500</v>
      </c>
      <c r="F70" s="65">
        <f t="shared" si="18"/>
        <v>1500</v>
      </c>
    </row>
    <row r="71" spans="1:6" ht="15.75" thickBot="1" x14ac:dyDescent="0.3">
      <c r="A71" s="76" t="s">
        <v>71</v>
      </c>
      <c r="B71" s="61" t="s">
        <v>72</v>
      </c>
      <c r="C71" s="77">
        <f>1420+33</f>
        <v>1453</v>
      </c>
      <c r="D71" s="77">
        <v>1500</v>
      </c>
      <c r="E71" s="77">
        <v>1500</v>
      </c>
      <c r="F71" s="77">
        <v>1500</v>
      </c>
    </row>
    <row r="72" spans="1:6" ht="15.75" thickBot="1" x14ac:dyDescent="0.3">
      <c r="A72" s="74" t="s">
        <v>73</v>
      </c>
      <c r="B72" s="75"/>
      <c r="C72" s="65">
        <f t="shared" ref="C72" si="19">SUM(C73:C74)</f>
        <v>11500</v>
      </c>
      <c r="D72" s="65">
        <f t="shared" ref="D72:F72" si="20">SUM(D73:D74)</f>
        <v>10600</v>
      </c>
      <c r="E72" s="65">
        <f t="shared" si="20"/>
        <v>10600</v>
      </c>
      <c r="F72" s="65">
        <f t="shared" si="20"/>
        <v>10600</v>
      </c>
    </row>
    <row r="73" spans="1:6" x14ac:dyDescent="0.25">
      <c r="A73" s="78" t="s">
        <v>74</v>
      </c>
      <c r="B73" s="79" t="s">
        <v>75</v>
      </c>
      <c r="C73" s="80">
        <f>8800+400+700+1000</f>
        <v>10900</v>
      </c>
      <c r="D73" s="80">
        <v>10000</v>
      </c>
      <c r="E73" s="80">
        <v>10000</v>
      </c>
      <c r="F73" s="80">
        <v>10000</v>
      </c>
    </row>
    <row r="74" spans="1:6" ht="15.75" thickBot="1" x14ac:dyDescent="0.3">
      <c r="A74" s="81" t="s">
        <v>76</v>
      </c>
      <c r="B74" s="82" t="s">
        <v>77</v>
      </c>
      <c r="C74" s="83">
        <f>300+300</f>
        <v>600</v>
      </c>
      <c r="D74" s="83">
        <f>300+300</f>
        <v>600</v>
      </c>
      <c r="E74" s="83">
        <f>300+300</f>
        <v>600</v>
      </c>
      <c r="F74" s="83">
        <f>300+300</f>
        <v>600</v>
      </c>
    </row>
    <row r="75" spans="1:6" ht="15.75" thickBot="1" x14ac:dyDescent="0.3">
      <c r="A75" s="63" t="s">
        <v>78</v>
      </c>
      <c r="B75" s="84"/>
      <c r="C75" s="65">
        <f t="shared" ref="C75" si="21">SUM(C76:C79)</f>
        <v>44910</v>
      </c>
      <c r="D75" s="65">
        <f t="shared" ref="D75:F75" si="22">SUM(D76:D79)</f>
        <v>55700</v>
      </c>
      <c r="E75" s="65">
        <f t="shared" si="22"/>
        <v>55700</v>
      </c>
      <c r="F75" s="65">
        <f t="shared" si="22"/>
        <v>55700</v>
      </c>
    </row>
    <row r="76" spans="1:6" x14ac:dyDescent="0.25">
      <c r="A76" s="85" t="s">
        <v>79</v>
      </c>
      <c r="B76" s="32" t="s">
        <v>80</v>
      </c>
      <c r="C76" s="33">
        <f>12260+1400</f>
        <v>13660</v>
      </c>
      <c r="D76" s="33">
        <v>22000</v>
      </c>
      <c r="E76" s="33">
        <v>22000</v>
      </c>
      <c r="F76" s="33">
        <v>22000</v>
      </c>
    </row>
    <row r="77" spans="1:6" x14ac:dyDescent="0.25">
      <c r="A77" s="71" t="s">
        <v>81</v>
      </c>
      <c r="B77" s="44" t="s">
        <v>82</v>
      </c>
      <c r="C77" s="70">
        <v>17800</v>
      </c>
      <c r="D77" s="70">
        <v>18500</v>
      </c>
      <c r="E77" s="70">
        <v>18500</v>
      </c>
      <c r="F77" s="70">
        <v>18500</v>
      </c>
    </row>
    <row r="78" spans="1:6" x14ac:dyDescent="0.25">
      <c r="A78" s="71" t="s">
        <v>83</v>
      </c>
      <c r="B78" s="44" t="s">
        <v>84</v>
      </c>
      <c r="C78" s="36">
        <v>13250</v>
      </c>
      <c r="D78" s="36">
        <v>15000</v>
      </c>
      <c r="E78" s="36">
        <v>15000</v>
      </c>
      <c r="F78" s="36">
        <v>15000</v>
      </c>
    </row>
    <row r="79" spans="1:6" ht="15.75" thickBot="1" x14ac:dyDescent="0.3">
      <c r="A79" s="71" t="s">
        <v>85</v>
      </c>
      <c r="B79" s="44" t="s">
        <v>86</v>
      </c>
      <c r="C79" s="36">
        <v>200</v>
      </c>
      <c r="D79" s="36">
        <v>200</v>
      </c>
      <c r="E79" s="36">
        <v>200</v>
      </c>
      <c r="F79" s="36">
        <v>200</v>
      </c>
    </row>
    <row r="80" spans="1:6" ht="15.75" thickBot="1" x14ac:dyDescent="0.3">
      <c r="A80" s="236" t="s">
        <v>87</v>
      </c>
      <c r="B80" s="237"/>
      <c r="C80" s="65">
        <f t="shared" ref="C80" si="23">SUM(C81:C84)</f>
        <v>106302</v>
      </c>
      <c r="D80" s="65">
        <f t="shared" ref="D80:F80" si="24">SUM(D81:D84)</f>
        <v>95150</v>
      </c>
      <c r="E80" s="65">
        <f t="shared" si="24"/>
        <v>95150</v>
      </c>
      <c r="F80" s="65">
        <f t="shared" si="24"/>
        <v>95150</v>
      </c>
    </row>
    <row r="81" spans="1:6" x14ac:dyDescent="0.25">
      <c r="A81" s="86" t="s">
        <v>88</v>
      </c>
      <c r="B81" s="87" t="s">
        <v>89</v>
      </c>
      <c r="C81" s="88">
        <f>39000+3102+15500+4700</f>
        <v>62302</v>
      </c>
      <c r="D81" s="88">
        <v>50000</v>
      </c>
      <c r="E81" s="88">
        <v>50000</v>
      </c>
      <c r="F81" s="88">
        <v>50000</v>
      </c>
    </row>
    <row r="82" spans="1:6" x14ac:dyDescent="0.25">
      <c r="A82" s="71" t="s">
        <v>90</v>
      </c>
      <c r="B82" s="44" t="s">
        <v>91</v>
      </c>
      <c r="C82" s="70">
        <f>37400</f>
        <v>37400</v>
      </c>
      <c r="D82" s="70">
        <v>37400</v>
      </c>
      <c r="E82" s="70">
        <v>37400</v>
      </c>
      <c r="F82" s="70">
        <v>37400</v>
      </c>
    </row>
    <row r="83" spans="1:6" x14ac:dyDescent="0.25">
      <c r="A83" s="76" t="s">
        <v>92</v>
      </c>
      <c r="B83" s="89" t="s">
        <v>93</v>
      </c>
      <c r="C83" s="90">
        <v>830</v>
      </c>
      <c r="D83" s="90">
        <v>950</v>
      </c>
      <c r="E83" s="90">
        <v>950</v>
      </c>
      <c r="F83" s="90">
        <v>950</v>
      </c>
    </row>
    <row r="84" spans="1:6" ht="15.75" thickBot="1" x14ac:dyDescent="0.3">
      <c r="A84" s="91" t="s">
        <v>94</v>
      </c>
      <c r="B84" s="92" t="s">
        <v>95</v>
      </c>
      <c r="C84" s="93">
        <f>5270+500</f>
        <v>5770</v>
      </c>
      <c r="D84" s="93">
        <v>6800</v>
      </c>
      <c r="E84" s="93">
        <v>6800</v>
      </c>
      <c r="F84" s="93">
        <v>6800</v>
      </c>
    </row>
    <row r="85" spans="1:6" ht="15.75" thickBot="1" x14ac:dyDescent="0.3">
      <c r="A85" s="63" t="s">
        <v>96</v>
      </c>
      <c r="B85" s="84"/>
      <c r="C85" s="65">
        <f t="shared" ref="C85" si="25">SUM(C86:C88)</f>
        <v>153942</v>
      </c>
      <c r="D85" s="65">
        <f t="shared" ref="D85:F85" si="26">SUM(D86:D88)</f>
        <v>142413</v>
      </c>
      <c r="E85" s="65">
        <f t="shared" si="26"/>
        <v>147713</v>
      </c>
      <c r="F85" s="65">
        <f t="shared" si="26"/>
        <v>142713</v>
      </c>
    </row>
    <row r="86" spans="1:6" x14ac:dyDescent="0.25">
      <c r="A86" s="85" t="s">
        <v>97</v>
      </c>
      <c r="B86" s="67" t="s">
        <v>98</v>
      </c>
      <c r="C86" s="94">
        <f>101402+1800+1480+11880</f>
        <v>116562</v>
      </c>
      <c r="D86" s="94">
        <f>105000-87</f>
        <v>104913</v>
      </c>
      <c r="E86" s="94">
        <f>105000+5213</f>
        <v>110213</v>
      </c>
      <c r="F86" s="94">
        <f>105000+213</f>
        <v>105213</v>
      </c>
    </row>
    <row r="87" spans="1:6" x14ac:dyDescent="0.25">
      <c r="A87" s="95" t="s">
        <v>99</v>
      </c>
      <c r="B87" s="44" t="s">
        <v>100</v>
      </c>
      <c r="C87" s="96">
        <f>17300+1300+300</f>
        <v>18900</v>
      </c>
      <c r="D87" s="96">
        <v>19000</v>
      </c>
      <c r="E87" s="96">
        <v>19000</v>
      </c>
      <c r="F87" s="96">
        <v>19000</v>
      </c>
    </row>
    <row r="88" spans="1:6" ht="15.75" thickBot="1" x14ac:dyDescent="0.3">
      <c r="A88" s="97" t="s">
        <v>101</v>
      </c>
      <c r="B88" s="92" t="s">
        <v>102</v>
      </c>
      <c r="C88" s="98">
        <v>18480</v>
      </c>
      <c r="D88" s="98">
        <v>18500</v>
      </c>
      <c r="E88" s="98">
        <v>18500</v>
      </c>
      <c r="F88" s="98">
        <v>18500</v>
      </c>
    </row>
    <row r="89" spans="1:6" ht="15.75" thickBot="1" x14ac:dyDescent="0.3">
      <c r="A89" s="99" t="s">
        <v>103</v>
      </c>
      <c r="B89" s="100"/>
      <c r="C89" s="101">
        <f t="shared" ref="C89" si="27">SUM(C90:C92)</f>
        <v>1940</v>
      </c>
      <c r="D89" s="101">
        <f t="shared" ref="D89:F89" si="28">SUM(D90:D92)</f>
        <v>1600</v>
      </c>
      <c r="E89" s="101">
        <f t="shared" si="28"/>
        <v>1600</v>
      </c>
      <c r="F89" s="101">
        <f t="shared" si="28"/>
        <v>1600</v>
      </c>
    </row>
    <row r="90" spans="1:6" x14ac:dyDescent="0.25">
      <c r="A90" s="78" t="s">
        <v>104</v>
      </c>
      <c r="B90" s="87" t="s">
        <v>105</v>
      </c>
      <c r="C90" s="102">
        <v>100</v>
      </c>
      <c r="D90" s="102">
        <v>50</v>
      </c>
      <c r="E90" s="102">
        <v>50</v>
      </c>
      <c r="F90" s="102">
        <v>50</v>
      </c>
    </row>
    <row r="91" spans="1:6" x14ac:dyDescent="0.25">
      <c r="A91" s="95" t="s">
        <v>106</v>
      </c>
      <c r="B91" s="44" t="s">
        <v>107</v>
      </c>
      <c r="C91" s="96">
        <v>100</v>
      </c>
      <c r="D91" s="96">
        <v>50</v>
      </c>
      <c r="E91" s="96">
        <v>50</v>
      </c>
      <c r="F91" s="96">
        <v>50</v>
      </c>
    </row>
    <row r="92" spans="1:6" ht="15.75" thickBot="1" x14ac:dyDescent="0.3">
      <c r="A92" s="97" t="s">
        <v>108</v>
      </c>
      <c r="B92" s="92" t="s">
        <v>109</v>
      </c>
      <c r="C92" s="98">
        <f>1340+200+200</f>
        <v>1740</v>
      </c>
      <c r="D92" s="98">
        <v>1500</v>
      </c>
      <c r="E92" s="98">
        <v>1500</v>
      </c>
      <c r="F92" s="98">
        <v>1500</v>
      </c>
    </row>
    <row r="93" spans="1:6" ht="15.75" thickBot="1" x14ac:dyDescent="0.3">
      <c r="A93" s="103" t="s">
        <v>110</v>
      </c>
      <c r="B93" s="104"/>
      <c r="C93" s="105">
        <f t="shared" ref="C93" si="29">SUM(C94:C98)</f>
        <v>118366</v>
      </c>
      <c r="D93" s="105">
        <f t="shared" ref="D93:F93" si="30">SUM(D94:D98)</f>
        <v>113100</v>
      </c>
      <c r="E93" s="105">
        <f t="shared" si="30"/>
        <v>111100</v>
      </c>
      <c r="F93" s="105">
        <f t="shared" si="30"/>
        <v>111100</v>
      </c>
    </row>
    <row r="94" spans="1:6" x14ac:dyDescent="0.25">
      <c r="A94" s="86" t="s">
        <v>111</v>
      </c>
      <c r="B94" s="87" t="s">
        <v>112</v>
      </c>
      <c r="C94" s="88">
        <v>16600</v>
      </c>
      <c r="D94" s="88">
        <v>16600</v>
      </c>
      <c r="E94" s="88">
        <v>16600</v>
      </c>
      <c r="F94" s="88">
        <v>16600</v>
      </c>
    </row>
    <row r="95" spans="1:6" x14ac:dyDescent="0.25">
      <c r="A95" s="106" t="s">
        <v>113</v>
      </c>
      <c r="B95" s="107" t="s">
        <v>114</v>
      </c>
      <c r="C95" s="33">
        <f>58400+1422+948+230+2866+5500+3200+200</f>
        <v>72766</v>
      </c>
      <c r="D95" s="33">
        <v>70000</v>
      </c>
      <c r="E95" s="33">
        <v>70000</v>
      </c>
      <c r="F95" s="33">
        <v>70000</v>
      </c>
    </row>
    <row r="96" spans="1:6" x14ac:dyDescent="0.25">
      <c r="A96" s="106" t="s">
        <v>115</v>
      </c>
      <c r="B96" s="67" t="s">
        <v>116</v>
      </c>
      <c r="C96" s="68">
        <v>3500</v>
      </c>
      <c r="D96" s="68">
        <v>3500</v>
      </c>
      <c r="E96" s="68">
        <v>3500</v>
      </c>
      <c r="F96" s="68">
        <v>3500</v>
      </c>
    </row>
    <row r="97" spans="1:6" x14ac:dyDescent="0.25">
      <c r="A97" s="106" t="s">
        <v>117</v>
      </c>
      <c r="B97" s="67" t="s">
        <v>118</v>
      </c>
      <c r="C97" s="68">
        <v>10600</v>
      </c>
      <c r="D97" s="68">
        <v>13000</v>
      </c>
      <c r="E97" s="68">
        <v>11000</v>
      </c>
      <c r="F97" s="68">
        <v>11000</v>
      </c>
    </row>
    <row r="98" spans="1:6" ht="15.75" thickBot="1" x14ac:dyDescent="0.3">
      <c r="A98" s="91" t="s">
        <v>119</v>
      </c>
      <c r="B98" s="92" t="s">
        <v>120</v>
      </c>
      <c r="C98" s="93">
        <f>8200+2000+700+4000</f>
        <v>14900</v>
      </c>
      <c r="D98" s="93">
        <v>10000</v>
      </c>
      <c r="E98" s="93">
        <v>10000</v>
      </c>
      <c r="F98" s="93">
        <v>10000</v>
      </c>
    </row>
    <row r="99" spans="1:6" ht="15.75" thickBot="1" x14ac:dyDescent="0.3">
      <c r="A99" s="74" t="s">
        <v>121</v>
      </c>
      <c r="B99" s="75"/>
      <c r="C99" s="65">
        <f t="shared" ref="C99" si="31">SUM(C100:C106)</f>
        <v>359199</v>
      </c>
      <c r="D99" s="65">
        <f t="shared" ref="D99:F99" si="32">SUM(D100:D106)</f>
        <v>392800</v>
      </c>
      <c r="E99" s="65">
        <f t="shared" si="32"/>
        <v>84800</v>
      </c>
      <c r="F99" s="65">
        <f t="shared" si="32"/>
        <v>84800</v>
      </c>
    </row>
    <row r="100" spans="1:6" x14ac:dyDescent="0.25">
      <c r="A100" s="108" t="s">
        <v>122</v>
      </c>
      <c r="B100" s="109" t="s">
        <v>123</v>
      </c>
      <c r="C100" s="80">
        <f>118530+279</f>
        <v>118809</v>
      </c>
      <c r="D100" s="80">
        <v>120000</v>
      </c>
      <c r="E100" s="80"/>
      <c r="F100" s="80"/>
    </row>
    <row r="101" spans="1:6" x14ac:dyDescent="0.25">
      <c r="A101" s="110" t="s">
        <v>124</v>
      </c>
      <c r="B101" s="35" t="s">
        <v>206</v>
      </c>
      <c r="C101" s="36">
        <f>148380+200+500+10000</f>
        <v>159080</v>
      </c>
      <c r="D101" s="36">
        <v>190000</v>
      </c>
      <c r="E101" s="36">
        <v>2000</v>
      </c>
      <c r="F101" s="36">
        <v>2000</v>
      </c>
    </row>
    <row r="102" spans="1:6" x14ac:dyDescent="0.25">
      <c r="A102" s="110" t="s">
        <v>125</v>
      </c>
      <c r="B102" s="35" t="s">
        <v>126</v>
      </c>
      <c r="C102" s="36">
        <f t="shared" ref="C102" si="33">11900-450</f>
        <v>11450</v>
      </c>
      <c r="D102" s="36">
        <v>12000</v>
      </c>
      <c r="E102" s="36">
        <v>12000</v>
      </c>
      <c r="F102" s="36">
        <v>12000</v>
      </c>
    </row>
    <row r="103" spans="1:6" x14ac:dyDescent="0.25">
      <c r="A103" s="110" t="s">
        <v>127</v>
      </c>
      <c r="B103" s="35" t="s">
        <v>128</v>
      </c>
      <c r="C103" s="36">
        <f t="shared" ref="C103:C104" si="34">17540-550</f>
        <v>16990</v>
      </c>
      <c r="D103" s="36">
        <v>17200</v>
      </c>
      <c r="E103" s="36">
        <v>17200</v>
      </c>
      <c r="F103" s="36">
        <v>17200</v>
      </c>
    </row>
    <row r="104" spans="1:6" x14ac:dyDescent="0.25">
      <c r="A104" s="110" t="s">
        <v>129</v>
      </c>
      <c r="B104" s="35" t="s">
        <v>130</v>
      </c>
      <c r="C104" s="36">
        <f t="shared" si="34"/>
        <v>16990</v>
      </c>
      <c r="D104" s="36">
        <v>17200</v>
      </c>
      <c r="E104" s="36">
        <v>17200</v>
      </c>
      <c r="F104" s="36">
        <v>17200</v>
      </c>
    </row>
    <row r="105" spans="1:6" x14ac:dyDescent="0.25">
      <c r="A105" s="111" t="s">
        <v>131</v>
      </c>
      <c r="B105" s="35" t="s">
        <v>132</v>
      </c>
      <c r="C105" s="112">
        <f>33460-450+400</f>
        <v>33410</v>
      </c>
      <c r="D105" s="112">
        <v>33800</v>
      </c>
      <c r="E105" s="112">
        <v>33800</v>
      </c>
      <c r="F105" s="112">
        <v>33800</v>
      </c>
    </row>
    <row r="106" spans="1:6" ht="15.75" thickBot="1" x14ac:dyDescent="0.3">
      <c r="A106" s="110" t="s">
        <v>133</v>
      </c>
      <c r="B106" s="35" t="s">
        <v>134</v>
      </c>
      <c r="C106" s="112">
        <v>2470</v>
      </c>
      <c r="D106" s="112">
        <v>2600</v>
      </c>
      <c r="E106" s="112">
        <v>2600</v>
      </c>
      <c r="F106" s="112">
        <v>2600</v>
      </c>
    </row>
    <row r="107" spans="1:6" ht="15.75" thickBot="1" x14ac:dyDescent="0.3">
      <c r="A107" s="63" t="s">
        <v>135</v>
      </c>
      <c r="B107" s="64"/>
      <c r="C107" s="65">
        <f t="shared" ref="C107" si="35">SUM(C108:C112)</f>
        <v>203310</v>
      </c>
      <c r="D107" s="65">
        <f t="shared" ref="D107:F107" si="36">SUM(D108:D112)</f>
        <v>192000</v>
      </c>
      <c r="E107" s="65">
        <f t="shared" si="36"/>
        <v>192000</v>
      </c>
      <c r="F107" s="65">
        <f t="shared" si="36"/>
        <v>192000</v>
      </c>
    </row>
    <row r="108" spans="1:6" x14ac:dyDescent="0.25">
      <c r="A108" s="106" t="s">
        <v>136</v>
      </c>
      <c r="B108" s="67" t="s">
        <v>137</v>
      </c>
      <c r="C108" s="68">
        <f>104100+2000+4000</f>
        <v>110100</v>
      </c>
      <c r="D108" s="68">
        <v>110000</v>
      </c>
      <c r="E108" s="68">
        <v>110000</v>
      </c>
      <c r="F108" s="68">
        <v>110000</v>
      </c>
    </row>
    <row r="109" spans="1:6" x14ac:dyDescent="0.25">
      <c r="A109" s="106" t="s">
        <v>138</v>
      </c>
      <c r="B109" s="67" t="s">
        <v>139</v>
      </c>
      <c r="C109" s="68">
        <f>8300+2100+1210</f>
        <v>11610</v>
      </c>
      <c r="D109" s="68">
        <v>11000</v>
      </c>
      <c r="E109" s="68">
        <v>11000</v>
      </c>
      <c r="F109" s="68">
        <v>11000</v>
      </c>
    </row>
    <row r="110" spans="1:6" x14ac:dyDescent="0.25">
      <c r="A110" s="71" t="s">
        <v>140</v>
      </c>
      <c r="B110" s="44" t="s">
        <v>141</v>
      </c>
      <c r="C110" s="70">
        <f>68100+7500+5000</f>
        <v>80600</v>
      </c>
      <c r="D110" s="70">
        <v>70000</v>
      </c>
      <c r="E110" s="70">
        <v>70000</v>
      </c>
      <c r="F110" s="70">
        <v>70000</v>
      </c>
    </row>
    <row r="111" spans="1:6" x14ac:dyDescent="0.25">
      <c r="A111" s="71" t="s">
        <v>142</v>
      </c>
      <c r="B111" s="44" t="s">
        <v>143</v>
      </c>
      <c r="C111" s="70">
        <v>500</v>
      </c>
      <c r="D111" s="70">
        <v>500</v>
      </c>
      <c r="E111" s="70">
        <v>500</v>
      </c>
      <c r="F111" s="70">
        <v>500</v>
      </c>
    </row>
    <row r="112" spans="1:6" ht="15.75" thickBot="1" x14ac:dyDescent="0.3">
      <c r="A112" s="91" t="s">
        <v>144</v>
      </c>
      <c r="B112" s="92" t="s">
        <v>145</v>
      </c>
      <c r="C112" s="93">
        <v>500</v>
      </c>
      <c r="D112" s="93">
        <v>500</v>
      </c>
      <c r="E112" s="93">
        <v>500</v>
      </c>
      <c r="F112" s="93">
        <v>500</v>
      </c>
    </row>
    <row r="113" spans="1:6" ht="16.5" thickBot="1" x14ac:dyDescent="0.3">
      <c r="A113" s="113" t="s">
        <v>146</v>
      </c>
      <c r="B113" s="100"/>
      <c r="C113" s="114">
        <f t="shared" ref="C113" si="37">SUM(C64+C70+C72+C75+C80+C85+C89+C93+C99+C107)</f>
        <v>1207842</v>
      </c>
      <c r="D113" s="114">
        <f t="shared" ref="D113:F113" si="38">SUM(D64+D70+D72+D75+D80+D85+D89+D93+D99+D107)</f>
        <v>1217863</v>
      </c>
      <c r="E113" s="114">
        <f t="shared" si="38"/>
        <v>915163</v>
      </c>
      <c r="F113" s="114">
        <f t="shared" si="38"/>
        <v>907163</v>
      </c>
    </row>
    <row r="114" spans="1:6" x14ac:dyDescent="0.25">
      <c r="A114" s="188" t="s">
        <v>147</v>
      </c>
      <c r="B114" s="115" t="s">
        <v>148</v>
      </c>
      <c r="C114" s="116">
        <f t="shared" ref="C114" si="39">C55+C57</f>
        <v>402008</v>
      </c>
      <c r="D114" s="116">
        <f>D55+D57</f>
        <v>409440</v>
      </c>
      <c r="E114" s="116">
        <f>E55+E57+E54</f>
        <v>424140</v>
      </c>
      <c r="F114" s="116">
        <f>F55+F57+F54</f>
        <v>424140</v>
      </c>
    </row>
    <row r="115" spans="1:6" x14ac:dyDescent="0.25">
      <c r="A115" s="186" t="s">
        <v>149</v>
      </c>
      <c r="B115" s="52" t="s">
        <v>150</v>
      </c>
      <c r="C115" s="117">
        <v>19000</v>
      </c>
      <c r="D115" s="117">
        <v>19000</v>
      </c>
      <c r="E115" s="117">
        <v>19000</v>
      </c>
      <c r="F115" s="117">
        <v>19000</v>
      </c>
    </row>
    <row r="116" spans="1:6" x14ac:dyDescent="0.25">
      <c r="A116" s="186" t="s">
        <v>122</v>
      </c>
      <c r="B116" s="52" t="s">
        <v>203</v>
      </c>
      <c r="C116" s="187">
        <v>0</v>
      </c>
      <c r="D116" s="187">
        <v>0</v>
      </c>
      <c r="E116" s="187">
        <v>120000</v>
      </c>
      <c r="F116" s="187">
        <v>120000</v>
      </c>
    </row>
    <row r="117" spans="1:6" x14ac:dyDescent="0.25">
      <c r="A117" s="186" t="s">
        <v>124</v>
      </c>
      <c r="B117" s="52" t="s">
        <v>202</v>
      </c>
      <c r="C117" s="187">
        <v>0</v>
      </c>
      <c r="D117" s="187">
        <v>0</v>
      </c>
      <c r="E117" s="187">
        <v>190000</v>
      </c>
      <c r="F117" s="187">
        <v>190000</v>
      </c>
    </row>
    <row r="118" spans="1:6" ht="15.75" thickBot="1" x14ac:dyDescent="0.3">
      <c r="A118" s="118" t="s">
        <v>151</v>
      </c>
      <c r="B118" s="119"/>
      <c r="C118" s="120">
        <f>SUM(C114:C117)</f>
        <v>421008</v>
      </c>
      <c r="D118" s="120">
        <f>SUM(D114:D117)</f>
        <v>428440</v>
      </c>
      <c r="E118" s="120">
        <f t="shared" ref="E118:F118" si="40">SUM(E114:E117)</f>
        <v>753140</v>
      </c>
      <c r="F118" s="120">
        <f t="shared" si="40"/>
        <v>753140</v>
      </c>
    </row>
    <row r="119" spans="1:6" ht="16.5" thickBot="1" x14ac:dyDescent="0.3">
      <c r="A119" s="121" t="s">
        <v>152</v>
      </c>
      <c r="B119" s="84"/>
      <c r="C119" s="122">
        <f>C113+C118</f>
        <v>1628850</v>
      </c>
      <c r="D119" s="122">
        <f>D113+D118</f>
        <v>1646303</v>
      </c>
      <c r="E119" s="122">
        <f>E113+E118</f>
        <v>1668303</v>
      </c>
      <c r="F119" s="122">
        <f>F113+F118</f>
        <v>1660303</v>
      </c>
    </row>
    <row r="120" spans="1:6" ht="23.25" customHeight="1" x14ac:dyDescent="0.25"/>
    <row r="121" spans="1:6" ht="15" customHeight="1" thickBot="1" x14ac:dyDescent="0.3"/>
    <row r="122" spans="1:6" ht="18.75" thickBot="1" x14ac:dyDescent="0.3">
      <c r="A122" s="196" t="s">
        <v>153</v>
      </c>
      <c r="B122" s="197"/>
      <c r="C122" s="197"/>
      <c r="D122" s="197"/>
      <c r="E122" s="197"/>
      <c r="F122" s="198"/>
    </row>
    <row r="123" spans="1:6" x14ac:dyDescent="0.25">
      <c r="A123" s="225" t="s">
        <v>1</v>
      </c>
      <c r="B123" s="226"/>
      <c r="C123" s="229">
        <v>2016</v>
      </c>
      <c r="D123" s="229">
        <v>2017</v>
      </c>
      <c r="E123" s="229">
        <v>2018</v>
      </c>
      <c r="F123" s="229">
        <v>2019</v>
      </c>
    </row>
    <row r="124" spans="1:6" ht="15.75" thickBot="1" x14ac:dyDescent="0.3">
      <c r="A124" s="227"/>
      <c r="B124" s="228"/>
      <c r="C124" s="230"/>
      <c r="D124" s="230"/>
      <c r="E124" s="230"/>
      <c r="F124" s="230"/>
    </row>
    <row r="125" spans="1:6" ht="16.5" thickBot="1" x14ac:dyDescent="0.3">
      <c r="A125" s="249" t="s">
        <v>154</v>
      </c>
      <c r="B125" s="250"/>
      <c r="C125" s="123">
        <f>SUM(C126:C129)</f>
        <v>15050</v>
      </c>
      <c r="D125" s="123">
        <f>SUM(D126:D129)</f>
        <v>1794200</v>
      </c>
      <c r="E125" s="123">
        <f t="shared" ref="E125:F125" si="41">SUM(E126:E129)</f>
        <v>0</v>
      </c>
      <c r="F125" s="123">
        <f t="shared" si="41"/>
        <v>0</v>
      </c>
    </row>
    <row r="126" spans="1:6" x14ac:dyDescent="0.25">
      <c r="A126" s="124">
        <v>231</v>
      </c>
      <c r="B126" s="87" t="s">
        <v>155</v>
      </c>
      <c r="C126" s="125">
        <v>0</v>
      </c>
      <c r="D126" s="125">
        <v>0</v>
      </c>
      <c r="E126" s="125">
        <v>0</v>
      </c>
      <c r="F126" s="125">
        <v>0</v>
      </c>
    </row>
    <row r="127" spans="1:6" x14ac:dyDescent="0.25">
      <c r="A127" s="48">
        <v>233</v>
      </c>
      <c r="B127" s="44" t="s">
        <v>156</v>
      </c>
      <c r="C127" s="126">
        <f>200+1820+430</f>
        <v>2450</v>
      </c>
      <c r="D127" s="126">
        <v>0</v>
      </c>
      <c r="E127" s="126">
        <v>0</v>
      </c>
      <c r="F127" s="126">
        <v>0</v>
      </c>
    </row>
    <row r="128" spans="1:6" x14ac:dyDescent="0.25">
      <c r="A128" s="177">
        <v>322</v>
      </c>
      <c r="B128" s="178" t="s">
        <v>199</v>
      </c>
      <c r="C128" s="126">
        <v>0</v>
      </c>
      <c r="D128" s="179">
        <f>1794200-D129</f>
        <v>1781600</v>
      </c>
      <c r="E128" s="179"/>
      <c r="F128" s="179"/>
    </row>
    <row r="129" spans="1:11" ht="15.75" thickBot="1" x14ac:dyDescent="0.3">
      <c r="A129" s="127">
        <v>322</v>
      </c>
      <c r="B129" s="128" t="s">
        <v>157</v>
      </c>
      <c r="C129" s="129">
        <v>12600</v>
      </c>
      <c r="D129" s="129">
        <v>12600</v>
      </c>
      <c r="E129" s="129"/>
      <c r="F129" s="129"/>
    </row>
    <row r="130" spans="1:11" ht="16.5" thickBot="1" x14ac:dyDescent="0.3">
      <c r="A130" s="249" t="s">
        <v>158</v>
      </c>
      <c r="B130" s="250"/>
      <c r="C130" s="123">
        <f>SUM(C131:C149)</f>
        <v>319340</v>
      </c>
      <c r="D130" s="123">
        <f>SUM(D131:D149)</f>
        <v>2483100</v>
      </c>
      <c r="E130" s="123">
        <f>SUM(E131:E149)</f>
        <v>0</v>
      </c>
      <c r="F130" s="123">
        <f>SUM(F131:F149)</f>
        <v>0</v>
      </c>
      <c r="G130" s="173"/>
    </row>
    <row r="131" spans="1:11" x14ac:dyDescent="0.25">
      <c r="A131" s="130" t="s">
        <v>60</v>
      </c>
      <c r="B131" s="131" t="s">
        <v>198</v>
      </c>
      <c r="C131" s="132">
        <v>0</v>
      </c>
      <c r="D131" s="132">
        <v>3000</v>
      </c>
      <c r="E131" s="132"/>
      <c r="F131" s="132"/>
      <c r="K131" s="182"/>
    </row>
    <row r="132" spans="1:11" x14ac:dyDescent="0.25">
      <c r="A132" s="181" t="s">
        <v>60</v>
      </c>
      <c r="B132" s="133" t="s">
        <v>197</v>
      </c>
      <c r="C132" s="184">
        <v>0</v>
      </c>
      <c r="D132" s="134">
        <v>109000</v>
      </c>
      <c r="E132" s="134"/>
      <c r="F132" s="134"/>
      <c r="I132" s="173"/>
    </row>
    <row r="133" spans="1:11" x14ac:dyDescent="0.25">
      <c r="A133" s="211" t="s">
        <v>76</v>
      </c>
      <c r="B133" s="183" t="s">
        <v>159</v>
      </c>
      <c r="C133" s="134">
        <v>14800</v>
      </c>
      <c r="D133" s="184">
        <v>14800</v>
      </c>
      <c r="E133" s="184"/>
      <c r="F133" s="184"/>
      <c r="I133" s="173"/>
    </row>
    <row r="134" spans="1:11" x14ac:dyDescent="0.25">
      <c r="A134" s="212" t="s">
        <v>81</v>
      </c>
      <c r="B134" s="204" t="s">
        <v>209</v>
      </c>
      <c r="C134" s="184">
        <v>0</v>
      </c>
      <c r="D134" s="134">
        <v>0</v>
      </c>
      <c r="E134" s="134"/>
      <c r="F134" s="134"/>
    </row>
    <row r="135" spans="1:11" ht="15.75" thickBot="1" x14ac:dyDescent="0.3">
      <c r="A135" s="212"/>
      <c r="B135" s="204" t="s">
        <v>210</v>
      </c>
      <c r="C135" s="134">
        <f>30000+3500+17000+5900+6000+5000+23400+70000</f>
        <v>160800</v>
      </c>
      <c r="D135" s="134"/>
      <c r="E135" s="134"/>
      <c r="F135" s="134"/>
      <c r="I135" s="173"/>
    </row>
    <row r="136" spans="1:11" x14ac:dyDescent="0.25">
      <c r="A136" s="213" t="s">
        <v>83</v>
      </c>
      <c r="B136" s="205" t="s">
        <v>190</v>
      </c>
      <c r="C136" s="135">
        <v>0</v>
      </c>
      <c r="D136" s="137">
        <v>42000</v>
      </c>
      <c r="E136" s="137"/>
      <c r="F136" s="137"/>
    </row>
    <row r="137" spans="1:11" ht="15.75" thickBot="1" x14ac:dyDescent="0.3">
      <c r="A137" s="212" t="s">
        <v>83</v>
      </c>
      <c r="B137" s="204" t="s">
        <v>160</v>
      </c>
      <c r="C137" s="253">
        <v>10000</v>
      </c>
      <c r="D137" s="135">
        <v>10000</v>
      </c>
      <c r="E137" s="135"/>
      <c r="F137" s="135"/>
      <c r="I137" s="173"/>
    </row>
    <row r="138" spans="1:11" ht="15.75" thickBot="1" x14ac:dyDescent="0.3">
      <c r="A138" s="206" t="s">
        <v>90</v>
      </c>
      <c r="B138" s="205" t="s">
        <v>193</v>
      </c>
      <c r="C138" s="136">
        <v>20700</v>
      </c>
      <c r="D138" s="137">
        <v>1287000</v>
      </c>
      <c r="E138" s="137"/>
      <c r="F138" s="137"/>
      <c r="I138" s="173"/>
    </row>
    <row r="139" spans="1:11" ht="15.75" thickBot="1" x14ac:dyDescent="0.3">
      <c r="A139" s="214" t="s">
        <v>161</v>
      </c>
      <c r="B139" s="207" t="s">
        <v>162</v>
      </c>
      <c r="C139" s="136">
        <f>91440+1300</f>
        <v>92740</v>
      </c>
      <c r="D139" s="136">
        <v>50000</v>
      </c>
      <c r="E139" s="136"/>
      <c r="F139" s="136"/>
    </row>
    <row r="140" spans="1:11" x14ac:dyDescent="0.25">
      <c r="A140" s="215" t="s">
        <v>97</v>
      </c>
      <c r="B140" s="208" t="s">
        <v>204</v>
      </c>
      <c r="C140" s="137">
        <v>17600</v>
      </c>
      <c r="D140" s="189">
        <v>40000</v>
      </c>
      <c r="E140" s="189"/>
      <c r="F140" s="189"/>
      <c r="G140" s="142"/>
      <c r="H140" s="142"/>
      <c r="I140" s="142"/>
      <c r="J140" s="142"/>
    </row>
    <row r="141" spans="1:11" x14ac:dyDescent="0.25">
      <c r="A141" s="216" t="s">
        <v>101</v>
      </c>
      <c r="B141" s="209" t="s">
        <v>192</v>
      </c>
      <c r="C141" s="138">
        <v>0</v>
      </c>
      <c r="D141" s="180">
        <v>164000</v>
      </c>
      <c r="E141" s="180"/>
      <c r="F141" s="180"/>
      <c r="G141" s="142"/>
      <c r="H141" s="142"/>
      <c r="I141" s="142"/>
      <c r="J141" s="142"/>
    </row>
    <row r="142" spans="1:11" x14ac:dyDescent="0.25">
      <c r="A142" s="216" t="s">
        <v>111</v>
      </c>
      <c r="B142" s="209" t="s">
        <v>195</v>
      </c>
      <c r="C142" s="135">
        <v>0</v>
      </c>
      <c r="D142" s="180">
        <v>56400</v>
      </c>
      <c r="E142" s="180"/>
      <c r="F142" s="180"/>
      <c r="G142" s="142"/>
      <c r="H142" s="142"/>
      <c r="I142" s="142"/>
      <c r="J142" s="142"/>
      <c r="K142" s="142"/>
    </row>
    <row r="143" spans="1:11" x14ac:dyDescent="0.25">
      <c r="A143" s="216" t="s">
        <v>111</v>
      </c>
      <c r="B143" s="209" t="s">
        <v>196</v>
      </c>
      <c r="C143" s="135">
        <v>0</v>
      </c>
      <c r="D143" s="180">
        <v>30000</v>
      </c>
      <c r="E143" s="180"/>
      <c r="F143" s="180"/>
      <c r="G143" s="142"/>
      <c r="H143" s="142"/>
      <c r="I143" s="142"/>
      <c r="J143" s="145"/>
      <c r="K143" s="144"/>
    </row>
    <row r="144" spans="1:11" x14ac:dyDescent="0.25">
      <c r="A144" s="216" t="s">
        <v>111</v>
      </c>
      <c r="B144" s="209" t="s">
        <v>207</v>
      </c>
      <c r="C144" s="135">
        <v>0</v>
      </c>
      <c r="D144" s="180">
        <v>10000</v>
      </c>
      <c r="E144" s="180"/>
      <c r="F144" s="180"/>
      <c r="G144" s="142"/>
      <c r="H144" s="142"/>
      <c r="I144" s="142"/>
      <c r="K144" s="144"/>
    </row>
    <row r="145" spans="1:11" x14ac:dyDescent="0.25">
      <c r="A145" s="216" t="s">
        <v>111</v>
      </c>
      <c r="B145" s="209" t="s">
        <v>208</v>
      </c>
      <c r="C145" s="135">
        <v>0</v>
      </c>
      <c r="D145" s="180">
        <v>10000</v>
      </c>
      <c r="E145" s="180"/>
      <c r="F145" s="180"/>
      <c r="G145" s="142"/>
      <c r="H145" s="142"/>
      <c r="I145" s="142"/>
    </row>
    <row r="146" spans="1:11" x14ac:dyDescent="0.25">
      <c r="A146" s="216" t="s">
        <v>113</v>
      </c>
      <c r="B146" s="209" t="s">
        <v>194</v>
      </c>
      <c r="C146" s="138">
        <v>0</v>
      </c>
      <c r="D146" s="180">
        <v>500000</v>
      </c>
      <c r="E146" s="180"/>
      <c r="F146" s="180"/>
      <c r="G146" s="145"/>
      <c r="H146" s="145"/>
      <c r="I146" s="145"/>
    </row>
    <row r="147" spans="1:11" x14ac:dyDescent="0.25">
      <c r="A147" s="217" t="s">
        <v>115</v>
      </c>
      <c r="B147" s="218" t="s">
        <v>163</v>
      </c>
      <c r="C147" s="138">
        <v>2700</v>
      </c>
      <c r="D147" s="138">
        <v>2700</v>
      </c>
      <c r="E147" s="138"/>
      <c r="F147" s="138"/>
      <c r="G147" s="145"/>
      <c r="H147" s="145"/>
      <c r="I147" s="145"/>
    </row>
    <row r="148" spans="1:11" ht="15" customHeight="1" x14ac:dyDescent="0.25">
      <c r="A148" s="217" t="s">
        <v>131</v>
      </c>
      <c r="B148" s="218" t="s">
        <v>205</v>
      </c>
      <c r="C148" s="135">
        <v>0</v>
      </c>
      <c r="D148" s="138">
        <v>13000</v>
      </c>
      <c r="E148" s="138"/>
      <c r="F148" s="138"/>
      <c r="H148" s="143"/>
      <c r="I148" s="220"/>
      <c r="J148" s="143"/>
    </row>
    <row r="149" spans="1:11" ht="15.75" thickBot="1" x14ac:dyDescent="0.3">
      <c r="A149" s="210" t="s">
        <v>122</v>
      </c>
      <c r="B149" s="219" t="s">
        <v>191</v>
      </c>
      <c r="C149" s="253">
        <v>0</v>
      </c>
      <c r="D149" s="190">
        <v>141200</v>
      </c>
      <c r="E149" s="190"/>
      <c r="F149" s="190"/>
      <c r="H149" s="173"/>
    </row>
    <row r="150" spans="1:11" x14ac:dyDescent="0.25">
      <c r="A150" s="139"/>
      <c r="B150" s="140"/>
      <c r="C150" s="141"/>
      <c r="D150" s="142"/>
      <c r="E150" s="142"/>
    </row>
    <row r="151" spans="1:11" ht="15.75" thickBot="1" x14ac:dyDescent="0.3">
      <c r="A151" s="143"/>
      <c r="B151" s="144"/>
      <c r="C151" s="145"/>
      <c r="D151" s="145" t="s">
        <v>164</v>
      </c>
      <c r="E151" s="145"/>
    </row>
    <row r="152" spans="1:11" ht="18.75" thickBot="1" x14ac:dyDescent="0.3">
      <c r="A152" s="199" t="s">
        <v>165</v>
      </c>
      <c r="B152" s="200"/>
      <c r="C152" s="200"/>
      <c r="D152" s="200"/>
      <c r="E152" s="200"/>
      <c r="F152" s="200"/>
    </row>
    <row r="153" spans="1:11" x14ac:dyDescent="0.25">
      <c r="A153" s="225" t="s">
        <v>1</v>
      </c>
      <c r="B153" s="226"/>
      <c r="C153" s="229">
        <v>2016</v>
      </c>
      <c r="D153" s="229">
        <v>2017</v>
      </c>
      <c r="E153" s="229">
        <v>2018</v>
      </c>
      <c r="F153" s="229">
        <v>2019</v>
      </c>
    </row>
    <row r="154" spans="1:11" ht="15.75" thickBot="1" x14ac:dyDescent="0.3">
      <c r="A154" s="227"/>
      <c r="B154" s="228"/>
      <c r="C154" s="230"/>
      <c r="D154" s="230"/>
      <c r="E154" s="230"/>
      <c r="F154" s="230"/>
    </row>
    <row r="155" spans="1:11" ht="16.5" thickBot="1" x14ac:dyDescent="0.3">
      <c r="A155" s="146" t="s">
        <v>166</v>
      </c>
      <c r="B155" s="147"/>
      <c r="C155" s="148">
        <f t="shared" ref="C155" si="42">SUM(C156:C158)</f>
        <v>305790</v>
      </c>
      <c r="D155" s="148">
        <f t="shared" ref="D155:F155" si="43">SUM(D156:D158)</f>
        <v>688900</v>
      </c>
      <c r="E155" s="148">
        <f t="shared" si="43"/>
        <v>500</v>
      </c>
      <c r="F155" s="148">
        <f t="shared" si="43"/>
        <v>500</v>
      </c>
      <c r="J155" s="159"/>
      <c r="K155" s="159"/>
    </row>
    <row r="156" spans="1:11" x14ac:dyDescent="0.25">
      <c r="A156" s="149">
        <v>454</v>
      </c>
      <c r="B156" s="49" t="s">
        <v>167</v>
      </c>
      <c r="C156" s="150">
        <f>89750+78470+131000+5070</f>
        <v>304290</v>
      </c>
      <c r="D156" s="150">
        <v>261000</v>
      </c>
      <c r="E156" s="150"/>
      <c r="F156" s="150"/>
      <c r="J156" s="159"/>
      <c r="K156" s="159"/>
    </row>
    <row r="157" spans="1:11" x14ac:dyDescent="0.25">
      <c r="A157" s="151">
        <v>453</v>
      </c>
      <c r="B157" s="152" t="s">
        <v>168</v>
      </c>
      <c r="C157" s="153">
        <v>1500</v>
      </c>
      <c r="D157" s="153">
        <v>1500</v>
      </c>
      <c r="E157" s="153">
        <v>500</v>
      </c>
      <c r="F157" s="153">
        <v>500</v>
      </c>
      <c r="J157" s="159"/>
      <c r="K157" s="140"/>
    </row>
    <row r="158" spans="1:11" ht="15.75" thickBot="1" x14ac:dyDescent="0.3">
      <c r="A158" s="151">
        <v>513</v>
      </c>
      <c r="B158" s="152" t="s">
        <v>169</v>
      </c>
      <c r="C158" s="153">
        <v>0</v>
      </c>
      <c r="D158" s="153">
        <v>426400</v>
      </c>
      <c r="E158" s="153">
        <v>0</v>
      </c>
      <c r="F158" s="153">
        <v>0</v>
      </c>
      <c r="G158" s="247" t="s">
        <v>200</v>
      </c>
      <c r="H158" s="248"/>
      <c r="I158" s="159">
        <f>1635620*60%</f>
        <v>981372</v>
      </c>
    </row>
    <row r="159" spans="1:11" ht="16.5" thickBot="1" x14ac:dyDescent="0.3">
      <c r="A159" s="146" t="s">
        <v>170</v>
      </c>
      <c r="B159" s="147"/>
      <c r="C159" s="148">
        <f t="shared" ref="C159" si="44">SUM(C160:C161)</f>
        <v>37800</v>
      </c>
      <c r="D159" s="148">
        <f t="shared" ref="D159:F159" si="45">SUM(D160:D161)</f>
        <v>53800</v>
      </c>
      <c r="E159" s="148">
        <f t="shared" si="45"/>
        <v>53800</v>
      </c>
      <c r="F159" s="148">
        <f t="shared" si="45"/>
        <v>53800</v>
      </c>
      <c r="G159" s="185" t="s">
        <v>201</v>
      </c>
      <c r="H159" s="159">
        <f t="shared" ref="H159" si="46">1635620*25%</f>
        <v>408905</v>
      </c>
      <c r="I159" s="140">
        <f>4400*12</f>
        <v>52800</v>
      </c>
    </row>
    <row r="160" spans="1:11" ht="16.5" customHeight="1" x14ac:dyDescent="0.25">
      <c r="A160" s="154">
        <v>821</v>
      </c>
      <c r="B160" s="155" t="s">
        <v>171</v>
      </c>
      <c r="C160" s="156">
        <v>37000</v>
      </c>
      <c r="D160" s="156">
        <v>53000</v>
      </c>
      <c r="E160" s="156">
        <v>53000</v>
      </c>
      <c r="F160" s="156">
        <v>53000</v>
      </c>
      <c r="H160" s="140"/>
      <c r="I160" s="140"/>
    </row>
    <row r="161" spans="1:6" ht="15" customHeight="1" thickBot="1" x14ac:dyDescent="0.3">
      <c r="A161" s="29">
        <v>821</v>
      </c>
      <c r="B161" s="157" t="s">
        <v>172</v>
      </c>
      <c r="C161" s="73">
        <v>800</v>
      </c>
      <c r="D161" s="73">
        <v>800</v>
      </c>
      <c r="E161" s="73">
        <v>800</v>
      </c>
      <c r="F161" s="73">
        <v>800</v>
      </c>
    </row>
    <row r="162" spans="1:6" x14ac:dyDescent="0.25">
      <c r="A162" s="143"/>
      <c r="B162" s="158"/>
      <c r="C162" s="158"/>
      <c r="D162" s="159"/>
      <c r="E162" s="159"/>
      <c r="F162" s="159"/>
    </row>
    <row r="163" spans="1:6" x14ac:dyDescent="0.25">
      <c r="A163" s="143"/>
      <c r="B163" s="158"/>
      <c r="C163" s="158"/>
      <c r="D163" s="159"/>
      <c r="E163" s="159"/>
      <c r="F163" s="159"/>
    </row>
    <row r="164" spans="1:6" ht="16.5" thickBot="1" x14ac:dyDescent="0.3">
      <c r="A164" s="60"/>
      <c r="B164" s="140"/>
      <c r="C164" s="140"/>
      <c r="D164" s="140"/>
      <c r="E164" s="140"/>
      <c r="F164" s="140"/>
    </row>
    <row r="165" spans="1:6" ht="18.75" thickBot="1" x14ac:dyDescent="0.3">
      <c r="A165" s="201" t="s">
        <v>173</v>
      </c>
      <c r="B165" s="202"/>
      <c r="C165" s="202"/>
      <c r="D165" s="202"/>
      <c r="E165" s="202"/>
      <c r="F165" s="203"/>
    </row>
    <row r="166" spans="1:6" x14ac:dyDescent="0.25">
      <c r="A166" s="225" t="s">
        <v>1</v>
      </c>
      <c r="B166" s="226"/>
      <c r="C166" s="229">
        <v>2016</v>
      </c>
      <c r="D166" s="229">
        <v>2017</v>
      </c>
      <c r="E166" s="229">
        <v>2018</v>
      </c>
      <c r="F166" s="229">
        <v>2019</v>
      </c>
    </row>
    <row r="167" spans="1:6" ht="15.75" thickBot="1" x14ac:dyDescent="0.3">
      <c r="A167" s="227"/>
      <c r="B167" s="228"/>
      <c r="C167" s="230"/>
      <c r="D167" s="230"/>
      <c r="E167" s="230"/>
      <c r="F167" s="230"/>
    </row>
    <row r="168" spans="1:6" ht="15.75" x14ac:dyDescent="0.25">
      <c r="A168" s="160" t="s">
        <v>174</v>
      </c>
      <c r="B168" s="16"/>
      <c r="C168" s="161">
        <f>C58</f>
        <v>1665150</v>
      </c>
      <c r="D168" s="161">
        <f>D58</f>
        <v>1700103</v>
      </c>
      <c r="E168" s="161">
        <f>E58</f>
        <v>1721603</v>
      </c>
      <c r="F168" s="161">
        <f>F58</f>
        <v>1713603</v>
      </c>
    </row>
    <row r="169" spans="1:6" ht="15.75" x14ac:dyDescent="0.25">
      <c r="A169" s="162" t="s">
        <v>175</v>
      </c>
      <c r="B169" s="10"/>
      <c r="C169" s="163">
        <f>C119</f>
        <v>1628850</v>
      </c>
      <c r="D169" s="163">
        <f>D119</f>
        <v>1646303</v>
      </c>
      <c r="E169" s="163">
        <f>E119</f>
        <v>1668303</v>
      </c>
      <c r="F169" s="163">
        <f>F119</f>
        <v>1660303</v>
      </c>
    </row>
    <row r="170" spans="1:6" ht="15.75" x14ac:dyDescent="0.25">
      <c r="A170" s="221" t="s">
        <v>176</v>
      </c>
      <c r="B170" s="222"/>
      <c r="C170" s="164">
        <f t="shared" ref="C170" si="47">C168-C169</f>
        <v>36300</v>
      </c>
      <c r="D170" s="164">
        <f t="shared" ref="D170:F170" si="48">D168-D169</f>
        <v>53800</v>
      </c>
      <c r="E170" s="164">
        <f t="shared" si="48"/>
        <v>53300</v>
      </c>
      <c r="F170" s="164">
        <f t="shared" si="48"/>
        <v>53300</v>
      </c>
    </row>
    <row r="171" spans="1:6" ht="15.75" x14ac:dyDescent="0.25">
      <c r="A171" s="162" t="s">
        <v>177</v>
      </c>
      <c r="B171" s="10"/>
      <c r="C171" s="163">
        <f>C125</f>
        <v>15050</v>
      </c>
      <c r="D171" s="163">
        <f>D125</f>
        <v>1794200</v>
      </c>
      <c r="E171" s="163">
        <f>E125</f>
        <v>0</v>
      </c>
      <c r="F171" s="163">
        <f>F125</f>
        <v>0</v>
      </c>
    </row>
    <row r="172" spans="1:6" ht="15.75" x14ac:dyDescent="0.25">
      <c r="A172" s="162" t="s">
        <v>178</v>
      </c>
      <c r="B172" s="10"/>
      <c r="C172" s="11">
        <f>C130</f>
        <v>319340</v>
      </c>
      <c r="D172" s="11">
        <f>D130</f>
        <v>2483100</v>
      </c>
      <c r="E172" s="11">
        <f>E130</f>
        <v>0</v>
      </c>
      <c r="F172" s="11">
        <f>F130</f>
        <v>0</v>
      </c>
    </row>
    <row r="173" spans="1:6" ht="15.75" x14ac:dyDescent="0.25">
      <c r="A173" s="221" t="s">
        <v>179</v>
      </c>
      <c r="B173" s="222"/>
      <c r="C173" s="164">
        <f t="shared" ref="C173" si="49">C171-C172</f>
        <v>-304290</v>
      </c>
      <c r="D173" s="164">
        <f t="shared" ref="D173:F173" si="50">D171-D172</f>
        <v>-688900</v>
      </c>
      <c r="E173" s="164">
        <f t="shared" si="50"/>
        <v>0</v>
      </c>
      <c r="F173" s="164">
        <f t="shared" si="50"/>
        <v>0</v>
      </c>
    </row>
    <row r="174" spans="1:6" ht="15.75" x14ac:dyDescent="0.25">
      <c r="A174" s="165" t="s">
        <v>180</v>
      </c>
      <c r="B174" s="166"/>
      <c r="C174" s="167">
        <f>C155</f>
        <v>305790</v>
      </c>
      <c r="D174" s="167">
        <f>D155</f>
        <v>688900</v>
      </c>
      <c r="E174" s="167">
        <f>E155</f>
        <v>500</v>
      </c>
      <c r="F174" s="167">
        <f>F155</f>
        <v>500</v>
      </c>
    </row>
    <row r="175" spans="1:6" ht="15.75" x14ac:dyDescent="0.25">
      <c r="A175" s="165" t="s">
        <v>181</v>
      </c>
      <c r="B175" s="166"/>
      <c r="C175" s="167">
        <f>C159</f>
        <v>37800</v>
      </c>
      <c r="D175" s="167">
        <f>D159</f>
        <v>53800</v>
      </c>
      <c r="E175" s="167">
        <f>E159</f>
        <v>53800</v>
      </c>
      <c r="F175" s="167">
        <f>F159</f>
        <v>53800</v>
      </c>
    </row>
    <row r="176" spans="1:6" ht="16.5" thickBot="1" x14ac:dyDescent="0.3">
      <c r="A176" s="223" t="s">
        <v>182</v>
      </c>
      <c r="B176" s="224"/>
      <c r="C176" s="168">
        <f t="shared" ref="C176" si="51">C174-C175</f>
        <v>267990</v>
      </c>
      <c r="D176" s="168">
        <f t="shared" ref="D176:F176" si="52">D174-D175</f>
        <v>635100</v>
      </c>
      <c r="E176" s="168">
        <f t="shared" si="52"/>
        <v>-53300</v>
      </c>
      <c r="F176" s="168">
        <f t="shared" si="52"/>
        <v>-53300</v>
      </c>
    </row>
    <row r="177" spans="1:11" ht="16.5" thickBot="1" x14ac:dyDescent="0.3">
      <c r="A177" s="169" t="s">
        <v>183</v>
      </c>
      <c r="B177" s="170"/>
      <c r="C177" s="171">
        <f t="shared" ref="C177" si="53">C170+C173+C176</f>
        <v>0</v>
      </c>
      <c r="D177" s="171">
        <f t="shared" ref="D177:F177" si="54">D170+D173+D176</f>
        <v>0</v>
      </c>
      <c r="E177" s="171">
        <f t="shared" si="54"/>
        <v>0</v>
      </c>
      <c r="F177" s="171">
        <f t="shared" si="54"/>
        <v>0</v>
      </c>
    </row>
    <row r="179" spans="1:11" x14ac:dyDescent="0.25">
      <c r="B179" s="172" t="s">
        <v>184</v>
      </c>
      <c r="C179" s="173">
        <f t="shared" ref="C179" si="55">C168+C171+C174</f>
        <v>1985990</v>
      </c>
      <c r="D179" s="173">
        <f t="shared" ref="D179:F180" si="56">D168+D171+D174</f>
        <v>4183203</v>
      </c>
      <c r="E179" s="173">
        <f t="shared" si="56"/>
        <v>1722103</v>
      </c>
      <c r="F179" s="173">
        <f t="shared" si="56"/>
        <v>1714103</v>
      </c>
      <c r="J179" s="174"/>
      <c r="K179" s="174"/>
    </row>
    <row r="180" spans="1:11" x14ac:dyDescent="0.25">
      <c r="B180" s="172" t="s">
        <v>185</v>
      </c>
      <c r="C180" s="173">
        <f t="shared" ref="C180" si="57">C169+C172+C175</f>
        <v>1985990</v>
      </c>
      <c r="D180" s="173">
        <f t="shared" si="56"/>
        <v>4183203</v>
      </c>
      <c r="E180" s="173">
        <f t="shared" si="56"/>
        <v>1722103</v>
      </c>
      <c r="F180" s="173">
        <f t="shared" si="56"/>
        <v>1714103</v>
      </c>
    </row>
    <row r="181" spans="1:11" x14ac:dyDescent="0.25">
      <c r="B181" s="172"/>
      <c r="C181" s="173"/>
      <c r="D181" s="173"/>
      <c r="E181" s="173"/>
      <c r="F181" s="173"/>
    </row>
    <row r="182" spans="1:11" x14ac:dyDescent="0.25">
      <c r="B182" s="172" t="s">
        <v>186</v>
      </c>
      <c r="C182" s="173">
        <f>C179-C57</f>
        <v>1982690</v>
      </c>
      <c r="D182" s="173">
        <f>D179-D57</f>
        <v>4180203</v>
      </c>
      <c r="E182" s="173">
        <f>E179-E57</f>
        <v>1706603</v>
      </c>
      <c r="F182" s="173">
        <f>F179-F57</f>
        <v>1698603</v>
      </c>
      <c r="G182" s="174"/>
      <c r="H182" s="174"/>
      <c r="I182" s="174"/>
    </row>
    <row r="183" spans="1:11" x14ac:dyDescent="0.25">
      <c r="B183" s="172" t="s">
        <v>187</v>
      </c>
      <c r="C183" s="173">
        <f>C180-C118</f>
        <v>1564982</v>
      </c>
      <c r="D183" s="173">
        <f>D180-D118</f>
        <v>3754763</v>
      </c>
      <c r="E183" s="173">
        <f>E180-E118</f>
        <v>968963</v>
      </c>
      <c r="F183" s="173">
        <f>F180-F118</f>
        <v>960963</v>
      </c>
    </row>
    <row r="185" spans="1:11" x14ac:dyDescent="0.25">
      <c r="B185" t="s">
        <v>188</v>
      </c>
    </row>
    <row r="186" spans="1:11" x14ac:dyDescent="0.25">
      <c r="B186" s="174" t="s">
        <v>189</v>
      </c>
      <c r="C186" s="174"/>
      <c r="D186" s="174"/>
      <c r="E186" s="174"/>
      <c r="F186" s="174"/>
    </row>
  </sheetData>
  <mergeCells count="35">
    <mergeCell ref="A170:B170"/>
    <mergeCell ref="A173:B173"/>
    <mergeCell ref="A176:B176"/>
    <mergeCell ref="C2:C3"/>
    <mergeCell ref="C62:C63"/>
    <mergeCell ref="C123:C124"/>
    <mergeCell ref="C153:C154"/>
    <mergeCell ref="C166:C167"/>
    <mergeCell ref="G158:H158"/>
    <mergeCell ref="A166:B167"/>
    <mergeCell ref="D166:D167"/>
    <mergeCell ref="E166:E167"/>
    <mergeCell ref="F166:F167"/>
    <mergeCell ref="A125:B125"/>
    <mergeCell ref="A130:B130"/>
    <mergeCell ref="A153:B154"/>
    <mergeCell ref="D153:D154"/>
    <mergeCell ref="E153:E154"/>
    <mergeCell ref="F153:F154"/>
    <mergeCell ref="A80:B80"/>
    <mergeCell ref="A123:B124"/>
    <mergeCell ref="D123:D124"/>
    <mergeCell ref="E123:E124"/>
    <mergeCell ref="F123:F124"/>
    <mergeCell ref="A12:B12"/>
    <mergeCell ref="A62:B63"/>
    <mergeCell ref="D62:D63"/>
    <mergeCell ref="E62:E63"/>
    <mergeCell ref="F62:F63"/>
    <mergeCell ref="A1:F1"/>
    <mergeCell ref="A2:B3"/>
    <mergeCell ref="D2:D3"/>
    <mergeCell ref="E2:E3"/>
    <mergeCell ref="F2:F3"/>
    <mergeCell ref="A4:B4"/>
  </mergeCells>
  <pageMargins left="0.7" right="0.7" top="0.75" bottom="0.75" header="0.3" footer="0.3"/>
  <pageSetup paperSize="9" scale="58" fitToHeight="0" orientation="portrait" r:id="rId1"/>
  <headerFooter>
    <oddHeader xml:space="preserve">&amp;C&amp;"-,Tučné"Viacročný rozpočet 2017 - 2019&amp;"-,Normálne"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zoomScaleNormal="100" workbookViewId="0">
      <selection activeCell="H32" sqref="H32"/>
    </sheetView>
  </sheetViews>
  <sheetFormatPr defaultRowHeight="15" x14ac:dyDescent="0.25"/>
  <cols>
    <col min="2" max="2" width="57.85546875" customWidth="1"/>
    <col min="3" max="3" width="12.85546875" customWidth="1"/>
    <col min="4" max="4" width="12.7109375" customWidth="1"/>
    <col min="5" max="5" width="12" customWidth="1"/>
    <col min="10" max="10" width="12.140625" bestFit="1" customWidth="1"/>
  </cols>
  <sheetData>
    <row r="1" spans="1:5" ht="23.25" customHeight="1" thickBot="1" x14ac:dyDescent="0.3">
      <c r="A1" s="238" t="s">
        <v>0</v>
      </c>
      <c r="B1" s="239"/>
      <c r="C1" s="239"/>
      <c r="D1" s="239"/>
      <c r="E1" s="240"/>
    </row>
    <row r="2" spans="1:5" ht="15" customHeight="1" x14ac:dyDescent="0.25">
      <c r="A2" s="225" t="s">
        <v>1</v>
      </c>
      <c r="B2" s="226"/>
      <c r="C2" s="229">
        <v>2017</v>
      </c>
      <c r="D2" s="229">
        <v>2018</v>
      </c>
      <c r="E2" s="229">
        <v>2019</v>
      </c>
    </row>
    <row r="3" spans="1:5" ht="15.75" thickBot="1" x14ac:dyDescent="0.3">
      <c r="A3" s="227"/>
      <c r="B3" s="228"/>
      <c r="C3" s="230"/>
      <c r="D3" s="230"/>
      <c r="E3" s="230"/>
    </row>
    <row r="4" spans="1:5" ht="15.75" thickBot="1" x14ac:dyDescent="0.3">
      <c r="A4" s="251" t="s">
        <v>2</v>
      </c>
      <c r="B4" s="252"/>
      <c r="C4" s="1">
        <f t="shared" ref="C4:E4" si="0">SUM(C5:C11)</f>
        <v>949400</v>
      </c>
      <c r="D4" s="1">
        <f t="shared" si="0"/>
        <v>949400</v>
      </c>
      <c r="E4" s="1">
        <f t="shared" si="0"/>
        <v>954400</v>
      </c>
    </row>
    <row r="5" spans="1:5" ht="15.75" thickBot="1" x14ac:dyDescent="0.3">
      <c r="A5" s="2">
        <v>111</v>
      </c>
      <c r="B5" s="3" t="s">
        <v>3</v>
      </c>
      <c r="C5" s="4">
        <v>890000</v>
      </c>
      <c r="D5" s="4">
        <v>890000</v>
      </c>
      <c r="E5" s="4">
        <v>895000</v>
      </c>
    </row>
    <row r="6" spans="1:5" ht="15.75" thickBot="1" x14ac:dyDescent="0.3">
      <c r="A6" s="5">
        <v>121</v>
      </c>
      <c r="B6" s="6" t="s">
        <v>4</v>
      </c>
      <c r="C6" s="175">
        <v>32000</v>
      </c>
      <c r="D6" s="175">
        <v>32000</v>
      </c>
      <c r="E6" s="175">
        <v>32000</v>
      </c>
    </row>
    <row r="7" spans="1:5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</row>
    <row r="8" spans="1:5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</row>
    <row r="9" spans="1:5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</row>
    <row r="10" spans="1:5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</row>
    <row r="11" spans="1:5" ht="15.75" thickBot="1" x14ac:dyDescent="0.3">
      <c r="A11" s="12">
        <v>133</v>
      </c>
      <c r="B11" s="13" t="s">
        <v>9</v>
      </c>
      <c r="C11" s="14">
        <v>19000</v>
      </c>
      <c r="D11" s="14">
        <v>19000</v>
      </c>
      <c r="E11" s="14">
        <v>19000</v>
      </c>
    </row>
    <row r="12" spans="1:5" ht="15.75" thickBot="1" x14ac:dyDescent="0.3">
      <c r="A12" s="251" t="s">
        <v>10</v>
      </c>
      <c r="B12" s="252"/>
      <c r="C12" s="1">
        <f t="shared" ref="C12:E12" si="1">SUM(C13:C30)</f>
        <v>172393</v>
      </c>
      <c r="D12" s="1">
        <f t="shared" si="1"/>
        <v>179393</v>
      </c>
      <c r="E12" s="1">
        <f t="shared" si="1"/>
        <v>169393</v>
      </c>
    </row>
    <row r="13" spans="1:5" x14ac:dyDescent="0.25">
      <c r="A13" s="15">
        <v>212</v>
      </c>
      <c r="B13" s="16" t="s">
        <v>11</v>
      </c>
      <c r="C13" s="17">
        <v>2200</v>
      </c>
      <c r="D13" s="17">
        <v>2200</v>
      </c>
      <c r="E13" s="17">
        <v>2200</v>
      </c>
    </row>
    <row r="14" spans="1:5" x14ac:dyDescent="0.25">
      <c r="A14" s="7">
        <v>212</v>
      </c>
      <c r="B14" s="8" t="s">
        <v>12</v>
      </c>
      <c r="C14" s="18">
        <v>500</v>
      </c>
      <c r="D14" s="18">
        <v>20000</v>
      </c>
      <c r="E14" s="18">
        <v>10000</v>
      </c>
    </row>
    <row r="15" spans="1:5" x14ac:dyDescent="0.25">
      <c r="A15" s="9">
        <v>212</v>
      </c>
      <c r="B15" s="10" t="s">
        <v>13</v>
      </c>
      <c r="C15" s="19">
        <v>3943</v>
      </c>
      <c r="D15" s="19">
        <v>3943</v>
      </c>
      <c r="E15" s="19">
        <v>3943</v>
      </c>
    </row>
    <row r="16" spans="1:5" x14ac:dyDescent="0.25">
      <c r="A16" s="9">
        <v>212</v>
      </c>
      <c r="B16" s="10" t="s">
        <v>14</v>
      </c>
      <c r="C16" s="20">
        <v>17700</v>
      </c>
      <c r="D16" s="20">
        <v>17700</v>
      </c>
      <c r="E16" s="20">
        <v>17700</v>
      </c>
    </row>
    <row r="17" spans="1:5" ht="15.75" thickBot="1" x14ac:dyDescent="0.3">
      <c r="A17" s="21">
        <v>212</v>
      </c>
      <c r="B17" s="22" t="s">
        <v>15</v>
      </c>
      <c r="C17" s="23">
        <v>200</v>
      </c>
      <c r="D17" s="23">
        <v>200</v>
      </c>
      <c r="E17" s="23">
        <v>200</v>
      </c>
    </row>
    <row r="18" spans="1:5" ht="15.75" thickBot="1" x14ac:dyDescent="0.3">
      <c r="A18" s="5">
        <v>221</v>
      </c>
      <c r="B18" s="6" t="s">
        <v>16</v>
      </c>
      <c r="C18" s="24">
        <v>11000</v>
      </c>
      <c r="D18" s="24">
        <v>11000</v>
      </c>
      <c r="E18" s="24">
        <v>11000</v>
      </c>
    </row>
    <row r="19" spans="1:5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</row>
    <row r="20" spans="1:5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</row>
    <row r="21" spans="1:5" x14ac:dyDescent="0.25">
      <c r="A21" s="9">
        <v>223</v>
      </c>
      <c r="B21" s="10" t="s">
        <v>19</v>
      </c>
      <c r="C21" s="19">
        <v>20000</v>
      </c>
      <c r="D21" s="19">
        <v>20000</v>
      </c>
      <c r="E21" s="19">
        <v>20000</v>
      </c>
    </row>
    <row r="22" spans="1:5" x14ac:dyDescent="0.25">
      <c r="A22" s="9">
        <v>223</v>
      </c>
      <c r="B22" s="10" t="s">
        <v>20</v>
      </c>
      <c r="C22" s="19">
        <v>30000</v>
      </c>
      <c r="D22" s="19">
        <v>30000</v>
      </c>
      <c r="E22" s="19">
        <v>30000</v>
      </c>
    </row>
    <row r="23" spans="1:5" x14ac:dyDescent="0.25">
      <c r="A23" s="9">
        <v>223</v>
      </c>
      <c r="B23" s="10" t="s">
        <v>21</v>
      </c>
      <c r="C23" s="19">
        <v>1000</v>
      </c>
      <c r="D23" s="19">
        <v>1000</v>
      </c>
      <c r="E23" s="19">
        <v>1000</v>
      </c>
    </row>
    <row r="24" spans="1:5" x14ac:dyDescent="0.25">
      <c r="A24" s="9">
        <v>223</v>
      </c>
      <c r="B24" s="10" t="s">
        <v>22</v>
      </c>
      <c r="C24" s="19">
        <v>700</v>
      </c>
      <c r="D24" s="19">
        <v>700</v>
      </c>
      <c r="E24" s="19">
        <v>700</v>
      </c>
    </row>
    <row r="25" spans="1:5" x14ac:dyDescent="0.25">
      <c r="A25" s="9">
        <v>223</v>
      </c>
      <c r="B25" s="10" t="s">
        <v>23</v>
      </c>
      <c r="C25" s="19">
        <v>32000</v>
      </c>
      <c r="D25" s="19">
        <v>32000</v>
      </c>
      <c r="E25" s="19">
        <v>32000</v>
      </c>
    </row>
    <row r="26" spans="1:5" x14ac:dyDescent="0.25">
      <c r="A26" s="9">
        <v>223</v>
      </c>
      <c r="B26" s="10" t="s">
        <v>24</v>
      </c>
      <c r="C26" s="19">
        <v>21650</v>
      </c>
      <c r="D26" s="19">
        <v>21650</v>
      </c>
      <c r="E26" s="19">
        <v>21650</v>
      </c>
    </row>
    <row r="27" spans="1:5" x14ac:dyDescent="0.25">
      <c r="A27" s="9">
        <v>223</v>
      </c>
      <c r="B27" s="10" t="s">
        <v>25</v>
      </c>
      <c r="C27" s="19">
        <v>18000</v>
      </c>
      <c r="D27" s="19">
        <f>12000+6000</f>
        <v>18000</v>
      </c>
      <c r="E27" s="19">
        <f>12000+6000</f>
        <v>18000</v>
      </c>
    </row>
    <row r="28" spans="1:5" x14ac:dyDescent="0.25">
      <c r="A28" s="9">
        <v>223</v>
      </c>
      <c r="B28" s="10" t="s">
        <v>26</v>
      </c>
      <c r="C28" s="25">
        <v>10000</v>
      </c>
      <c r="D28" s="25"/>
      <c r="E28" s="25"/>
    </row>
    <row r="29" spans="1:5" x14ac:dyDescent="0.25">
      <c r="A29" s="9">
        <v>223</v>
      </c>
      <c r="B29" s="10" t="s">
        <v>27</v>
      </c>
      <c r="C29" s="19">
        <v>2500</v>
      </c>
      <c r="D29" s="19"/>
      <c r="E29" s="19"/>
    </row>
    <row r="30" spans="1:5" ht="15.75" thickBot="1" x14ac:dyDescent="0.3">
      <c r="A30" s="12">
        <v>223</v>
      </c>
      <c r="B30" s="13" t="s">
        <v>28</v>
      </c>
      <c r="C30" s="26">
        <v>100</v>
      </c>
      <c r="D30" s="26">
        <v>100</v>
      </c>
      <c r="E30" s="26">
        <v>100</v>
      </c>
    </row>
    <row r="31" spans="1:5" ht="15.75" thickBot="1" x14ac:dyDescent="0.3">
      <c r="A31" s="27" t="s">
        <v>29</v>
      </c>
      <c r="B31" s="28"/>
      <c r="C31" s="1">
        <f t="shared" ref="C31:E31" si="2">SUM(C32)</f>
        <v>600</v>
      </c>
      <c r="D31" s="1">
        <f t="shared" si="2"/>
        <v>600</v>
      </c>
      <c r="E31" s="1">
        <f t="shared" si="2"/>
        <v>600</v>
      </c>
    </row>
    <row r="32" spans="1:5" ht="15.75" thickBot="1" x14ac:dyDescent="0.3">
      <c r="A32" s="29">
        <v>240</v>
      </c>
      <c r="B32" s="30" t="s">
        <v>30</v>
      </c>
      <c r="C32" s="23">
        <v>600</v>
      </c>
      <c r="D32" s="23">
        <f>200+200+200</f>
        <v>600</v>
      </c>
      <c r="E32" s="23">
        <f>200+200+200</f>
        <v>600</v>
      </c>
    </row>
    <row r="33" spans="1:5" ht="15.75" thickBot="1" x14ac:dyDescent="0.3">
      <c r="A33" s="27" t="s">
        <v>31</v>
      </c>
      <c r="B33" s="28"/>
      <c r="C33" s="1">
        <f>SUM(C34:C39)</f>
        <v>40750</v>
      </c>
      <c r="D33" s="1">
        <f t="shared" ref="D33:E33" si="3">SUM(D34:D39)</f>
        <v>40750</v>
      </c>
      <c r="E33" s="1">
        <f t="shared" si="3"/>
        <v>40750</v>
      </c>
    </row>
    <row r="34" spans="1:5" x14ac:dyDescent="0.25">
      <c r="A34" s="31">
        <v>292</v>
      </c>
      <c r="B34" s="32" t="s">
        <v>32</v>
      </c>
      <c r="C34" s="33">
        <v>200</v>
      </c>
      <c r="D34" s="33">
        <v>200</v>
      </c>
      <c r="E34" s="33">
        <v>200</v>
      </c>
    </row>
    <row r="35" spans="1:5" x14ac:dyDescent="0.25">
      <c r="A35" s="31">
        <v>292</v>
      </c>
      <c r="B35" s="32" t="s">
        <v>33</v>
      </c>
      <c r="C35" s="33">
        <v>300</v>
      </c>
      <c r="D35" s="33">
        <v>300</v>
      </c>
      <c r="E35" s="33">
        <v>300</v>
      </c>
    </row>
    <row r="36" spans="1:5" x14ac:dyDescent="0.25">
      <c r="A36" s="34">
        <v>292</v>
      </c>
      <c r="B36" s="35" t="s">
        <v>34</v>
      </c>
      <c r="C36" s="36">
        <v>15000</v>
      </c>
      <c r="D36" s="36">
        <v>15000</v>
      </c>
      <c r="E36" s="36">
        <v>15000</v>
      </c>
    </row>
    <row r="37" spans="1:5" x14ac:dyDescent="0.25">
      <c r="A37" s="34">
        <v>292</v>
      </c>
      <c r="B37" s="10" t="s">
        <v>35</v>
      </c>
      <c r="C37" s="37">
        <v>250</v>
      </c>
      <c r="D37" s="37">
        <v>250</v>
      </c>
      <c r="E37" s="37">
        <v>250</v>
      </c>
    </row>
    <row r="38" spans="1:5" x14ac:dyDescent="0.25">
      <c r="A38" s="34">
        <v>292</v>
      </c>
      <c r="B38" s="35" t="s">
        <v>36</v>
      </c>
      <c r="C38" s="36">
        <v>22000</v>
      </c>
      <c r="D38" s="36">
        <v>22000</v>
      </c>
      <c r="E38" s="36">
        <v>22000</v>
      </c>
    </row>
    <row r="39" spans="1:5" ht="15.75" thickBot="1" x14ac:dyDescent="0.3">
      <c r="A39" s="34">
        <v>292</v>
      </c>
      <c r="B39" s="35" t="s">
        <v>37</v>
      </c>
      <c r="C39" s="36">
        <v>3000</v>
      </c>
      <c r="D39" s="36">
        <v>3000</v>
      </c>
      <c r="E39" s="36">
        <v>3000</v>
      </c>
    </row>
    <row r="40" spans="1:5" ht="15.75" thickBot="1" x14ac:dyDescent="0.3">
      <c r="A40" s="38" t="s">
        <v>38</v>
      </c>
      <c r="B40" s="39"/>
      <c r="C40" s="1">
        <f t="shared" ref="C40:E40" si="4">SUM(C41:C55)</f>
        <v>533960</v>
      </c>
      <c r="D40" s="1">
        <f t="shared" si="4"/>
        <v>535960</v>
      </c>
      <c r="E40" s="1">
        <f t="shared" si="4"/>
        <v>532960</v>
      </c>
    </row>
    <row r="41" spans="1:5" x14ac:dyDescent="0.25">
      <c r="A41" s="40">
        <v>312</v>
      </c>
      <c r="B41" s="41" t="s">
        <v>39</v>
      </c>
      <c r="C41" s="42">
        <v>4000</v>
      </c>
      <c r="D41" s="42">
        <v>6000</v>
      </c>
      <c r="E41" s="42">
        <v>3000</v>
      </c>
    </row>
    <row r="42" spans="1:5" x14ac:dyDescent="0.25">
      <c r="A42" s="43">
        <v>312</v>
      </c>
      <c r="B42" s="10" t="s">
        <v>40</v>
      </c>
      <c r="C42" s="18">
        <v>7200</v>
      </c>
      <c r="D42" s="18">
        <v>7200</v>
      </c>
      <c r="E42" s="18">
        <v>7200</v>
      </c>
    </row>
    <row r="43" spans="1:5" x14ac:dyDescent="0.25">
      <c r="A43" s="43">
        <v>312</v>
      </c>
      <c r="B43" s="10" t="s">
        <v>41</v>
      </c>
      <c r="C43" s="18">
        <v>3000</v>
      </c>
      <c r="D43" s="18">
        <v>3000</v>
      </c>
      <c r="E43" s="18">
        <v>3000</v>
      </c>
    </row>
    <row r="44" spans="1:5" x14ac:dyDescent="0.25">
      <c r="A44" s="43">
        <v>312</v>
      </c>
      <c r="B44" s="44" t="s">
        <v>42</v>
      </c>
      <c r="C44" s="45">
        <v>61000</v>
      </c>
      <c r="D44" s="45">
        <v>61000</v>
      </c>
      <c r="E44" s="45">
        <v>61000</v>
      </c>
    </row>
    <row r="45" spans="1:5" x14ac:dyDescent="0.25">
      <c r="A45" s="43">
        <v>312</v>
      </c>
      <c r="B45" s="44" t="s">
        <v>43</v>
      </c>
      <c r="C45" s="18">
        <v>12800</v>
      </c>
      <c r="D45" s="18">
        <v>12800</v>
      </c>
      <c r="E45" s="18">
        <v>12800</v>
      </c>
    </row>
    <row r="46" spans="1:5" x14ac:dyDescent="0.25">
      <c r="A46" s="43">
        <v>312</v>
      </c>
      <c r="B46" s="44" t="s">
        <v>44</v>
      </c>
      <c r="C46" s="18">
        <v>21800</v>
      </c>
      <c r="D46" s="18">
        <v>21800</v>
      </c>
      <c r="E46" s="18">
        <v>21800</v>
      </c>
    </row>
    <row r="47" spans="1:5" x14ac:dyDescent="0.25">
      <c r="A47" s="43">
        <v>312</v>
      </c>
      <c r="B47" s="44" t="s">
        <v>45</v>
      </c>
      <c r="C47" s="18">
        <v>7700</v>
      </c>
      <c r="D47" s="18">
        <v>7700</v>
      </c>
      <c r="E47" s="18">
        <v>7700</v>
      </c>
    </row>
    <row r="48" spans="1:5" x14ac:dyDescent="0.25">
      <c r="A48" s="43">
        <v>312</v>
      </c>
      <c r="B48" s="44" t="s">
        <v>46</v>
      </c>
      <c r="C48" s="18"/>
      <c r="D48" s="18"/>
      <c r="E48" s="18"/>
    </row>
    <row r="49" spans="1:10" x14ac:dyDescent="0.25">
      <c r="A49" s="43">
        <v>312</v>
      </c>
      <c r="B49" s="44" t="s">
        <v>47</v>
      </c>
      <c r="C49" s="18"/>
      <c r="D49" s="18"/>
      <c r="E49" s="18"/>
    </row>
    <row r="50" spans="1:10" x14ac:dyDescent="0.25">
      <c r="A50" s="43">
        <v>312</v>
      </c>
      <c r="B50" s="44" t="s">
        <v>48</v>
      </c>
      <c r="C50" s="18">
        <v>700</v>
      </c>
      <c r="D50" s="18">
        <v>700</v>
      </c>
      <c r="E50" s="18">
        <v>700</v>
      </c>
    </row>
    <row r="51" spans="1:10" x14ac:dyDescent="0.25">
      <c r="A51" s="46">
        <v>312</v>
      </c>
      <c r="B51" s="41" t="s">
        <v>49</v>
      </c>
      <c r="C51" s="47"/>
      <c r="D51" s="47"/>
      <c r="E51" s="47"/>
    </row>
    <row r="52" spans="1:10" x14ac:dyDescent="0.25">
      <c r="A52" s="48">
        <v>312</v>
      </c>
      <c r="B52" s="10" t="s">
        <v>50</v>
      </c>
      <c r="C52" s="19">
        <f t="shared" ref="C52:E52" si="5">3900+220</f>
        <v>4120</v>
      </c>
      <c r="D52" s="19">
        <f t="shared" si="5"/>
        <v>4120</v>
      </c>
      <c r="E52" s="19">
        <f t="shared" si="5"/>
        <v>4120</v>
      </c>
    </row>
    <row r="53" spans="1:10" x14ac:dyDescent="0.25">
      <c r="A53" s="48">
        <v>312</v>
      </c>
      <c r="B53" s="49" t="s">
        <v>51</v>
      </c>
      <c r="C53" s="20">
        <v>3000</v>
      </c>
      <c r="D53" s="20">
        <v>3000</v>
      </c>
      <c r="E53" s="20">
        <v>3000</v>
      </c>
    </row>
    <row r="54" spans="1:10" x14ac:dyDescent="0.25">
      <c r="A54" s="48">
        <v>312</v>
      </c>
      <c r="B54" s="50" t="s">
        <v>52</v>
      </c>
      <c r="C54" s="20">
        <v>2200</v>
      </c>
      <c r="D54" s="176">
        <v>2200</v>
      </c>
      <c r="E54" s="176">
        <v>2200</v>
      </c>
    </row>
    <row r="55" spans="1:10" ht="15.75" thickBot="1" x14ac:dyDescent="0.3">
      <c r="A55" s="51">
        <v>312</v>
      </c>
      <c r="B55" s="52" t="s">
        <v>53</v>
      </c>
      <c r="C55" s="53">
        <v>406440</v>
      </c>
      <c r="D55" s="53">
        <v>406440</v>
      </c>
      <c r="E55" s="53">
        <v>406440</v>
      </c>
    </row>
    <row r="56" spans="1:10" ht="18.75" customHeight="1" thickBot="1" x14ac:dyDescent="0.3">
      <c r="A56" s="54" t="s">
        <v>54</v>
      </c>
      <c r="B56" s="55"/>
      <c r="C56" s="56">
        <f>SUM(C4+C12+C31+C33+C40)</f>
        <v>1697103</v>
      </c>
      <c r="D56" s="56">
        <f t="shared" ref="D56:E56" si="6">SUM(D4+D12+D31+D33+D40)</f>
        <v>1706103</v>
      </c>
      <c r="E56" s="56">
        <f t="shared" si="6"/>
        <v>1698103</v>
      </c>
    </row>
    <row r="57" spans="1:10" ht="16.5" thickBot="1" x14ac:dyDescent="0.3">
      <c r="A57" s="57" t="s">
        <v>55</v>
      </c>
      <c r="B57" s="58" t="s">
        <v>56</v>
      </c>
      <c r="C57" s="59">
        <v>3000</v>
      </c>
      <c r="D57" s="59">
        <f>3000+10000+2500</f>
        <v>15500</v>
      </c>
      <c r="E57" s="59">
        <f>3000+10000+2500</f>
        <v>15500</v>
      </c>
    </row>
    <row r="58" spans="1:10" ht="19.5" customHeight="1" thickBot="1" x14ac:dyDescent="0.3">
      <c r="A58" s="54" t="s">
        <v>57</v>
      </c>
      <c r="B58" s="39"/>
      <c r="C58" s="56">
        <f t="shared" ref="C58:E58" si="7">SUM(C56:C57)</f>
        <v>1700103</v>
      </c>
      <c r="D58" s="56">
        <f t="shared" si="7"/>
        <v>1721603</v>
      </c>
      <c r="E58" s="56">
        <f t="shared" si="7"/>
        <v>1713603</v>
      </c>
    </row>
    <row r="59" spans="1:10" ht="15.75" x14ac:dyDescent="0.25">
      <c r="A59" s="60"/>
      <c r="B59" s="61"/>
      <c r="C59" s="61"/>
      <c r="D59" s="62"/>
      <c r="E59" s="62"/>
      <c r="F59" s="62"/>
      <c r="G59" s="62"/>
      <c r="H59" s="62"/>
      <c r="I59" s="62"/>
      <c r="J59" s="62"/>
    </row>
    <row r="60" spans="1:10" ht="16.5" thickBot="1" x14ac:dyDescent="0.3">
      <c r="A60" s="60"/>
      <c r="B60" s="61"/>
      <c r="C60" s="61"/>
      <c r="D60" s="61"/>
      <c r="E60" s="61"/>
      <c r="F60" s="61"/>
      <c r="G60" s="61"/>
      <c r="H60" s="61"/>
      <c r="I60" s="61"/>
      <c r="J60" s="61"/>
    </row>
    <row r="61" spans="1:10" ht="22.5" customHeight="1" thickBot="1" x14ac:dyDescent="0.3">
      <c r="A61" s="241" t="s">
        <v>58</v>
      </c>
      <c r="B61" s="242"/>
      <c r="C61" s="242"/>
      <c r="D61" s="242"/>
      <c r="E61" s="243"/>
    </row>
    <row r="62" spans="1:10" ht="15" customHeight="1" x14ac:dyDescent="0.25">
      <c r="A62" s="225" t="s">
        <v>1</v>
      </c>
      <c r="B62" s="226"/>
      <c r="C62" s="229">
        <v>2017</v>
      </c>
      <c r="D62" s="229">
        <v>2018</v>
      </c>
      <c r="E62" s="229">
        <v>2019</v>
      </c>
    </row>
    <row r="63" spans="1:10" ht="15.75" thickBot="1" x14ac:dyDescent="0.3">
      <c r="A63" s="227"/>
      <c r="B63" s="228"/>
      <c r="C63" s="230"/>
      <c r="D63" s="230"/>
      <c r="E63" s="230"/>
    </row>
    <row r="64" spans="1:10" ht="15.75" thickBot="1" x14ac:dyDescent="0.3">
      <c r="A64" s="63" t="s">
        <v>59</v>
      </c>
      <c r="B64" s="64"/>
      <c r="C64" s="65">
        <f t="shared" ref="C64:E64" si="8">SUM(C65:C69)</f>
        <v>213000</v>
      </c>
      <c r="D64" s="65">
        <f t="shared" si="8"/>
        <v>215000</v>
      </c>
      <c r="E64" s="65">
        <f t="shared" si="8"/>
        <v>212000</v>
      </c>
    </row>
    <row r="65" spans="1:5" x14ac:dyDescent="0.25">
      <c r="A65" s="66" t="s">
        <v>60</v>
      </c>
      <c r="B65" s="67" t="s">
        <v>61</v>
      </c>
      <c r="C65" s="68">
        <v>110000</v>
      </c>
      <c r="D65" s="68">
        <v>110000</v>
      </c>
      <c r="E65" s="68">
        <v>110000</v>
      </c>
    </row>
    <row r="66" spans="1:5" x14ac:dyDescent="0.25">
      <c r="A66" s="69" t="s">
        <v>62</v>
      </c>
      <c r="B66" s="44" t="s">
        <v>63</v>
      </c>
      <c r="C66" s="70">
        <v>50000</v>
      </c>
      <c r="D66" s="70">
        <v>50000</v>
      </c>
      <c r="E66" s="70">
        <v>50000</v>
      </c>
    </row>
    <row r="67" spans="1:5" x14ac:dyDescent="0.25">
      <c r="A67" s="69" t="s">
        <v>64</v>
      </c>
      <c r="B67" s="44" t="s">
        <v>65</v>
      </c>
      <c r="C67" s="70">
        <v>2000</v>
      </c>
      <c r="D67" s="70">
        <f>1000+1000</f>
        <v>2000</v>
      </c>
      <c r="E67" s="70">
        <f>1000+1000</f>
        <v>2000</v>
      </c>
    </row>
    <row r="68" spans="1:5" x14ac:dyDescent="0.25">
      <c r="A68" s="71" t="s">
        <v>66</v>
      </c>
      <c r="B68" s="44" t="s">
        <v>67</v>
      </c>
      <c r="C68" s="70">
        <v>47000</v>
      </c>
      <c r="D68" s="70">
        <v>47000</v>
      </c>
      <c r="E68" s="70">
        <v>47000</v>
      </c>
    </row>
    <row r="69" spans="1:5" ht="15.75" thickBot="1" x14ac:dyDescent="0.3">
      <c r="A69" s="72" t="s">
        <v>68</v>
      </c>
      <c r="B69" s="3" t="s">
        <v>69</v>
      </c>
      <c r="C69" s="73">
        <v>4000</v>
      </c>
      <c r="D69" s="73">
        <v>6000</v>
      </c>
      <c r="E69" s="73">
        <v>3000</v>
      </c>
    </row>
    <row r="70" spans="1:5" ht="15.75" thickBot="1" x14ac:dyDescent="0.3">
      <c r="A70" s="74" t="s">
        <v>70</v>
      </c>
      <c r="B70" s="75"/>
      <c r="C70" s="65">
        <f t="shared" ref="C70:E70" si="9">SUM(C71)</f>
        <v>1500</v>
      </c>
      <c r="D70" s="65">
        <f t="shared" si="9"/>
        <v>1500</v>
      </c>
      <c r="E70" s="65">
        <f t="shared" si="9"/>
        <v>1500</v>
      </c>
    </row>
    <row r="71" spans="1:5" ht="15.75" thickBot="1" x14ac:dyDescent="0.3">
      <c r="A71" s="76" t="s">
        <v>71</v>
      </c>
      <c r="B71" s="61" t="s">
        <v>72</v>
      </c>
      <c r="C71" s="77">
        <v>1500</v>
      </c>
      <c r="D71" s="77">
        <v>1500</v>
      </c>
      <c r="E71" s="77">
        <v>1500</v>
      </c>
    </row>
    <row r="72" spans="1:5" ht="15.75" thickBot="1" x14ac:dyDescent="0.3">
      <c r="A72" s="74" t="s">
        <v>73</v>
      </c>
      <c r="B72" s="75"/>
      <c r="C72" s="65">
        <f t="shared" ref="C72" si="10">SUM(C73:C74)</f>
        <v>10600</v>
      </c>
      <c r="D72" s="65">
        <f t="shared" ref="D72:E72" si="11">SUM(D73:D74)</f>
        <v>10600</v>
      </c>
      <c r="E72" s="65">
        <f t="shared" si="11"/>
        <v>10600</v>
      </c>
    </row>
    <row r="73" spans="1:5" x14ac:dyDescent="0.25">
      <c r="A73" s="78" t="s">
        <v>74</v>
      </c>
      <c r="B73" s="79" t="s">
        <v>75</v>
      </c>
      <c r="C73" s="80">
        <v>10000</v>
      </c>
      <c r="D73" s="80">
        <v>10000</v>
      </c>
      <c r="E73" s="80">
        <v>10000</v>
      </c>
    </row>
    <row r="74" spans="1:5" ht="15.75" thickBot="1" x14ac:dyDescent="0.3">
      <c r="A74" s="81" t="s">
        <v>76</v>
      </c>
      <c r="B74" s="82" t="s">
        <v>77</v>
      </c>
      <c r="C74" s="83">
        <f>300+300</f>
        <v>600</v>
      </c>
      <c r="D74" s="83">
        <f>300+300</f>
        <v>600</v>
      </c>
      <c r="E74" s="83">
        <f>300+300</f>
        <v>600</v>
      </c>
    </row>
    <row r="75" spans="1:5" ht="15.75" thickBot="1" x14ac:dyDescent="0.3">
      <c r="A75" s="63" t="s">
        <v>78</v>
      </c>
      <c r="B75" s="84"/>
      <c r="C75" s="65">
        <f t="shared" ref="C75:E75" si="12">SUM(C76:C79)</f>
        <v>55700</v>
      </c>
      <c r="D75" s="65">
        <f t="shared" si="12"/>
        <v>55700</v>
      </c>
      <c r="E75" s="65">
        <f t="shared" si="12"/>
        <v>55700</v>
      </c>
    </row>
    <row r="76" spans="1:5" x14ac:dyDescent="0.25">
      <c r="A76" s="85" t="s">
        <v>79</v>
      </c>
      <c r="B76" s="32" t="s">
        <v>80</v>
      </c>
      <c r="C76" s="33">
        <v>22000</v>
      </c>
      <c r="D76" s="33">
        <v>22000</v>
      </c>
      <c r="E76" s="33">
        <v>22000</v>
      </c>
    </row>
    <row r="77" spans="1:5" x14ac:dyDescent="0.25">
      <c r="A77" s="71" t="s">
        <v>81</v>
      </c>
      <c r="B77" s="44" t="s">
        <v>82</v>
      </c>
      <c r="C77" s="70">
        <v>18500</v>
      </c>
      <c r="D77" s="70">
        <v>18500</v>
      </c>
      <c r="E77" s="70">
        <v>18500</v>
      </c>
    </row>
    <row r="78" spans="1:5" x14ac:dyDescent="0.25">
      <c r="A78" s="71" t="s">
        <v>83</v>
      </c>
      <c r="B78" s="44" t="s">
        <v>84</v>
      </c>
      <c r="C78" s="36">
        <v>15000</v>
      </c>
      <c r="D78" s="36">
        <v>15000</v>
      </c>
      <c r="E78" s="36">
        <v>15000</v>
      </c>
    </row>
    <row r="79" spans="1:5" ht="15.75" thickBot="1" x14ac:dyDescent="0.3">
      <c r="A79" s="71" t="s">
        <v>85</v>
      </c>
      <c r="B79" s="44" t="s">
        <v>86</v>
      </c>
      <c r="C79" s="36">
        <v>200</v>
      </c>
      <c r="D79" s="36">
        <v>200</v>
      </c>
      <c r="E79" s="36">
        <v>200</v>
      </c>
    </row>
    <row r="80" spans="1:5" ht="15.75" thickBot="1" x14ac:dyDescent="0.3">
      <c r="A80" s="236" t="s">
        <v>87</v>
      </c>
      <c r="B80" s="237"/>
      <c r="C80" s="65">
        <f t="shared" ref="C80:E80" si="13">SUM(C81:C84)</f>
        <v>95150</v>
      </c>
      <c r="D80" s="65">
        <f t="shared" si="13"/>
        <v>95150</v>
      </c>
      <c r="E80" s="65">
        <f t="shared" si="13"/>
        <v>95150</v>
      </c>
    </row>
    <row r="81" spans="1:5" x14ac:dyDescent="0.25">
      <c r="A81" s="86" t="s">
        <v>88</v>
      </c>
      <c r="B81" s="87" t="s">
        <v>89</v>
      </c>
      <c r="C81" s="88">
        <v>50000</v>
      </c>
      <c r="D81" s="88">
        <v>50000</v>
      </c>
      <c r="E81" s="88">
        <v>50000</v>
      </c>
    </row>
    <row r="82" spans="1:5" x14ac:dyDescent="0.25">
      <c r="A82" s="71" t="s">
        <v>90</v>
      </c>
      <c r="B82" s="44" t="s">
        <v>91</v>
      </c>
      <c r="C82" s="70">
        <v>37400</v>
      </c>
      <c r="D82" s="70">
        <v>37400</v>
      </c>
      <c r="E82" s="70">
        <v>37400</v>
      </c>
    </row>
    <row r="83" spans="1:5" x14ac:dyDescent="0.25">
      <c r="A83" s="76" t="s">
        <v>92</v>
      </c>
      <c r="B83" s="89" t="s">
        <v>93</v>
      </c>
      <c r="C83" s="90">
        <v>950</v>
      </c>
      <c r="D83" s="90">
        <v>950</v>
      </c>
      <c r="E83" s="90">
        <v>950</v>
      </c>
    </row>
    <row r="84" spans="1:5" ht="15.75" thickBot="1" x14ac:dyDescent="0.3">
      <c r="A84" s="91" t="s">
        <v>94</v>
      </c>
      <c r="B84" s="92" t="s">
        <v>95</v>
      </c>
      <c r="C84" s="93">
        <v>6800</v>
      </c>
      <c r="D84" s="93">
        <v>6800</v>
      </c>
      <c r="E84" s="93">
        <v>6800</v>
      </c>
    </row>
    <row r="85" spans="1:5" ht="15.75" thickBot="1" x14ac:dyDescent="0.3">
      <c r="A85" s="63" t="s">
        <v>96</v>
      </c>
      <c r="B85" s="84"/>
      <c r="C85" s="65">
        <f t="shared" ref="C85:D85" si="14">SUM(C86:C88)</f>
        <v>142413</v>
      </c>
      <c r="D85" s="65">
        <f t="shared" si="14"/>
        <v>147713</v>
      </c>
      <c r="E85" s="65">
        <f t="shared" ref="E85" si="15">SUM(E86:E88)</f>
        <v>142713</v>
      </c>
    </row>
    <row r="86" spans="1:5" x14ac:dyDescent="0.25">
      <c r="A86" s="85" t="s">
        <v>97</v>
      </c>
      <c r="B86" s="67" t="s">
        <v>98</v>
      </c>
      <c r="C86" s="94">
        <f>105000-87</f>
        <v>104913</v>
      </c>
      <c r="D86" s="94">
        <f>105000+5213</f>
        <v>110213</v>
      </c>
      <c r="E86" s="94">
        <f>105000+213</f>
        <v>105213</v>
      </c>
    </row>
    <row r="87" spans="1:5" x14ac:dyDescent="0.25">
      <c r="A87" s="95" t="s">
        <v>99</v>
      </c>
      <c r="B87" s="44" t="s">
        <v>100</v>
      </c>
      <c r="C87" s="96">
        <v>19000</v>
      </c>
      <c r="D87" s="96">
        <v>19000</v>
      </c>
      <c r="E87" s="96">
        <v>19000</v>
      </c>
    </row>
    <row r="88" spans="1:5" ht="15.75" thickBot="1" x14ac:dyDescent="0.3">
      <c r="A88" s="97" t="s">
        <v>101</v>
      </c>
      <c r="B88" s="92" t="s">
        <v>102</v>
      </c>
      <c r="C88" s="98">
        <v>18500</v>
      </c>
      <c r="D88" s="98">
        <v>18500</v>
      </c>
      <c r="E88" s="98">
        <v>18500</v>
      </c>
    </row>
    <row r="89" spans="1:5" ht="15.75" thickBot="1" x14ac:dyDescent="0.3">
      <c r="A89" s="99" t="s">
        <v>103</v>
      </c>
      <c r="B89" s="100"/>
      <c r="C89" s="101">
        <f t="shared" ref="C89:D89" si="16">SUM(C90:C92)</f>
        <v>1600</v>
      </c>
      <c r="D89" s="101">
        <f t="shared" si="16"/>
        <v>1600</v>
      </c>
      <c r="E89" s="101">
        <f t="shared" ref="E89" si="17">SUM(E90:E92)</f>
        <v>1600</v>
      </c>
    </row>
    <row r="90" spans="1:5" x14ac:dyDescent="0.25">
      <c r="A90" s="78" t="s">
        <v>104</v>
      </c>
      <c r="B90" s="87" t="s">
        <v>105</v>
      </c>
      <c r="C90" s="102">
        <v>50</v>
      </c>
      <c r="D90" s="102">
        <v>50</v>
      </c>
      <c r="E90" s="102">
        <v>50</v>
      </c>
    </row>
    <row r="91" spans="1:5" x14ac:dyDescent="0.25">
      <c r="A91" s="95" t="s">
        <v>106</v>
      </c>
      <c r="B91" s="44" t="s">
        <v>107</v>
      </c>
      <c r="C91" s="96">
        <v>50</v>
      </c>
      <c r="D91" s="96">
        <v>50</v>
      </c>
      <c r="E91" s="96">
        <v>50</v>
      </c>
    </row>
    <row r="92" spans="1:5" ht="15.75" thickBot="1" x14ac:dyDescent="0.3">
      <c r="A92" s="97" t="s">
        <v>108</v>
      </c>
      <c r="B92" s="92" t="s">
        <v>109</v>
      </c>
      <c r="C92" s="98">
        <v>1500</v>
      </c>
      <c r="D92" s="98">
        <v>1500</v>
      </c>
      <c r="E92" s="98">
        <v>1500</v>
      </c>
    </row>
    <row r="93" spans="1:5" ht="15.75" thickBot="1" x14ac:dyDescent="0.3">
      <c r="A93" s="103" t="s">
        <v>110</v>
      </c>
      <c r="B93" s="104"/>
      <c r="C93" s="105">
        <f t="shared" ref="C93:E93" si="18">SUM(C94:C98)</f>
        <v>113100</v>
      </c>
      <c r="D93" s="105">
        <f t="shared" si="18"/>
        <v>111100</v>
      </c>
      <c r="E93" s="105">
        <f t="shared" si="18"/>
        <v>111100</v>
      </c>
    </row>
    <row r="94" spans="1:5" x14ac:dyDescent="0.25">
      <c r="A94" s="86" t="s">
        <v>111</v>
      </c>
      <c r="B94" s="87" t="s">
        <v>112</v>
      </c>
      <c r="C94" s="88">
        <v>16600</v>
      </c>
      <c r="D94" s="88">
        <v>16600</v>
      </c>
      <c r="E94" s="88">
        <v>16600</v>
      </c>
    </row>
    <row r="95" spans="1:5" x14ac:dyDescent="0.25">
      <c r="A95" s="106" t="s">
        <v>113</v>
      </c>
      <c r="B95" s="107" t="s">
        <v>114</v>
      </c>
      <c r="C95" s="33">
        <v>70000</v>
      </c>
      <c r="D95" s="33">
        <v>70000</v>
      </c>
      <c r="E95" s="33">
        <v>70000</v>
      </c>
    </row>
    <row r="96" spans="1:5" x14ac:dyDescent="0.25">
      <c r="A96" s="106" t="s">
        <v>115</v>
      </c>
      <c r="B96" s="67" t="s">
        <v>116</v>
      </c>
      <c r="C96" s="68">
        <v>3500</v>
      </c>
      <c r="D96" s="68">
        <v>3500</v>
      </c>
      <c r="E96" s="68">
        <v>3500</v>
      </c>
    </row>
    <row r="97" spans="1:5" x14ac:dyDescent="0.25">
      <c r="A97" s="106" t="s">
        <v>117</v>
      </c>
      <c r="B97" s="67" t="s">
        <v>118</v>
      </c>
      <c r="C97" s="68">
        <v>13000</v>
      </c>
      <c r="D97" s="68">
        <v>11000</v>
      </c>
      <c r="E97" s="68">
        <v>11000</v>
      </c>
    </row>
    <row r="98" spans="1:5" ht="15.75" thickBot="1" x14ac:dyDescent="0.3">
      <c r="A98" s="91" t="s">
        <v>119</v>
      </c>
      <c r="B98" s="92" t="s">
        <v>120</v>
      </c>
      <c r="C98" s="93">
        <v>10000</v>
      </c>
      <c r="D98" s="93">
        <v>10000</v>
      </c>
      <c r="E98" s="93">
        <v>10000</v>
      </c>
    </row>
    <row r="99" spans="1:5" ht="15.75" thickBot="1" x14ac:dyDescent="0.3">
      <c r="A99" s="74" t="s">
        <v>121</v>
      </c>
      <c r="B99" s="75"/>
      <c r="C99" s="65">
        <f t="shared" ref="C99" si="19">SUM(C100:C106)</f>
        <v>392800</v>
      </c>
      <c r="D99" s="65">
        <f t="shared" ref="D99:E99" si="20">SUM(D100:D106)</f>
        <v>84800</v>
      </c>
      <c r="E99" s="65">
        <f t="shared" si="20"/>
        <v>84800</v>
      </c>
    </row>
    <row r="100" spans="1:5" x14ac:dyDescent="0.25">
      <c r="A100" s="108" t="s">
        <v>122</v>
      </c>
      <c r="B100" s="109" t="s">
        <v>123</v>
      </c>
      <c r="C100" s="80">
        <v>120000</v>
      </c>
      <c r="D100" s="80"/>
      <c r="E100" s="80"/>
    </row>
    <row r="101" spans="1:5" x14ac:dyDescent="0.25">
      <c r="A101" s="110" t="s">
        <v>124</v>
      </c>
      <c r="B101" s="35" t="s">
        <v>206</v>
      </c>
      <c r="C101" s="36">
        <v>190000</v>
      </c>
      <c r="D101" s="36">
        <v>2000</v>
      </c>
      <c r="E101" s="36">
        <v>2000</v>
      </c>
    </row>
    <row r="102" spans="1:5" x14ac:dyDescent="0.25">
      <c r="A102" s="110" t="s">
        <v>125</v>
      </c>
      <c r="B102" s="35" t="s">
        <v>126</v>
      </c>
      <c r="C102" s="36">
        <v>12000</v>
      </c>
      <c r="D102" s="36">
        <v>12000</v>
      </c>
      <c r="E102" s="36">
        <v>12000</v>
      </c>
    </row>
    <row r="103" spans="1:5" x14ac:dyDescent="0.25">
      <c r="A103" s="110" t="s">
        <v>127</v>
      </c>
      <c r="B103" s="35" t="s">
        <v>128</v>
      </c>
      <c r="C103" s="36">
        <v>17200</v>
      </c>
      <c r="D103" s="36">
        <v>17200</v>
      </c>
      <c r="E103" s="36">
        <v>17200</v>
      </c>
    </row>
    <row r="104" spans="1:5" x14ac:dyDescent="0.25">
      <c r="A104" s="110" t="s">
        <v>129</v>
      </c>
      <c r="B104" s="35" t="s">
        <v>130</v>
      </c>
      <c r="C104" s="36">
        <v>17200</v>
      </c>
      <c r="D104" s="36">
        <v>17200</v>
      </c>
      <c r="E104" s="36">
        <v>17200</v>
      </c>
    </row>
    <row r="105" spans="1:5" x14ac:dyDescent="0.25">
      <c r="A105" s="111" t="s">
        <v>131</v>
      </c>
      <c r="B105" s="35" t="s">
        <v>132</v>
      </c>
      <c r="C105" s="112">
        <v>33800</v>
      </c>
      <c r="D105" s="112">
        <v>33800</v>
      </c>
      <c r="E105" s="112">
        <v>33800</v>
      </c>
    </row>
    <row r="106" spans="1:5" ht="15.75" thickBot="1" x14ac:dyDescent="0.3">
      <c r="A106" s="110" t="s">
        <v>133</v>
      </c>
      <c r="B106" s="35" t="s">
        <v>134</v>
      </c>
      <c r="C106" s="112">
        <v>2600</v>
      </c>
      <c r="D106" s="112">
        <v>2600</v>
      </c>
      <c r="E106" s="112">
        <v>2600</v>
      </c>
    </row>
    <row r="107" spans="1:5" ht="15.75" thickBot="1" x14ac:dyDescent="0.3">
      <c r="A107" s="63" t="s">
        <v>135</v>
      </c>
      <c r="B107" s="64"/>
      <c r="C107" s="65">
        <f t="shared" ref="C107:D107" si="21">SUM(C108:C112)</f>
        <v>192000</v>
      </c>
      <c r="D107" s="65">
        <f t="shared" si="21"/>
        <v>192000</v>
      </c>
      <c r="E107" s="65">
        <f t="shared" ref="E107" si="22">SUM(E108:E112)</f>
        <v>192000</v>
      </c>
    </row>
    <row r="108" spans="1:5" x14ac:dyDescent="0.25">
      <c r="A108" s="106" t="s">
        <v>136</v>
      </c>
      <c r="B108" s="67" t="s">
        <v>137</v>
      </c>
      <c r="C108" s="68">
        <v>110000</v>
      </c>
      <c r="D108" s="68">
        <v>110000</v>
      </c>
      <c r="E108" s="68">
        <v>110000</v>
      </c>
    </row>
    <row r="109" spans="1:5" x14ac:dyDescent="0.25">
      <c r="A109" s="106" t="s">
        <v>138</v>
      </c>
      <c r="B109" s="67" t="s">
        <v>139</v>
      </c>
      <c r="C109" s="68">
        <v>11000</v>
      </c>
      <c r="D109" s="68">
        <v>11000</v>
      </c>
      <c r="E109" s="68">
        <v>11000</v>
      </c>
    </row>
    <row r="110" spans="1:5" x14ac:dyDescent="0.25">
      <c r="A110" s="71" t="s">
        <v>140</v>
      </c>
      <c r="B110" s="44" t="s">
        <v>141</v>
      </c>
      <c r="C110" s="70">
        <v>70000</v>
      </c>
      <c r="D110" s="70">
        <v>70000</v>
      </c>
      <c r="E110" s="70">
        <v>70000</v>
      </c>
    </row>
    <row r="111" spans="1:5" x14ac:dyDescent="0.25">
      <c r="A111" s="71" t="s">
        <v>142</v>
      </c>
      <c r="B111" s="44" t="s">
        <v>143</v>
      </c>
      <c r="C111" s="70">
        <v>500</v>
      </c>
      <c r="D111" s="70">
        <v>500</v>
      </c>
      <c r="E111" s="70">
        <v>500</v>
      </c>
    </row>
    <row r="112" spans="1:5" ht="15.75" thickBot="1" x14ac:dyDescent="0.3">
      <c r="A112" s="91" t="s">
        <v>144</v>
      </c>
      <c r="B112" s="92" t="s">
        <v>145</v>
      </c>
      <c r="C112" s="93">
        <v>500</v>
      </c>
      <c r="D112" s="93">
        <v>500</v>
      </c>
      <c r="E112" s="93">
        <v>500</v>
      </c>
    </row>
    <row r="113" spans="1:5" ht="16.5" thickBot="1" x14ac:dyDescent="0.3">
      <c r="A113" s="113" t="s">
        <v>146</v>
      </c>
      <c r="B113" s="100"/>
      <c r="C113" s="114">
        <f t="shared" ref="C113:E113" si="23">SUM(C64+C70+C72+C75+C80+C85+C89+C93+C99+C107)</f>
        <v>1217863</v>
      </c>
      <c r="D113" s="114">
        <f t="shared" si="23"/>
        <v>915163</v>
      </c>
      <c r="E113" s="114">
        <f t="shared" si="23"/>
        <v>907163</v>
      </c>
    </row>
    <row r="114" spans="1:5" x14ac:dyDescent="0.25">
      <c r="A114" s="188" t="s">
        <v>147</v>
      </c>
      <c r="B114" s="115" t="s">
        <v>148</v>
      </c>
      <c r="C114" s="116">
        <f>C55+C57</f>
        <v>409440</v>
      </c>
      <c r="D114" s="116">
        <f>D55+D57+D54</f>
        <v>424140</v>
      </c>
      <c r="E114" s="116">
        <f>E55+E57+E54</f>
        <v>424140</v>
      </c>
    </row>
    <row r="115" spans="1:5" x14ac:dyDescent="0.25">
      <c r="A115" s="186" t="s">
        <v>149</v>
      </c>
      <c r="B115" s="52" t="s">
        <v>150</v>
      </c>
      <c r="C115" s="117">
        <v>19000</v>
      </c>
      <c r="D115" s="117">
        <v>19000</v>
      </c>
      <c r="E115" s="117">
        <v>19000</v>
      </c>
    </row>
    <row r="116" spans="1:5" x14ac:dyDescent="0.25">
      <c r="A116" s="186" t="s">
        <v>122</v>
      </c>
      <c r="B116" s="52" t="s">
        <v>203</v>
      </c>
      <c r="C116" s="187">
        <v>0</v>
      </c>
      <c r="D116" s="187">
        <v>120000</v>
      </c>
      <c r="E116" s="187">
        <v>120000</v>
      </c>
    </row>
    <row r="117" spans="1:5" x14ac:dyDescent="0.25">
      <c r="A117" s="186" t="s">
        <v>124</v>
      </c>
      <c r="B117" s="52" t="s">
        <v>202</v>
      </c>
      <c r="C117" s="187">
        <v>0</v>
      </c>
      <c r="D117" s="187">
        <v>190000</v>
      </c>
      <c r="E117" s="187">
        <v>190000</v>
      </c>
    </row>
    <row r="118" spans="1:5" ht="15.75" thickBot="1" x14ac:dyDescent="0.3">
      <c r="A118" s="118" t="s">
        <v>151</v>
      </c>
      <c r="B118" s="119"/>
      <c r="C118" s="120">
        <f>SUM(C114:C117)</f>
        <v>428440</v>
      </c>
      <c r="D118" s="120">
        <f t="shared" ref="D118:E118" si="24">SUM(D114:D117)</f>
        <v>753140</v>
      </c>
      <c r="E118" s="120">
        <f t="shared" si="24"/>
        <v>753140</v>
      </c>
    </row>
    <row r="119" spans="1:5" ht="16.5" thickBot="1" x14ac:dyDescent="0.3">
      <c r="A119" s="121" t="s">
        <v>152</v>
      </c>
      <c r="B119" s="84"/>
      <c r="C119" s="122">
        <f>C113+C118</f>
        <v>1646303</v>
      </c>
      <c r="D119" s="122">
        <f>D113+D118</f>
        <v>1668303</v>
      </c>
      <c r="E119" s="122">
        <f>E113+E118</f>
        <v>1660303</v>
      </c>
    </row>
    <row r="120" spans="1:5" ht="23.25" customHeight="1" x14ac:dyDescent="0.25"/>
    <row r="121" spans="1:5" ht="15" customHeight="1" thickBot="1" x14ac:dyDescent="0.3"/>
    <row r="122" spans="1:5" ht="18.75" thickBot="1" x14ac:dyDescent="0.3">
      <c r="A122" s="244" t="s">
        <v>153</v>
      </c>
      <c r="B122" s="245"/>
      <c r="C122" s="245"/>
      <c r="D122" s="245"/>
      <c r="E122" s="246"/>
    </row>
    <row r="123" spans="1:5" x14ac:dyDescent="0.25">
      <c r="A123" s="225" t="s">
        <v>1</v>
      </c>
      <c r="B123" s="226"/>
      <c r="C123" s="229">
        <v>2017</v>
      </c>
      <c r="D123" s="229">
        <v>2018</v>
      </c>
      <c r="E123" s="229">
        <v>2019</v>
      </c>
    </row>
    <row r="124" spans="1:5" ht="15.75" thickBot="1" x14ac:dyDescent="0.3">
      <c r="A124" s="227"/>
      <c r="B124" s="228"/>
      <c r="C124" s="230"/>
      <c r="D124" s="230"/>
      <c r="E124" s="230"/>
    </row>
    <row r="125" spans="1:5" ht="16.5" thickBot="1" x14ac:dyDescent="0.3">
      <c r="A125" s="249" t="s">
        <v>154</v>
      </c>
      <c r="B125" s="250"/>
      <c r="C125" s="123">
        <f>SUM(C126:C129)</f>
        <v>1794200</v>
      </c>
      <c r="D125" s="123">
        <f t="shared" ref="D125:E125" si="25">SUM(D126:D129)</f>
        <v>0</v>
      </c>
      <c r="E125" s="123">
        <f t="shared" si="25"/>
        <v>0</v>
      </c>
    </row>
    <row r="126" spans="1:5" x14ac:dyDescent="0.25">
      <c r="A126" s="124">
        <v>231</v>
      </c>
      <c r="B126" s="87" t="s">
        <v>155</v>
      </c>
      <c r="C126" s="125">
        <v>0</v>
      </c>
      <c r="D126" s="125">
        <v>0</v>
      </c>
      <c r="E126" s="125">
        <v>0</v>
      </c>
    </row>
    <row r="127" spans="1:5" x14ac:dyDescent="0.25">
      <c r="A127" s="48">
        <v>233</v>
      </c>
      <c r="B127" s="44" t="s">
        <v>156</v>
      </c>
      <c r="C127" s="126">
        <v>0</v>
      </c>
      <c r="D127" s="126">
        <v>0</v>
      </c>
      <c r="E127" s="126">
        <v>0</v>
      </c>
    </row>
    <row r="128" spans="1:5" x14ac:dyDescent="0.25">
      <c r="A128" s="177">
        <v>322</v>
      </c>
      <c r="B128" s="178" t="s">
        <v>199</v>
      </c>
      <c r="C128" s="179">
        <f>1794200-C129</f>
        <v>1781600</v>
      </c>
      <c r="D128" s="179"/>
      <c r="E128" s="179"/>
    </row>
    <row r="129" spans="1:10" ht="15.75" thickBot="1" x14ac:dyDescent="0.3">
      <c r="A129" s="127">
        <v>322</v>
      </c>
      <c r="B129" s="128" t="s">
        <v>157</v>
      </c>
      <c r="C129" s="129">
        <v>12600</v>
      </c>
      <c r="D129" s="129"/>
      <c r="E129" s="129"/>
    </row>
    <row r="130" spans="1:10" ht="16.5" thickBot="1" x14ac:dyDescent="0.3">
      <c r="A130" s="249" t="s">
        <v>158</v>
      </c>
      <c r="B130" s="250"/>
      <c r="C130" s="123">
        <f>SUM(C131:C148)</f>
        <v>2483100</v>
      </c>
      <c r="D130" s="123">
        <f t="shared" ref="D130:E130" si="26">SUM(D131:D148)</f>
        <v>0</v>
      </c>
      <c r="E130" s="123">
        <f t="shared" si="26"/>
        <v>0</v>
      </c>
      <c r="F130" s="173"/>
    </row>
    <row r="131" spans="1:10" x14ac:dyDescent="0.25">
      <c r="A131" s="130" t="s">
        <v>60</v>
      </c>
      <c r="B131" s="131" t="s">
        <v>198</v>
      </c>
      <c r="C131" s="132">
        <v>3000</v>
      </c>
      <c r="D131" s="132"/>
      <c r="E131" s="132"/>
      <c r="J131" s="182"/>
    </row>
    <row r="132" spans="1:10" x14ac:dyDescent="0.25">
      <c r="A132" s="181" t="s">
        <v>60</v>
      </c>
      <c r="B132" s="133" t="s">
        <v>197</v>
      </c>
      <c r="C132" s="134">
        <v>109000</v>
      </c>
      <c r="D132" s="134"/>
      <c r="E132" s="134"/>
      <c r="H132" s="173"/>
    </row>
    <row r="133" spans="1:10" x14ac:dyDescent="0.25">
      <c r="A133" s="211" t="s">
        <v>76</v>
      </c>
      <c r="B133" s="183" t="s">
        <v>159</v>
      </c>
      <c r="C133" s="184">
        <v>14800</v>
      </c>
      <c r="D133" s="184"/>
      <c r="E133" s="184"/>
      <c r="H133" s="173"/>
    </row>
    <row r="134" spans="1:10" ht="15.75" thickBot="1" x14ac:dyDescent="0.3">
      <c r="A134" s="212" t="s">
        <v>81</v>
      </c>
      <c r="B134" s="204" t="s">
        <v>209</v>
      </c>
      <c r="C134" s="134">
        <v>0</v>
      </c>
      <c r="D134" s="134"/>
      <c r="E134" s="134"/>
    </row>
    <row r="135" spans="1:10" x14ac:dyDescent="0.25">
      <c r="A135" s="213" t="s">
        <v>83</v>
      </c>
      <c r="B135" s="205" t="s">
        <v>190</v>
      </c>
      <c r="C135" s="137">
        <v>42000</v>
      </c>
      <c r="D135" s="137"/>
      <c r="E135" s="137"/>
      <c r="H135" s="173"/>
    </row>
    <row r="136" spans="1:10" ht="15.75" thickBot="1" x14ac:dyDescent="0.3">
      <c r="A136" s="212" t="s">
        <v>83</v>
      </c>
      <c r="B136" s="204" t="s">
        <v>160</v>
      </c>
      <c r="C136" s="135">
        <v>10000</v>
      </c>
      <c r="D136" s="135"/>
      <c r="E136" s="135"/>
    </row>
    <row r="137" spans="1:10" ht="15.75" thickBot="1" x14ac:dyDescent="0.3">
      <c r="A137" s="206" t="s">
        <v>90</v>
      </c>
      <c r="B137" s="205" t="s">
        <v>193</v>
      </c>
      <c r="C137" s="137">
        <v>1287000</v>
      </c>
      <c r="D137" s="137"/>
      <c r="E137" s="137"/>
      <c r="H137" s="173"/>
    </row>
    <row r="138" spans="1:10" ht="15.75" thickBot="1" x14ac:dyDescent="0.3">
      <c r="A138" s="214" t="s">
        <v>161</v>
      </c>
      <c r="B138" s="207" t="s">
        <v>162</v>
      </c>
      <c r="C138" s="136">
        <v>50000</v>
      </c>
      <c r="D138" s="136"/>
      <c r="E138" s="136"/>
      <c r="H138" s="173"/>
    </row>
    <row r="139" spans="1:10" x14ac:dyDescent="0.25">
      <c r="A139" s="215" t="s">
        <v>97</v>
      </c>
      <c r="B139" s="208" t="s">
        <v>204</v>
      </c>
      <c r="C139" s="189">
        <v>40000</v>
      </c>
      <c r="D139" s="189"/>
      <c r="E139" s="189"/>
    </row>
    <row r="140" spans="1:10" x14ac:dyDescent="0.25">
      <c r="A140" s="216" t="s">
        <v>101</v>
      </c>
      <c r="B140" s="209" t="s">
        <v>192</v>
      </c>
      <c r="C140" s="180">
        <v>164000</v>
      </c>
      <c r="D140" s="180"/>
      <c r="E140" s="180"/>
      <c r="F140" s="142"/>
      <c r="G140" s="142"/>
      <c r="H140" s="142"/>
      <c r="I140" s="142"/>
    </row>
    <row r="141" spans="1:10" x14ac:dyDescent="0.25">
      <c r="A141" s="216" t="s">
        <v>111</v>
      </c>
      <c r="B141" s="209" t="s">
        <v>195</v>
      </c>
      <c r="C141" s="180">
        <v>56400</v>
      </c>
      <c r="D141" s="180"/>
      <c r="E141" s="180"/>
      <c r="F141" s="142"/>
      <c r="G141" s="142"/>
      <c r="H141" s="142"/>
      <c r="I141" s="142"/>
    </row>
    <row r="142" spans="1:10" x14ac:dyDescent="0.25">
      <c r="A142" s="216" t="s">
        <v>111</v>
      </c>
      <c r="B142" s="209" t="s">
        <v>196</v>
      </c>
      <c r="C142" s="180">
        <v>30000</v>
      </c>
      <c r="D142" s="180"/>
      <c r="E142" s="180"/>
      <c r="F142" s="142"/>
      <c r="G142" s="142"/>
      <c r="H142" s="142"/>
      <c r="I142" s="142"/>
      <c r="J142" s="142"/>
    </row>
    <row r="143" spans="1:10" x14ac:dyDescent="0.25">
      <c r="A143" s="216" t="s">
        <v>111</v>
      </c>
      <c r="B143" s="209" t="s">
        <v>207</v>
      </c>
      <c r="C143" s="180">
        <v>10000</v>
      </c>
      <c r="D143" s="180"/>
      <c r="E143" s="180"/>
      <c r="F143" s="142"/>
      <c r="G143" s="142"/>
      <c r="H143" s="142"/>
      <c r="I143" s="145"/>
      <c r="J143" s="144"/>
    </row>
    <row r="144" spans="1:10" x14ac:dyDescent="0.25">
      <c r="A144" s="216" t="s">
        <v>111</v>
      </c>
      <c r="B144" s="209" t="s">
        <v>208</v>
      </c>
      <c r="C144" s="180">
        <v>10000</v>
      </c>
      <c r="D144" s="180"/>
      <c r="E144" s="180"/>
      <c r="F144" s="142"/>
      <c r="G144" s="142"/>
      <c r="H144" s="142"/>
      <c r="J144" s="144"/>
    </row>
    <row r="145" spans="1:10" x14ac:dyDescent="0.25">
      <c r="A145" s="216" t="s">
        <v>113</v>
      </c>
      <c r="B145" s="209" t="s">
        <v>194</v>
      </c>
      <c r="C145" s="180">
        <v>500000</v>
      </c>
      <c r="D145" s="180"/>
      <c r="E145" s="180"/>
      <c r="F145" s="142"/>
      <c r="G145" s="142"/>
      <c r="H145" s="142"/>
    </row>
    <row r="146" spans="1:10" x14ac:dyDescent="0.25">
      <c r="A146" s="217" t="s">
        <v>115</v>
      </c>
      <c r="B146" s="218" t="s">
        <v>163</v>
      </c>
      <c r="C146" s="138">
        <v>2700</v>
      </c>
      <c r="D146" s="138"/>
      <c r="E146" s="138"/>
      <c r="F146" s="145"/>
      <c r="G146" s="145"/>
      <c r="H146" s="145"/>
    </row>
    <row r="147" spans="1:10" x14ac:dyDescent="0.25">
      <c r="A147" s="217" t="s">
        <v>131</v>
      </c>
      <c r="B147" s="218" t="s">
        <v>205</v>
      </c>
      <c r="C147" s="138">
        <v>13000</v>
      </c>
      <c r="D147" s="138"/>
      <c r="E147" s="138"/>
      <c r="F147" s="145"/>
      <c r="G147" s="145"/>
      <c r="H147" s="145"/>
    </row>
    <row r="148" spans="1:10" ht="15" customHeight="1" thickBot="1" x14ac:dyDescent="0.3">
      <c r="A148" s="210" t="s">
        <v>122</v>
      </c>
      <c r="B148" s="219" t="s">
        <v>191</v>
      </c>
      <c r="C148" s="190">
        <v>141200</v>
      </c>
      <c r="D148" s="190"/>
      <c r="E148" s="190"/>
      <c r="G148" s="143"/>
      <c r="H148" s="220"/>
      <c r="I148" s="143"/>
    </row>
    <row r="149" spans="1:10" x14ac:dyDescent="0.25">
      <c r="A149" s="139"/>
      <c r="B149" s="140"/>
      <c r="C149" s="141"/>
      <c r="D149" s="142"/>
      <c r="E149" s="142"/>
      <c r="H149" s="173"/>
    </row>
    <row r="150" spans="1:10" ht="15.75" thickBot="1" x14ac:dyDescent="0.3">
      <c r="A150" s="143"/>
      <c r="B150" s="144"/>
      <c r="C150" s="145"/>
      <c r="D150" s="145" t="s">
        <v>164</v>
      </c>
      <c r="E150" s="145"/>
    </row>
    <row r="151" spans="1:10" ht="18.75" thickBot="1" x14ac:dyDescent="0.3">
      <c r="A151" s="231" t="s">
        <v>165</v>
      </c>
      <c r="B151" s="232"/>
      <c r="C151" s="232"/>
      <c r="D151" s="232"/>
      <c r="E151" s="232"/>
    </row>
    <row r="152" spans="1:10" x14ac:dyDescent="0.25">
      <c r="A152" s="225" t="s">
        <v>1</v>
      </c>
      <c r="B152" s="226"/>
      <c r="C152" s="229">
        <v>2017</v>
      </c>
      <c r="D152" s="229">
        <v>2018</v>
      </c>
      <c r="E152" s="229">
        <v>2019</v>
      </c>
    </row>
    <row r="153" spans="1:10" ht="15.75" thickBot="1" x14ac:dyDescent="0.3">
      <c r="A153" s="227"/>
      <c r="B153" s="228"/>
      <c r="C153" s="230"/>
      <c r="D153" s="230"/>
      <c r="E153" s="230"/>
    </row>
    <row r="154" spans="1:10" ht="16.5" thickBot="1" x14ac:dyDescent="0.3">
      <c r="A154" s="146" t="s">
        <v>166</v>
      </c>
      <c r="B154" s="147"/>
      <c r="C154" s="148">
        <f t="shared" ref="C154:E154" si="27">SUM(C155:C157)</f>
        <v>688900</v>
      </c>
      <c r="D154" s="148">
        <f t="shared" si="27"/>
        <v>500</v>
      </c>
      <c r="E154" s="148">
        <f t="shared" si="27"/>
        <v>500</v>
      </c>
    </row>
    <row r="155" spans="1:10" x14ac:dyDescent="0.25">
      <c r="A155" s="149">
        <v>454</v>
      </c>
      <c r="B155" s="49" t="s">
        <v>167</v>
      </c>
      <c r="C155" s="150">
        <v>261000</v>
      </c>
      <c r="D155" s="150"/>
      <c r="E155" s="150"/>
      <c r="I155" s="159"/>
      <c r="J155" s="159"/>
    </row>
    <row r="156" spans="1:10" x14ac:dyDescent="0.25">
      <c r="A156" s="151">
        <v>453</v>
      </c>
      <c r="B156" s="152" t="s">
        <v>168</v>
      </c>
      <c r="C156" s="153">
        <v>1500</v>
      </c>
      <c r="D156" s="153">
        <v>500</v>
      </c>
      <c r="E156" s="153">
        <v>500</v>
      </c>
      <c r="I156" s="159"/>
      <c r="J156" s="159"/>
    </row>
    <row r="157" spans="1:10" ht="15.75" thickBot="1" x14ac:dyDescent="0.3">
      <c r="A157" s="151">
        <v>513</v>
      </c>
      <c r="B157" s="152" t="s">
        <v>169</v>
      </c>
      <c r="C157" s="153">
        <v>426400</v>
      </c>
      <c r="D157" s="153">
        <v>0</v>
      </c>
      <c r="E157" s="153">
        <v>0</v>
      </c>
      <c r="I157" s="159"/>
      <c r="J157" s="140"/>
    </row>
    <row r="158" spans="1:10" ht="16.5" thickBot="1" x14ac:dyDescent="0.3">
      <c r="A158" s="146" t="s">
        <v>170</v>
      </c>
      <c r="B158" s="147"/>
      <c r="C158" s="148">
        <f t="shared" ref="C158:E158" si="28">SUM(C159:C160)</f>
        <v>53800</v>
      </c>
      <c r="D158" s="148">
        <f t="shared" si="28"/>
        <v>53800</v>
      </c>
      <c r="E158" s="148">
        <f t="shared" si="28"/>
        <v>53800</v>
      </c>
      <c r="F158" s="247" t="s">
        <v>200</v>
      </c>
      <c r="G158" s="248"/>
      <c r="H158" s="159">
        <f>1635620*60%</f>
        <v>981372</v>
      </c>
    </row>
    <row r="159" spans="1:10" x14ac:dyDescent="0.25">
      <c r="A159" s="154">
        <v>821</v>
      </c>
      <c r="B159" s="155" t="s">
        <v>171</v>
      </c>
      <c r="C159" s="156">
        <v>53000</v>
      </c>
      <c r="D159" s="156">
        <v>53000</v>
      </c>
      <c r="E159" s="156">
        <v>53000</v>
      </c>
      <c r="F159" s="185" t="s">
        <v>201</v>
      </c>
      <c r="G159" s="159">
        <f t="shared" ref="G159" si="29">1635620*25%</f>
        <v>408905</v>
      </c>
      <c r="H159" s="140">
        <f>4400*12</f>
        <v>52800</v>
      </c>
    </row>
    <row r="160" spans="1:10" ht="16.5" customHeight="1" thickBot="1" x14ac:dyDescent="0.3">
      <c r="A160" s="29">
        <v>821</v>
      </c>
      <c r="B160" s="157" t="s">
        <v>172</v>
      </c>
      <c r="C160" s="73">
        <v>800</v>
      </c>
      <c r="D160" s="73">
        <v>800</v>
      </c>
      <c r="E160" s="73">
        <v>800</v>
      </c>
      <c r="G160" s="140"/>
      <c r="H160" s="140"/>
    </row>
    <row r="161" spans="1:5" ht="15" customHeight="1" x14ac:dyDescent="0.25">
      <c r="A161" s="143"/>
      <c r="B161" s="158"/>
      <c r="C161" s="159"/>
      <c r="D161" s="159"/>
      <c r="E161" s="159"/>
    </row>
    <row r="162" spans="1:5" x14ac:dyDescent="0.25">
      <c r="A162" s="143"/>
      <c r="B162" s="158"/>
      <c r="C162" s="159"/>
      <c r="D162" s="159"/>
      <c r="E162" s="159"/>
    </row>
    <row r="163" spans="1:5" ht="16.5" thickBot="1" x14ac:dyDescent="0.3">
      <c r="A163" s="60"/>
      <c r="B163" s="140"/>
      <c r="C163" s="140"/>
      <c r="D163" s="140"/>
      <c r="E163" s="140"/>
    </row>
    <row r="164" spans="1:5" ht="18.75" thickBot="1" x14ac:dyDescent="0.3">
      <c r="A164" s="233" t="s">
        <v>173</v>
      </c>
      <c r="B164" s="234"/>
      <c r="C164" s="234"/>
      <c r="D164" s="234"/>
      <c r="E164" s="235"/>
    </row>
    <row r="165" spans="1:5" x14ac:dyDescent="0.25">
      <c r="A165" s="225" t="s">
        <v>1</v>
      </c>
      <c r="B165" s="226"/>
      <c r="C165" s="229">
        <v>2017</v>
      </c>
      <c r="D165" s="229">
        <v>2018</v>
      </c>
      <c r="E165" s="229">
        <v>2019</v>
      </c>
    </row>
    <row r="166" spans="1:5" ht="15.75" thickBot="1" x14ac:dyDescent="0.3">
      <c r="A166" s="227"/>
      <c r="B166" s="228"/>
      <c r="C166" s="230"/>
      <c r="D166" s="230"/>
      <c r="E166" s="230"/>
    </row>
    <row r="167" spans="1:5" ht="15.75" x14ac:dyDescent="0.25">
      <c r="A167" s="160" t="s">
        <v>174</v>
      </c>
      <c r="B167" s="16"/>
      <c r="C167" s="161">
        <f>C58</f>
        <v>1700103</v>
      </c>
      <c r="D167" s="161">
        <f t="shared" ref="D167:E167" si="30">D58</f>
        <v>1721603</v>
      </c>
      <c r="E167" s="161">
        <f t="shared" si="30"/>
        <v>1713603</v>
      </c>
    </row>
    <row r="168" spans="1:5" ht="15.75" x14ac:dyDescent="0.25">
      <c r="A168" s="162" t="s">
        <v>175</v>
      </c>
      <c r="B168" s="10"/>
      <c r="C168" s="163">
        <f>C119</f>
        <v>1646303</v>
      </c>
      <c r="D168" s="163">
        <f t="shared" ref="D168:E168" si="31">D119</f>
        <v>1668303</v>
      </c>
      <c r="E168" s="163">
        <f t="shared" si="31"/>
        <v>1660303</v>
      </c>
    </row>
    <row r="169" spans="1:5" ht="15.75" x14ac:dyDescent="0.25">
      <c r="A169" s="221" t="s">
        <v>176</v>
      </c>
      <c r="B169" s="222"/>
      <c r="C169" s="164">
        <f t="shared" ref="C169:E169" si="32">C167-C168</f>
        <v>53800</v>
      </c>
      <c r="D169" s="164">
        <f t="shared" si="32"/>
        <v>53300</v>
      </c>
      <c r="E169" s="164">
        <f t="shared" si="32"/>
        <v>53300</v>
      </c>
    </row>
    <row r="170" spans="1:5" ht="15.75" x14ac:dyDescent="0.25">
      <c r="A170" s="162" t="s">
        <v>177</v>
      </c>
      <c r="B170" s="10"/>
      <c r="C170" s="163">
        <f>C125</f>
        <v>1794200</v>
      </c>
      <c r="D170" s="163">
        <f>D125</f>
        <v>0</v>
      </c>
      <c r="E170" s="163">
        <f>E125</f>
        <v>0</v>
      </c>
    </row>
    <row r="171" spans="1:5" ht="15.75" x14ac:dyDescent="0.25">
      <c r="A171" s="162" t="s">
        <v>178</v>
      </c>
      <c r="B171" s="10"/>
      <c r="C171" s="11">
        <f>C130</f>
        <v>2483100</v>
      </c>
      <c r="D171" s="11">
        <f>D130</f>
        <v>0</v>
      </c>
      <c r="E171" s="11">
        <f>E130</f>
        <v>0</v>
      </c>
    </row>
    <row r="172" spans="1:5" ht="15.75" x14ac:dyDescent="0.25">
      <c r="A172" s="221" t="s">
        <v>179</v>
      </c>
      <c r="B172" s="222"/>
      <c r="C172" s="164">
        <f t="shared" ref="C172:E172" si="33">C170-C171</f>
        <v>-688900</v>
      </c>
      <c r="D172" s="164">
        <f t="shared" si="33"/>
        <v>0</v>
      </c>
      <c r="E172" s="164">
        <f t="shared" si="33"/>
        <v>0</v>
      </c>
    </row>
    <row r="173" spans="1:5" ht="15.75" x14ac:dyDescent="0.25">
      <c r="A173" s="165" t="s">
        <v>180</v>
      </c>
      <c r="B173" s="166"/>
      <c r="C173" s="167">
        <f>C154</f>
        <v>688900</v>
      </c>
      <c r="D173" s="167">
        <f>D154</f>
        <v>500</v>
      </c>
      <c r="E173" s="167">
        <f>E154</f>
        <v>500</v>
      </c>
    </row>
    <row r="174" spans="1:5" ht="15.75" x14ac:dyDescent="0.25">
      <c r="A174" s="165" t="s">
        <v>181</v>
      </c>
      <c r="B174" s="166"/>
      <c r="C174" s="167">
        <f>C158</f>
        <v>53800</v>
      </c>
      <c r="D174" s="167">
        <f>D158</f>
        <v>53800</v>
      </c>
      <c r="E174" s="167">
        <f>E158</f>
        <v>53800</v>
      </c>
    </row>
    <row r="175" spans="1:5" ht="16.5" thickBot="1" x14ac:dyDescent="0.3">
      <c r="A175" s="223" t="s">
        <v>182</v>
      </c>
      <c r="B175" s="224"/>
      <c r="C175" s="168">
        <f t="shared" ref="C175:E175" si="34">C173-C174</f>
        <v>635100</v>
      </c>
      <c r="D175" s="168">
        <f t="shared" si="34"/>
        <v>-53300</v>
      </c>
      <c r="E175" s="168">
        <f t="shared" si="34"/>
        <v>-53300</v>
      </c>
    </row>
    <row r="176" spans="1:5" ht="16.5" thickBot="1" x14ac:dyDescent="0.3">
      <c r="A176" s="169" t="s">
        <v>183</v>
      </c>
      <c r="B176" s="170"/>
      <c r="C176" s="171">
        <f t="shared" ref="C176:E176" si="35">C169+C172+C175</f>
        <v>0</v>
      </c>
      <c r="D176" s="171">
        <f t="shared" si="35"/>
        <v>0</v>
      </c>
      <c r="E176" s="171">
        <f t="shared" si="35"/>
        <v>0</v>
      </c>
    </row>
    <row r="178" spans="2:10" x14ac:dyDescent="0.25">
      <c r="B178" s="172" t="s">
        <v>184</v>
      </c>
      <c r="C178" s="173">
        <f t="shared" ref="C178:E179" si="36">C167+C170+C173</f>
        <v>4183203</v>
      </c>
      <c r="D178" s="173">
        <f t="shared" si="36"/>
        <v>1722103</v>
      </c>
      <c r="E178" s="173">
        <f t="shared" si="36"/>
        <v>1714103</v>
      </c>
    </row>
    <row r="179" spans="2:10" x14ac:dyDescent="0.25">
      <c r="B179" s="172" t="s">
        <v>185</v>
      </c>
      <c r="C179" s="173">
        <f t="shared" si="36"/>
        <v>4183203</v>
      </c>
      <c r="D179" s="173">
        <f t="shared" si="36"/>
        <v>1722103</v>
      </c>
      <c r="E179" s="173">
        <f t="shared" si="36"/>
        <v>1714103</v>
      </c>
      <c r="I179" s="174"/>
      <c r="J179" s="174"/>
    </row>
    <row r="180" spans="2:10" x14ac:dyDescent="0.25">
      <c r="B180" s="172"/>
      <c r="C180" s="173"/>
      <c r="D180" s="173"/>
      <c r="E180" s="173"/>
    </row>
    <row r="181" spans="2:10" x14ac:dyDescent="0.25">
      <c r="B181" s="172" t="s">
        <v>186</v>
      </c>
      <c r="C181" s="173">
        <f>C178-C57</f>
        <v>4180203</v>
      </c>
      <c r="D181" s="173">
        <f>D178-D57</f>
        <v>1706603</v>
      </c>
      <c r="E181" s="173">
        <f>E178-E57</f>
        <v>1698603</v>
      </c>
    </row>
    <row r="182" spans="2:10" x14ac:dyDescent="0.25">
      <c r="B182" s="172" t="s">
        <v>187</v>
      </c>
      <c r="C182" s="173">
        <f>C179-C118</f>
        <v>3754763</v>
      </c>
      <c r="D182" s="173">
        <f>D179-D118</f>
        <v>968963</v>
      </c>
      <c r="E182" s="173">
        <f>E179-E118</f>
        <v>960963</v>
      </c>
      <c r="F182" s="174"/>
      <c r="G182" s="174"/>
      <c r="H182" s="174"/>
    </row>
    <row r="184" spans="2:10" x14ac:dyDescent="0.25">
      <c r="B184" t="s">
        <v>188</v>
      </c>
    </row>
    <row r="185" spans="2:10" x14ac:dyDescent="0.25">
      <c r="B185" s="174" t="s">
        <v>189</v>
      </c>
      <c r="C185" s="174"/>
      <c r="D185" s="174"/>
      <c r="E185" s="174"/>
    </row>
  </sheetData>
  <mergeCells count="34">
    <mergeCell ref="F158:G158"/>
    <mergeCell ref="A2:B3"/>
    <mergeCell ref="C2:C3"/>
    <mergeCell ref="D2:D3"/>
    <mergeCell ref="E2:E3"/>
    <mergeCell ref="A130:B130"/>
    <mergeCell ref="A125:B125"/>
    <mergeCell ref="A4:B4"/>
    <mergeCell ref="A12:B12"/>
    <mergeCell ref="A62:B63"/>
    <mergeCell ref="C62:C63"/>
    <mergeCell ref="D62:D63"/>
    <mergeCell ref="C152:C153"/>
    <mergeCell ref="D152:D153"/>
    <mergeCell ref="E152:E153"/>
    <mergeCell ref="E62:E63"/>
    <mergeCell ref="A80:B80"/>
    <mergeCell ref="A123:B124"/>
    <mergeCell ref="C123:C124"/>
    <mergeCell ref="A1:E1"/>
    <mergeCell ref="A61:E61"/>
    <mergeCell ref="A122:E122"/>
    <mergeCell ref="E123:E124"/>
    <mergeCell ref="A172:B172"/>
    <mergeCell ref="A175:B175"/>
    <mergeCell ref="A165:B166"/>
    <mergeCell ref="C165:C166"/>
    <mergeCell ref="D123:D124"/>
    <mergeCell ref="A152:B153"/>
    <mergeCell ref="A151:E151"/>
    <mergeCell ref="A164:E164"/>
    <mergeCell ref="D165:D166"/>
    <mergeCell ref="E165:E166"/>
    <mergeCell ref="A169:B169"/>
  </mergeCells>
  <pageMargins left="0.7" right="0.7" top="0.75" bottom="0.75" header="0.3" footer="0.3"/>
  <pageSetup paperSize="9" scale="66" fitToHeight="0" orientation="portrait" r:id="rId1"/>
  <headerFooter>
    <oddHeader xml:space="preserve">&amp;C&amp;"-,Tučné"Viacročný rozpočet 2017 - 2019&amp;"-,Normálne"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17-19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2016-12-01T18:20:06Z</dcterms:modified>
</cp:coreProperties>
</file>